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21.xml" ContentType="application/vnd.openxmlformats-officedocument.spreadsheetml.table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omments7.xml" ContentType="application/vnd.openxmlformats-officedocument.spreadsheetml.comments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comments8.xml" ContentType="application/vnd.openxmlformats-officedocument.spreadsheetml.comments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ff\Downloads\Compressed\Spreadsheets-20200107T090002Z-001\"/>
    </mc:Choice>
  </mc:AlternateContent>
  <xr:revisionPtr revIDLastSave="0" documentId="13_ncr:1_{53137C2D-F0C9-4A3B-A880-32C95654CC7C}" xr6:coauthVersionLast="40" xr6:coauthVersionMax="40" xr10:uidLastSave="{00000000-0000-0000-0000-000000000000}"/>
  <bookViews>
    <workbookView xWindow="0" yWindow="0" windowWidth="20490" windowHeight="7160" activeTab="3" xr2:uid="{00000000-000D-0000-FFFF-FFFF00000000}"/>
  </bookViews>
  <sheets>
    <sheet name="Cost Analysis" sheetId="8" r:id="rId1"/>
    <sheet name="MTOW &amp; WEIGHTS" sheetId="2" r:id="rId2"/>
    <sheet name="Sref and POWER SIZING" sheetId="3" r:id="rId3"/>
    <sheet name="PERFORMANCE SIZING " sheetId="1" r:id="rId4"/>
    <sheet name="Detailed Weights" sheetId="5" r:id="rId5"/>
    <sheet name="V-n" sheetId="6" r:id="rId6"/>
    <sheet name="Wing &amp; Airfoil" sheetId="4" r:id="rId7"/>
    <sheet name="Drag analysis" sheetId="7" r:id="rId8"/>
    <sheet name="Wing Structural" sheetId="9" r:id="rId9"/>
  </sheets>
  <externalReferences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M103" i="3"/>
  <c r="B6" i="3" l="1"/>
  <c r="P4" i="2" l="1"/>
  <c r="P8" i="7" l="1"/>
  <c r="P9" i="7" s="1"/>
  <c r="P4" i="7" l="1"/>
  <c r="E44" i="6"/>
  <c r="C9" i="6"/>
  <c r="K18" i="5"/>
  <c r="B26" i="1"/>
  <c r="B22" i="1"/>
  <c r="G6" i="3"/>
  <c r="I21" i="9" l="1"/>
  <c r="I20" i="9"/>
  <c r="B4" i="9"/>
  <c r="B2" i="9"/>
  <c r="O5" i="2" l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E73" i="8" l="1"/>
  <c r="C38" i="8"/>
  <c r="E64" i="8" s="1"/>
  <c r="E70" i="8" s="1"/>
  <c r="E72" i="8"/>
  <c r="E68" i="8" l="1"/>
  <c r="E58" i="8"/>
  <c r="E67" i="8" s="1"/>
  <c r="H8" i="5" l="1"/>
  <c r="H7" i="5"/>
  <c r="S20" i="5"/>
  <c r="N22" i="5"/>
  <c r="N12" i="5"/>
  <c r="N10" i="5"/>
  <c r="N8" i="5"/>
  <c r="N7" i="5"/>
  <c r="N6" i="5"/>
  <c r="N18" i="5"/>
  <c r="S33" i="8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X32" i="8"/>
  <c r="X31" i="8"/>
  <c r="W32" i="8"/>
  <c r="W31" i="8"/>
  <c r="V32" i="8"/>
  <c r="V31" i="8"/>
  <c r="W33" i="8" l="1"/>
  <c r="V33" i="8"/>
  <c r="W41" i="8"/>
  <c r="V37" i="8"/>
  <c r="V40" i="8"/>
  <c r="V36" i="8"/>
  <c r="W39" i="8"/>
  <c r="W35" i="8"/>
  <c r="X38" i="8"/>
  <c r="X34" i="8"/>
  <c r="V41" i="8"/>
  <c r="W40" i="8"/>
  <c r="W36" i="8"/>
  <c r="X39" i="8"/>
  <c r="X35" i="8"/>
  <c r="V39" i="8"/>
  <c r="V35" i="8"/>
  <c r="W38" i="8"/>
  <c r="W34" i="8"/>
  <c r="X41" i="8"/>
  <c r="X37" i="8"/>
  <c r="X33" i="8"/>
  <c r="V38" i="8"/>
  <c r="V34" i="8"/>
  <c r="W37" i="8"/>
  <c r="X40" i="8"/>
  <c r="X36" i="8"/>
  <c r="L23" i="8"/>
  <c r="L25" i="8"/>
  <c r="L26" i="8"/>
  <c r="B12" i="8"/>
  <c r="B10" i="8"/>
  <c r="L95" i="3"/>
  <c r="M100" i="3"/>
  <c r="S13" i="5" s="1"/>
  <c r="M99" i="3"/>
  <c r="M98" i="3"/>
  <c r="M97" i="3"/>
  <c r="M96" i="3"/>
  <c r="M95" i="3"/>
  <c r="L24" i="8" l="1"/>
  <c r="V42" i="8"/>
  <c r="W42" i="8"/>
  <c r="X42" i="8"/>
  <c r="S14" i="5"/>
  <c r="B17" i="4"/>
  <c r="L4" i="3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H27" i="4"/>
  <c r="V43" i="8" l="1"/>
  <c r="X43" i="8"/>
  <c r="W43" i="8"/>
  <c r="L12" i="7"/>
  <c r="C9" i="7" s="1"/>
  <c r="L11" i="7"/>
  <c r="B9" i="7" s="1"/>
  <c r="P6" i="7"/>
  <c r="B7" i="7" l="1"/>
  <c r="B6" i="7"/>
  <c r="N11" i="5"/>
  <c r="S5" i="5"/>
  <c r="X44" i="8"/>
  <c r="W44" i="8"/>
  <c r="V44" i="8"/>
  <c r="B4" i="7"/>
  <c r="P5" i="7"/>
  <c r="D4" i="7"/>
  <c r="D6" i="7" l="1"/>
  <c r="D7" i="7"/>
  <c r="W45" i="8"/>
  <c r="X45" i="8"/>
  <c r="V45" i="8"/>
  <c r="D5" i="7"/>
  <c r="C6" i="7"/>
  <c r="C4" i="7"/>
  <c r="C7" i="7"/>
  <c r="V46" i="8" l="1"/>
  <c r="W46" i="8"/>
  <c r="X46" i="8"/>
  <c r="V47" i="8" l="1"/>
  <c r="X47" i="8"/>
  <c r="W47" i="8"/>
  <c r="M23" i="5"/>
  <c r="H14" i="5"/>
  <c r="J12" i="5"/>
  <c r="X48" i="8" l="1"/>
  <c r="W48" i="8"/>
  <c r="V48" i="8"/>
  <c r="B16" i="1"/>
  <c r="W49" i="8" l="1"/>
  <c r="X49" i="8"/>
  <c r="V49" i="8"/>
  <c r="L49" i="6"/>
  <c r="C7" i="6"/>
  <c r="H7" i="6"/>
  <c r="H3" i="6"/>
  <c r="L36" i="6"/>
  <c r="L37" i="6" s="1"/>
  <c r="L38" i="6" s="1"/>
  <c r="L39" i="6" s="1"/>
  <c r="L40" i="6" s="1"/>
  <c r="L41" i="6" s="1"/>
  <c r="L44" i="6" s="1"/>
  <c r="L45" i="6" s="1"/>
  <c r="L46" i="6" s="1"/>
  <c r="L47" i="6" s="1"/>
  <c r="C2" i="6"/>
  <c r="H4" i="6"/>
  <c r="F4" i="6"/>
  <c r="B37" i="6"/>
  <c r="C37" i="6" s="1"/>
  <c r="B38" i="6"/>
  <c r="B39" i="6"/>
  <c r="C39" i="6" s="1"/>
  <c r="B40" i="6"/>
  <c r="B41" i="6"/>
  <c r="C41" i="6" s="1"/>
  <c r="B42" i="6"/>
  <c r="C42" i="6" s="1"/>
  <c r="B43" i="6"/>
  <c r="C43" i="6" s="1"/>
  <c r="B44" i="6"/>
  <c r="C44" i="6" s="1"/>
  <c r="B45" i="6"/>
  <c r="C45" i="6" s="1"/>
  <c r="B46" i="6"/>
  <c r="B47" i="6"/>
  <c r="C47" i="6" s="1"/>
  <c r="B48" i="6"/>
  <c r="C48" i="6" s="1"/>
  <c r="B49" i="6"/>
  <c r="C49" i="6" s="1"/>
  <c r="E39" i="6"/>
  <c r="R37" i="6" s="1"/>
  <c r="C38" i="6"/>
  <c r="C46" i="6"/>
  <c r="B36" i="6"/>
  <c r="C36" i="6" s="1"/>
  <c r="F36" i="6" s="1"/>
  <c r="D36" i="6" s="1"/>
  <c r="K40" i="6" l="1"/>
  <c r="V50" i="8"/>
  <c r="W50" i="8"/>
  <c r="X50" i="8"/>
  <c r="R38" i="6"/>
  <c r="R39" i="6"/>
  <c r="F39" i="6"/>
  <c r="D39" i="6" s="1"/>
  <c r="K47" i="6"/>
  <c r="K39" i="6"/>
  <c r="K43" i="6"/>
  <c r="K36" i="6"/>
  <c r="K46" i="6"/>
  <c r="K42" i="6"/>
  <c r="K38" i="6"/>
  <c r="K49" i="6"/>
  <c r="K45" i="6"/>
  <c r="K41" i="6"/>
  <c r="K37" i="6"/>
  <c r="E49" i="6"/>
  <c r="F7" i="6"/>
  <c r="K48" i="6"/>
  <c r="K44" i="6"/>
  <c r="C40" i="6"/>
  <c r="V51" i="8" l="1"/>
  <c r="X51" i="8"/>
  <c r="W51" i="8"/>
  <c r="E37" i="6"/>
  <c r="X52" i="8" l="1"/>
  <c r="W52" i="8"/>
  <c r="V52" i="8"/>
  <c r="E38" i="6"/>
  <c r="F37" i="6"/>
  <c r="D37" i="6" s="1"/>
  <c r="F18" i="4"/>
  <c r="W53" i="8" l="1"/>
  <c r="X53" i="8"/>
  <c r="V53" i="8"/>
  <c r="F38" i="6"/>
  <c r="D38" i="6" s="1"/>
  <c r="J18" i="5"/>
  <c r="S17" i="5"/>
  <c r="J17" i="5"/>
  <c r="L36" i="5"/>
  <c r="E18" i="5"/>
  <c r="E15" i="5"/>
  <c r="J14" i="5"/>
  <c r="C5" i="6"/>
  <c r="K7" i="5" s="1"/>
  <c r="S10" i="5"/>
  <c r="E12" i="5" l="1"/>
  <c r="K12" i="5" s="1"/>
  <c r="E7" i="5"/>
  <c r="L7" i="5" s="1"/>
  <c r="M7" i="5" s="1"/>
  <c r="E8" i="5"/>
  <c r="L8" i="5" s="1"/>
  <c r="M8" i="5" s="1"/>
  <c r="L15" i="5"/>
  <c r="M15" i="5" s="1"/>
  <c r="L18" i="5"/>
  <c r="M18" i="5" s="1"/>
  <c r="C4" i="6" l="1"/>
  <c r="K9" i="5" l="1"/>
  <c r="G9" i="5"/>
  <c r="B12" i="9"/>
  <c r="I17" i="9"/>
  <c r="K11" i="5"/>
  <c r="O23" i="5"/>
  <c r="O7" i="5"/>
  <c r="O8" i="5"/>
  <c r="O15" i="5"/>
  <c r="O18" i="5"/>
  <c r="B29" i="1" l="1"/>
  <c r="B8" i="1"/>
  <c r="B27" i="4" l="1"/>
  <c r="B22" i="4"/>
  <c r="B21" i="4" s="1"/>
  <c r="F49" i="6" l="1"/>
  <c r="D49" i="6" s="1"/>
  <c r="F15" i="4" l="1"/>
  <c r="F16" i="4" s="1"/>
  <c r="L13" i="4"/>
  <c r="F17" i="4"/>
  <c r="L11" i="4" l="1"/>
  <c r="B24" i="4"/>
  <c r="B23" i="4"/>
  <c r="L14" i="4" l="1"/>
  <c r="L12" i="4"/>
  <c r="D18" i="5"/>
  <c r="C18" i="5"/>
  <c r="D17" i="5"/>
  <c r="C17" i="5"/>
  <c r="D16" i="5"/>
  <c r="C16" i="5"/>
  <c r="D14" i="5"/>
  <c r="C14" i="5"/>
  <c r="D13" i="5"/>
  <c r="C13" i="5"/>
  <c r="D12" i="5"/>
  <c r="C12" i="5"/>
  <c r="D10" i="5"/>
  <c r="C10" i="5"/>
  <c r="D6" i="5"/>
  <c r="C6" i="5"/>
  <c r="D11" i="5"/>
  <c r="D9" i="5"/>
  <c r="C9" i="5"/>
  <c r="D15" i="5"/>
  <c r="C15" i="5"/>
  <c r="C11" i="5"/>
  <c r="L15" i="4" l="1"/>
  <c r="H82" i="3" l="1"/>
  <c r="K3" i="3"/>
  <c r="J45" i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K20" i="3"/>
  <c r="K21" i="3"/>
  <c r="K8" i="3"/>
  <c r="K9" i="3"/>
  <c r="K10" i="3"/>
  <c r="K11" i="3"/>
  <c r="K12" i="3"/>
  <c r="K13" i="3"/>
  <c r="K14" i="3"/>
  <c r="K15" i="3"/>
  <c r="K16" i="3"/>
  <c r="K17" i="3"/>
  <c r="K18" i="3"/>
  <c r="K19" i="3"/>
  <c r="K4" i="3"/>
  <c r="K5" i="3"/>
  <c r="K6" i="3"/>
  <c r="K7" i="3"/>
  <c r="G16" i="3"/>
  <c r="G17" i="3" s="1"/>
  <c r="B5" i="3"/>
  <c r="G2" i="3"/>
  <c r="M87" i="3" l="1"/>
  <c r="D80" i="3"/>
  <c r="H80" i="3" s="1"/>
  <c r="B25" i="1"/>
  <c r="C97" i="2"/>
  <c r="I98" i="2" s="1"/>
  <c r="C90" i="2"/>
  <c r="I91" i="2" s="1"/>
  <c r="N53" i="2"/>
  <c r="N54" i="2" s="1"/>
  <c r="B42" i="2"/>
  <c r="C79" i="2" s="1"/>
  <c r="I80" i="2" s="1"/>
  <c r="B7" i="1"/>
  <c r="M29" i="4" s="1"/>
  <c r="B5" i="1"/>
  <c r="K6" i="5" l="1"/>
  <c r="G6" i="5" s="1"/>
  <c r="B3" i="9"/>
  <c r="E10" i="7"/>
  <c r="E9" i="7"/>
  <c r="E4" i="7"/>
  <c r="E7" i="7"/>
  <c r="E6" i="7"/>
  <c r="I40" i="6"/>
  <c r="G38" i="6"/>
  <c r="H38" i="6" s="1"/>
  <c r="G42" i="6"/>
  <c r="G46" i="6"/>
  <c r="G36" i="6"/>
  <c r="G37" i="6"/>
  <c r="H37" i="6" s="1"/>
  <c r="G49" i="6"/>
  <c r="I37" i="6"/>
  <c r="J37" i="6" s="1"/>
  <c r="I41" i="6"/>
  <c r="G39" i="6"/>
  <c r="H39" i="6" s="1"/>
  <c r="S39" i="6" s="1"/>
  <c r="G43" i="6"/>
  <c r="G47" i="6"/>
  <c r="G41" i="6"/>
  <c r="I38" i="6"/>
  <c r="J38" i="6" s="1"/>
  <c r="I36" i="6"/>
  <c r="J36" i="6" s="1"/>
  <c r="G40" i="6"/>
  <c r="G44" i="6"/>
  <c r="G48" i="6"/>
  <c r="I39" i="6"/>
  <c r="J39" i="6" s="1"/>
  <c r="G45" i="6"/>
  <c r="M27" i="4"/>
  <c r="M25" i="4"/>
  <c r="B6" i="4"/>
  <c r="F5" i="6"/>
  <c r="J6" i="5"/>
  <c r="N55" i="2"/>
  <c r="P5" i="2"/>
  <c r="B16" i="2"/>
  <c r="B11" i="2"/>
  <c r="L24" i="5" s="1"/>
  <c r="B9" i="2"/>
  <c r="L25" i="5" s="1"/>
  <c r="B17" i="1"/>
  <c r="B16" i="4" l="1"/>
  <c r="L16" i="4"/>
  <c r="L17" i="4" s="1"/>
  <c r="B13" i="9"/>
  <c r="B14" i="9"/>
  <c r="B11" i="9"/>
  <c r="O25" i="5"/>
  <c r="M25" i="5"/>
  <c r="I36" i="2"/>
  <c r="L26" i="5"/>
  <c r="O24" i="5"/>
  <c r="M24" i="5"/>
  <c r="F3" i="6"/>
  <c r="E42" i="6" s="1"/>
  <c r="H42" i="6" s="1"/>
  <c r="H36" i="6"/>
  <c r="S37" i="6" s="1"/>
  <c r="E14" i="5"/>
  <c r="L14" i="5" s="1"/>
  <c r="O14" i="5" s="1"/>
  <c r="B7" i="4"/>
  <c r="I10" i="9" s="1"/>
  <c r="E40" i="6"/>
  <c r="F40" i="6" s="1"/>
  <c r="D40" i="6" s="1"/>
  <c r="T37" i="6"/>
  <c r="T36" i="6"/>
  <c r="T38" i="6"/>
  <c r="T39" i="6"/>
  <c r="T40" i="6"/>
  <c r="F6" i="6"/>
  <c r="E41" i="6" s="1"/>
  <c r="N56" i="2"/>
  <c r="B12" i="2"/>
  <c r="I37" i="2" s="1"/>
  <c r="P22" i="2"/>
  <c r="P11" i="2"/>
  <c r="P7" i="2"/>
  <c r="P18" i="2"/>
  <c r="P14" i="2"/>
  <c r="P6" i="2"/>
  <c r="P20" i="2"/>
  <c r="P12" i="2"/>
  <c r="P13" i="2"/>
  <c r="P9" i="2"/>
  <c r="T44" i="1"/>
  <c r="AF44" i="1"/>
  <c r="AH44" i="1"/>
  <c r="AI44" i="1"/>
  <c r="AJ44" i="1"/>
  <c r="AG45" i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F8" i="4" l="1"/>
  <c r="I27" i="9"/>
  <c r="L18" i="4"/>
  <c r="O20" i="4" s="1"/>
  <c r="O26" i="5"/>
  <c r="M26" i="5"/>
  <c r="B8" i="4"/>
  <c r="M14" i="5"/>
  <c r="B5" i="7"/>
  <c r="C5" i="7" s="1"/>
  <c r="E5" i="7" s="1"/>
  <c r="F6" i="4"/>
  <c r="M40" i="6"/>
  <c r="N40" i="6" s="1"/>
  <c r="O40" i="6" s="1"/>
  <c r="M44" i="6"/>
  <c r="N44" i="6" s="1"/>
  <c r="M48" i="6"/>
  <c r="N48" i="6" s="1"/>
  <c r="M43" i="6"/>
  <c r="N43" i="6" s="1"/>
  <c r="M47" i="6"/>
  <c r="N47" i="6" s="1"/>
  <c r="M37" i="6"/>
  <c r="N37" i="6" s="1"/>
  <c r="M41" i="6"/>
  <c r="N41" i="6" s="1"/>
  <c r="P41" i="6" s="1"/>
  <c r="M45" i="6"/>
  <c r="N45" i="6" s="1"/>
  <c r="M49" i="6"/>
  <c r="N49" i="6" s="1"/>
  <c r="M38" i="6"/>
  <c r="N38" i="6" s="1"/>
  <c r="M42" i="6"/>
  <c r="N42" i="6" s="1"/>
  <c r="M46" i="6"/>
  <c r="N46" i="6" s="1"/>
  <c r="M36" i="6"/>
  <c r="N36" i="6" s="1"/>
  <c r="M39" i="6"/>
  <c r="N39" i="6" s="1"/>
  <c r="J41" i="6"/>
  <c r="J42" i="6" s="1"/>
  <c r="J43" i="6" s="1"/>
  <c r="J44" i="6" s="1"/>
  <c r="J45" i="6" s="1"/>
  <c r="J46" i="6" s="1"/>
  <c r="J47" i="6" s="1"/>
  <c r="J48" i="6" s="1"/>
  <c r="J49" i="6" s="1"/>
  <c r="J40" i="6"/>
  <c r="H40" i="6"/>
  <c r="F41" i="6"/>
  <c r="D41" i="6" s="1"/>
  <c r="F42" i="6"/>
  <c r="H41" i="6"/>
  <c r="B45" i="2"/>
  <c r="N57" i="2"/>
  <c r="P17" i="2"/>
  <c r="P8" i="2"/>
  <c r="P15" i="2"/>
  <c r="P21" i="2"/>
  <c r="P10" i="2"/>
  <c r="P16" i="2"/>
  <c r="P19" i="2"/>
  <c r="B28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U45" i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B24" i="1"/>
  <c r="B27" i="1" s="1"/>
  <c r="B14" i="1"/>
  <c r="B15" i="1" s="1"/>
  <c r="H6" i="5" l="1"/>
  <c r="I6" i="9"/>
  <c r="I5" i="9"/>
  <c r="I7" i="9" s="1"/>
  <c r="O41" i="6"/>
  <c r="B9" i="4"/>
  <c r="F12" i="4" s="1"/>
  <c r="F10" i="4"/>
  <c r="W40" i="6"/>
  <c r="P40" i="6"/>
  <c r="U40" i="6"/>
  <c r="Q40" i="6"/>
  <c r="V40" i="6"/>
  <c r="E11" i="7"/>
  <c r="V41" i="6"/>
  <c r="W41" i="6"/>
  <c r="U45" i="6"/>
  <c r="P45" i="6"/>
  <c r="Q42" i="6"/>
  <c r="V42" i="6"/>
  <c r="W42" i="6"/>
  <c r="U42" i="6"/>
  <c r="P42" i="6"/>
  <c r="O42" i="6"/>
  <c r="W37" i="6"/>
  <c r="U37" i="6"/>
  <c r="V37" i="6"/>
  <c r="Q37" i="6"/>
  <c r="O37" i="6"/>
  <c r="P37" i="6"/>
  <c r="V44" i="6"/>
  <c r="O44" i="6"/>
  <c r="U44" i="6"/>
  <c r="U46" i="6"/>
  <c r="P46" i="6"/>
  <c r="W43" i="6"/>
  <c r="U43" i="6"/>
  <c r="V43" i="6"/>
  <c r="Q43" i="6"/>
  <c r="Q41" i="6"/>
  <c r="O39" i="6"/>
  <c r="V39" i="6"/>
  <c r="Q39" i="6"/>
  <c r="W39" i="6"/>
  <c r="U39" i="6"/>
  <c r="P39" i="6"/>
  <c r="P38" i="6"/>
  <c r="Q38" i="6"/>
  <c r="V38" i="6"/>
  <c r="W38" i="6"/>
  <c r="U38" i="6"/>
  <c r="O38" i="6"/>
  <c r="U41" i="6"/>
  <c r="P36" i="6"/>
  <c r="W36" i="6"/>
  <c r="U36" i="6"/>
  <c r="V36" i="6"/>
  <c r="Q36" i="6"/>
  <c r="O36" i="6"/>
  <c r="P49" i="6"/>
  <c r="U49" i="6"/>
  <c r="U47" i="6"/>
  <c r="P47" i="6"/>
  <c r="O43" i="6"/>
  <c r="P43" i="6"/>
  <c r="H43" i="6"/>
  <c r="H44" i="6" s="1"/>
  <c r="H45" i="6" s="1"/>
  <c r="H46" i="6" s="1"/>
  <c r="H47" i="6" s="1"/>
  <c r="H48" i="6" s="1"/>
  <c r="H49" i="6" s="1"/>
  <c r="D42" i="6"/>
  <c r="F43" i="6"/>
  <c r="D43" i="6" s="1"/>
  <c r="N58" i="2"/>
  <c r="Q45" i="1"/>
  <c r="K44" i="1"/>
  <c r="Q44" i="1"/>
  <c r="AJ46" i="1"/>
  <c r="AH45" i="1"/>
  <c r="K57" i="1"/>
  <c r="K52" i="1"/>
  <c r="K46" i="1"/>
  <c r="K56" i="1"/>
  <c r="K50" i="1"/>
  <c r="K45" i="1"/>
  <c r="K49" i="1"/>
  <c r="K54" i="1"/>
  <c r="K53" i="1"/>
  <c r="K48" i="1"/>
  <c r="AJ45" i="1"/>
  <c r="AI45" i="1"/>
  <c r="K55" i="1"/>
  <c r="K51" i="1"/>
  <c r="K47" i="1"/>
  <c r="Q54" i="1"/>
  <c r="Q50" i="1"/>
  <c r="Q46" i="1"/>
  <c r="B18" i="1"/>
  <c r="Q55" i="1"/>
  <c r="Q47" i="1"/>
  <c r="Q57" i="1"/>
  <c r="Q53" i="1"/>
  <c r="Q49" i="1"/>
  <c r="Q51" i="1"/>
  <c r="Q56" i="1"/>
  <c r="Q52" i="1"/>
  <c r="Q48" i="1"/>
  <c r="AG39" i="6" l="1"/>
  <c r="I28" i="9"/>
  <c r="I11" i="9"/>
  <c r="I8" i="9"/>
  <c r="I18" i="9"/>
  <c r="I19" i="9" s="1"/>
  <c r="I22" i="9"/>
  <c r="I23" i="9"/>
  <c r="I24" i="9" s="1"/>
  <c r="I25" i="9" s="1"/>
  <c r="I26" i="9" s="1"/>
  <c r="AH39" i="6"/>
  <c r="AI39" i="6" s="1"/>
  <c r="AA36" i="6"/>
  <c r="AB47" i="6" s="1"/>
  <c r="AA46" i="6"/>
  <c r="AA40" i="6"/>
  <c r="AA44" i="6"/>
  <c r="AA42" i="6"/>
  <c r="AA39" i="6"/>
  <c r="AA41" i="6"/>
  <c r="AA49" i="6"/>
  <c r="AA45" i="6"/>
  <c r="AA47" i="6"/>
  <c r="AA48" i="6"/>
  <c r="AA38" i="6"/>
  <c r="AA37" i="6"/>
  <c r="AA43" i="6"/>
  <c r="AG48" i="6"/>
  <c r="AH48" i="6" s="1"/>
  <c r="AG49" i="6"/>
  <c r="AH49" i="6" s="1"/>
  <c r="AI49" i="6" s="1"/>
  <c r="AG45" i="6"/>
  <c r="AH45" i="6" s="1"/>
  <c r="AI45" i="6" s="1"/>
  <c r="AG41" i="6"/>
  <c r="AH41" i="6" s="1"/>
  <c r="AI41" i="6" s="1"/>
  <c r="AG37" i="6"/>
  <c r="AH37" i="6" s="1"/>
  <c r="AI37" i="6" s="1"/>
  <c r="AG44" i="6"/>
  <c r="AH44" i="6" s="1"/>
  <c r="AI44" i="6" s="1"/>
  <c r="AG40" i="6"/>
  <c r="AH40" i="6" s="1"/>
  <c r="AI40" i="6" s="1"/>
  <c r="AG36" i="6"/>
  <c r="AH36" i="6" s="1"/>
  <c r="AI36" i="6" s="1"/>
  <c r="AG47" i="6"/>
  <c r="AH47" i="6" s="1"/>
  <c r="AI47" i="6" s="1"/>
  <c r="AG43" i="6"/>
  <c r="AH43" i="6" s="1"/>
  <c r="AI43" i="6" s="1"/>
  <c r="AG38" i="6"/>
  <c r="AH38" i="6" s="1"/>
  <c r="AI38" i="6" s="1"/>
  <c r="AG46" i="6"/>
  <c r="AH46" i="6" s="1"/>
  <c r="AI46" i="6" s="1"/>
  <c r="AG42" i="6"/>
  <c r="AH42" i="6" s="1"/>
  <c r="AI42" i="6" s="1"/>
  <c r="AD37" i="6"/>
  <c r="AE37" i="6" s="1"/>
  <c r="AF37" i="6" s="1"/>
  <c r="AD46" i="6"/>
  <c r="AE46" i="6" s="1"/>
  <c r="AF46" i="6" s="1"/>
  <c r="AD42" i="6"/>
  <c r="AE42" i="6" s="1"/>
  <c r="AF42" i="6" s="1"/>
  <c r="AD47" i="6"/>
  <c r="AE47" i="6" s="1"/>
  <c r="AF47" i="6" s="1"/>
  <c r="AD41" i="6"/>
  <c r="AE41" i="6" s="1"/>
  <c r="AF41" i="6" s="1"/>
  <c r="AD40" i="6"/>
  <c r="AE40" i="6" s="1"/>
  <c r="AF40" i="6" s="1"/>
  <c r="AD36" i="6"/>
  <c r="AE36" i="6" s="1"/>
  <c r="AF36" i="6" s="1"/>
  <c r="AD44" i="6"/>
  <c r="AE44" i="6" s="1"/>
  <c r="AF44" i="6" s="1"/>
  <c r="AD45" i="6"/>
  <c r="AE45" i="6" s="1"/>
  <c r="AF45" i="6" s="1"/>
  <c r="AD48" i="6"/>
  <c r="AE48" i="6" s="1"/>
  <c r="AD39" i="6"/>
  <c r="AE39" i="6" s="1"/>
  <c r="AF39" i="6" s="1"/>
  <c r="AD49" i="6"/>
  <c r="AE49" i="6" s="1"/>
  <c r="AF49" i="6" s="1"/>
  <c r="AD38" i="6"/>
  <c r="AE38" i="6" s="1"/>
  <c r="AF38" i="6" s="1"/>
  <c r="AD43" i="6"/>
  <c r="AE43" i="6" s="1"/>
  <c r="AF43" i="6" s="1"/>
  <c r="X41" i="6"/>
  <c r="X36" i="6"/>
  <c r="Y47" i="6" s="1"/>
  <c r="X48" i="6"/>
  <c r="X39" i="6"/>
  <c r="X49" i="6"/>
  <c r="X45" i="6"/>
  <c r="X38" i="6"/>
  <c r="X40" i="6"/>
  <c r="X47" i="6"/>
  <c r="X43" i="6"/>
  <c r="X44" i="6"/>
  <c r="X37" i="6"/>
  <c r="X46" i="6"/>
  <c r="X42" i="6"/>
  <c r="P44" i="6"/>
  <c r="F44" i="6"/>
  <c r="D44" i="6" s="1"/>
  <c r="AI46" i="1"/>
  <c r="AH46" i="1"/>
  <c r="N59" i="2"/>
  <c r="I16" i="9" l="1"/>
  <c r="I30" i="9" s="1"/>
  <c r="I9" i="9"/>
  <c r="Z47" i="6"/>
  <c r="Y38" i="6"/>
  <c r="Z38" i="6" s="1"/>
  <c r="Y46" i="6"/>
  <c r="Z46" i="6" s="1"/>
  <c r="Y49" i="6"/>
  <c r="Z49" i="6" s="1"/>
  <c r="Y36" i="6"/>
  <c r="Z36" i="6" s="1"/>
  <c r="Y42" i="6"/>
  <c r="Z42" i="6" s="1"/>
  <c r="Y45" i="6"/>
  <c r="Z45" i="6" s="1"/>
  <c r="Y44" i="6"/>
  <c r="Z44" i="6" s="1"/>
  <c r="AB38" i="6"/>
  <c r="AC38" i="6" s="1"/>
  <c r="AB41" i="6"/>
  <c r="AC41" i="6" s="1"/>
  <c r="AB48" i="6"/>
  <c r="Y37" i="6"/>
  <c r="Z37" i="6" s="1"/>
  <c r="Y39" i="6"/>
  <c r="Z39" i="6" s="1"/>
  <c r="Y43" i="6"/>
  <c r="Z43" i="6" s="1"/>
  <c r="AB42" i="6"/>
  <c r="AC42" i="6" s="1"/>
  <c r="AB43" i="6"/>
  <c r="AC43" i="6" s="1"/>
  <c r="AC47" i="6"/>
  <c r="Y40" i="6"/>
  <c r="Z40" i="6" s="1"/>
  <c r="Y41" i="6"/>
  <c r="Z41" i="6" s="1"/>
  <c r="Y48" i="6"/>
  <c r="AB37" i="6"/>
  <c r="AC37" i="6" s="1"/>
  <c r="AB39" i="6"/>
  <c r="AC39" i="6" s="1"/>
  <c r="AB36" i="6"/>
  <c r="AC36" i="6" s="1"/>
  <c r="AB49" i="6"/>
  <c r="AC49" i="6" s="1"/>
  <c r="AB44" i="6"/>
  <c r="AC44" i="6" s="1"/>
  <c r="AB46" i="6"/>
  <c r="AC46" i="6" s="1"/>
  <c r="AB45" i="6"/>
  <c r="AC45" i="6" s="1"/>
  <c r="AB40" i="6"/>
  <c r="AC40" i="6" s="1"/>
  <c r="F45" i="6"/>
  <c r="D45" i="6" s="1"/>
  <c r="N60" i="2"/>
  <c r="AJ47" i="1"/>
  <c r="AH47" i="1"/>
  <c r="AI47" i="1"/>
  <c r="F46" i="6" l="1"/>
  <c r="D46" i="6" s="1"/>
  <c r="N61" i="2"/>
  <c r="AI48" i="1"/>
  <c r="AJ48" i="1"/>
  <c r="AH48" i="1"/>
  <c r="E48" i="6" l="1"/>
  <c r="F47" i="6"/>
  <c r="D47" i="6" s="1"/>
  <c r="N62" i="2"/>
  <c r="AJ49" i="1"/>
  <c r="AI49" i="1"/>
  <c r="AH49" i="1"/>
  <c r="F48" i="6" l="1"/>
  <c r="D48" i="6" s="1"/>
  <c r="U48" i="6"/>
  <c r="P48" i="6"/>
  <c r="AI48" i="6"/>
  <c r="AF48" i="6"/>
  <c r="Z48" i="6"/>
  <c r="AC48" i="6"/>
  <c r="N63" i="2"/>
  <c r="AH50" i="1"/>
  <c r="AJ50" i="1"/>
  <c r="AI50" i="1"/>
  <c r="N64" i="2" l="1"/>
  <c r="AJ51" i="1"/>
  <c r="AI51" i="1"/>
  <c r="AH51" i="1"/>
  <c r="AJ52" i="1" l="1"/>
  <c r="AH52" i="1"/>
  <c r="AI52" i="1"/>
  <c r="AH53" i="1" l="1"/>
  <c r="AI53" i="1"/>
  <c r="AJ53" i="1"/>
  <c r="AJ54" i="1" l="1"/>
  <c r="AH54" i="1"/>
  <c r="AI54" i="1"/>
  <c r="AH55" i="1" l="1"/>
  <c r="AI55" i="1"/>
  <c r="AJ55" i="1"/>
  <c r="AJ56" i="1" l="1"/>
  <c r="AH56" i="1"/>
  <c r="AI56" i="1"/>
  <c r="AI57" i="1" l="1"/>
  <c r="AH57" i="1"/>
  <c r="AJ57" i="1"/>
  <c r="J4" i="3"/>
  <c r="J5" i="3" l="1"/>
  <c r="J6" i="3" l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B13" i="7" l="1"/>
  <c r="E13" i="7" s="1"/>
  <c r="B12" i="7"/>
  <c r="E12" i="7" s="1"/>
  <c r="H12" i="5"/>
  <c r="L12" i="5" s="1"/>
  <c r="E15" i="7" l="1"/>
  <c r="M12" i="5"/>
  <c r="O12" i="5"/>
  <c r="B6" i="1"/>
  <c r="B15" i="3"/>
  <c r="B25" i="3" l="1"/>
  <c r="M31" i="4"/>
  <c r="M33" i="4" s="1"/>
  <c r="B18" i="3" s="1"/>
  <c r="B16" i="3" s="1"/>
  <c r="B25" i="2" s="1"/>
  <c r="B23" i="2" s="1"/>
  <c r="R47" i="1"/>
  <c r="AB47" i="1" s="1"/>
  <c r="AC47" i="1" s="1"/>
  <c r="R45" i="1"/>
  <c r="AB45" i="1" s="1"/>
  <c r="AC45" i="1" s="1"/>
  <c r="L45" i="1"/>
  <c r="V45" i="1" s="1"/>
  <c r="W45" i="1" s="1"/>
  <c r="L48" i="1"/>
  <c r="V48" i="1" s="1"/>
  <c r="W48" i="1" s="1"/>
  <c r="S49" i="1"/>
  <c r="L51" i="1"/>
  <c r="V51" i="1" s="1"/>
  <c r="W51" i="1" s="1"/>
  <c r="S52" i="1"/>
  <c r="R53" i="1"/>
  <c r="AB53" i="1" s="1"/>
  <c r="AC53" i="1" s="1"/>
  <c r="S55" i="1"/>
  <c r="L56" i="1"/>
  <c r="V56" i="1" s="1"/>
  <c r="W56" i="1" s="1"/>
  <c r="L57" i="1"/>
  <c r="V57" i="1" s="1"/>
  <c r="W57" i="1" s="1"/>
  <c r="L55" i="1"/>
  <c r="V55" i="1" s="1"/>
  <c r="W55" i="1" s="1"/>
  <c r="R55" i="1"/>
  <c r="AB55" i="1" s="1"/>
  <c r="AC55" i="1" s="1"/>
  <c r="L46" i="1"/>
  <c r="V46" i="1" s="1"/>
  <c r="W46" i="1" s="1"/>
  <c r="S47" i="1"/>
  <c r="S48" i="1"/>
  <c r="L50" i="1"/>
  <c r="V50" i="1" s="1"/>
  <c r="W50" i="1" s="1"/>
  <c r="S51" i="1"/>
  <c r="R52" i="1"/>
  <c r="AB52" i="1" s="1"/>
  <c r="AC52" i="1" s="1"/>
  <c r="R54" i="1"/>
  <c r="AB54" i="1" s="1"/>
  <c r="AC54" i="1" s="1"/>
  <c r="S56" i="1"/>
  <c r="R57" i="1"/>
  <c r="AB57" i="1" s="1"/>
  <c r="AC57" i="1" s="1"/>
  <c r="S45" i="1"/>
  <c r="S46" i="1"/>
  <c r="R44" i="1"/>
  <c r="AB44" i="1" s="1"/>
  <c r="AC44" i="1" s="1"/>
  <c r="L49" i="1"/>
  <c r="V49" i="1" s="1"/>
  <c r="W49" i="1" s="1"/>
  <c r="R50" i="1"/>
  <c r="AB50" i="1" s="1"/>
  <c r="AC50" i="1" s="1"/>
  <c r="R51" i="1"/>
  <c r="AB51" i="1" s="1"/>
  <c r="AC51" i="1" s="1"/>
  <c r="S53" i="1"/>
  <c r="L54" i="1"/>
  <c r="V54" i="1" s="1"/>
  <c r="W54" i="1" s="1"/>
  <c r="S57" i="1"/>
  <c r="L47" i="1"/>
  <c r="V47" i="1" s="1"/>
  <c r="W47" i="1" s="1"/>
  <c r="R46" i="1"/>
  <c r="AB46" i="1" s="1"/>
  <c r="AC46" i="1" s="1"/>
  <c r="R48" i="1"/>
  <c r="AB48" i="1" s="1"/>
  <c r="AC48" i="1" s="1"/>
  <c r="R49" i="1"/>
  <c r="AB49" i="1" s="1"/>
  <c r="AC49" i="1" s="1"/>
  <c r="S50" i="1"/>
  <c r="L52" i="1"/>
  <c r="V52" i="1" s="1"/>
  <c r="W52" i="1" s="1"/>
  <c r="L53" i="1"/>
  <c r="V53" i="1" s="1"/>
  <c r="W53" i="1" s="1"/>
  <c r="S54" i="1"/>
  <c r="R56" i="1"/>
  <c r="AB56" i="1" s="1"/>
  <c r="AC56" i="1" s="1"/>
  <c r="L44" i="1"/>
  <c r="V44" i="1" s="1"/>
  <c r="W44" i="1" s="1"/>
  <c r="S44" i="1"/>
  <c r="P14" i="3" l="1"/>
  <c r="P17" i="3"/>
  <c r="O8" i="3"/>
  <c r="M15" i="3"/>
  <c r="M11" i="3"/>
  <c r="P8" i="3"/>
  <c r="P20" i="3"/>
  <c r="M9" i="3"/>
  <c r="O11" i="3"/>
  <c r="P6" i="3"/>
  <c r="P19" i="3"/>
  <c r="M6" i="3"/>
  <c r="P9" i="3"/>
  <c r="O17" i="3"/>
  <c r="P15" i="3"/>
  <c r="O3" i="3"/>
  <c r="O16" i="3"/>
  <c r="M16" i="3"/>
  <c r="O19" i="3"/>
  <c r="P18" i="3"/>
  <c r="O14" i="3"/>
  <c r="P10" i="3"/>
  <c r="O7" i="3"/>
  <c r="M18" i="3"/>
  <c r="O10" i="3"/>
  <c r="O6" i="3"/>
  <c r="O4" i="3"/>
  <c r="P13" i="3"/>
  <c r="O15" i="3"/>
  <c r="P5" i="3"/>
  <c r="M3" i="3"/>
  <c r="M21" i="3"/>
  <c r="M12" i="3"/>
  <c r="M4" i="3"/>
  <c r="P3" i="3"/>
  <c r="O5" i="3"/>
  <c r="O21" i="3"/>
  <c r="P4" i="3"/>
  <c r="P21" i="3"/>
  <c r="P16" i="3"/>
  <c r="O13" i="3"/>
  <c r="M19" i="3"/>
  <c r="M17" i="3"/>
  <c r="M20" i="3"/>
  <c r="M7" i="3"/>
  <c r="C103" i="2"/>
  <c r="I104" i="2" s="1"/>
  <c r="O9" i="3"/>
  <c r="P7" i="3"/>
  <c r="P12" i="3"/>
  <c r="M5" i="3"/>
  <c r="O12" i="3"/>
  <c r="O18" i="3"/>
  <c r="P11" i="3"/>
  <c r="O20" i="3"/>
  <c r="M10" i="3"/>
  <c r="M14" i="3"/>
  <c r="M8" i="3"/>
  <c r="M13" i="3"/>
  <c r="B28" i="2" l="1"/>
  <c r="V20" i="2"/>
  <c r="W20" i="2" s="1"/>
  <c r="T14" i="2"/>
  <c r="U14" i="2" s="1"/>
  <c r="R11" i="2"/>
  <c r="S11" i="2" s="1"/>
  <c r="V13" i="2"/>
  <c r="W13" i="2" s="1"/>
  <c r="T11" i="2"/>
  <c r="U11" i="2" s="1"/>
  <c r="R12" i="2"/>
  <c r="S12" i="2" s="1"/>
  <c r="V18" i="2"/>
  <c r="W18" i="2" s="1"/>
  <c r="R17" i="2"/>
  <c r="S17" i="2" s="1"/>
  <c r="V15" i="2"/>
  <c r="W15" i="2" s="1"/>
  <c r="R6" i="2"/>
  <c r="S6" i="2" s="1"/>
  <c r="R4" i="2"/>
  <c r="S4" i="2" s="1"/>
  <c r="T8" i="2"/>
  <c r="U8" i="2" s="1"/>
  <c r="V19" i="2"/>
  <c r="W19" i="2" s="1"/>
  <c r="V8" i="2"/>
  <c r="W8" i="2" s="1"/>
  <c r="T4" i="2"/>
  <c r="U4" i="2" s="1"/>
  <c r="T18" i="2"/>
  <c r="U18" i="2" s="1"/>
  <c r="R15" i="2"/>
  <c r="S15" i="2" s="1"/>
  <c r="V17" i="2"/>
  <c r="W17" i="2" s="1"/>
  <c r="T15" i="2"/>
  <c r="U15" i="2" s="1"/>
  <c r="R16" i="2"/>
  <c r="S16" i="2" s="1"/>
  <c r="T12" i="2"/>
  <c r="U12" i="2" s="1"/>
  <c r="R21" i="2"/>
  <c r="S21" i="2" s="1"/>
  <c r="V4" i="2"/>
  <c r="W4" i="2" s="1"/>
  <c r="R14" i="2"/>
  <c r="S14" i="2" s="1"/>
  <c r="V6" i="2"/>
  <c r="W6" i="2" s="1"/>
  <c r="T16" i="2"/>
  <c r="U16" i="2" s="1"/>
  <c r="T5" i="2"/>
  <c r="U5" i="2" s="1"/>
  <c r="R22" i="2"/>
  <c r="S22" i="2" s="1"/>
  <c r="V12" i="2"/>
  <c r="W12" i="2" s="1"/>
  <c r="T6" i="2"/>
  <c r="U6" i="2" s="1"/>
  <c r="T22" i="2"/>
  <c r="U22" i="2" s="1"/>
  <c r="R19" i="2"/>
  <c r="S19" i="2" s="1"/>
  <c r="V21" i="2"/>
  <c r="W21" i="2" s="1"/>
  <c r="T19" i="2"/>
  <c r="U19" i="2" s="1"/>
  <c r="R20" i="2"/>
  <c r="S20" i="2" s="1"/>
  <c r="T20" i="2"/>
  <c r="U20" i="2" s="1"/>
  <c r="V7" i="2"/>
  <c r="W7" i="2" s="1"/>
  <c r="T9" i="2"/>
  <c r="U9" i="2" s="1"/>
  <c r="R18" i="2"/>
  <c r="S18" i="2" s="1"/>
  <c r="V14" i="2"/>
  <c r="W14" i="2" s="1"/>
  <c r="R5" i="2"/>
  <c r="S5" i="2" s="1"/>
  <c r="T13" i="2"/>
  <c r="U13" i="2" s="1"/>
  <c r="V16" i="2"/>
  <c r="W16" i="2" s="1"/>
  <c r="T10" i="2"/>
  <c r="U10" i="2" s="1"/>
  <c r="R7" i="2"/>
  <c r="S7" i="2" s="1"/>
  <c r="V9" i="2"/>
  <c r="W9" i="2" s="1"/>
  <c r="T7" i="2"/>
  <c r="U7" i="2" s="1"/>
  <c r="R8" i="2"/>
  <c r="S8" i="2" s="1"/>
  <c r="V10" i="2"/>
  <c r="W10" i="2" s="1"/>
  <c r="R9" i="2"/>
  <c r="S9" i="2" s="1"/>
  <c r="V11" i="2"/>
  <c r="W11" i="2" s="1"/>
  <c r="T17" i="2"/>
  <c r="U17" i="2" s="1"/>
  <c r="V5" i="2"/>
  <c r="W5" i="2" s="1"/>
  <c r="V22" i="2"/>
  <c r="W22" i="2" s="1"/>
  <c r="R13" i="2"/>
  <c r="S13" i="2" s="1"/>
  <c r="T21" i="2"/>
  <c r="U21" i="2" s="1"/>
  <c r="R10" i="2"/>
  <c r="S10" i="2" s="1"/>
  <c r="B44" i="2" l="1"/>
  <c r="B30" i="2"/>
  <c r="Q4" i="2" s="1"/>
  <c r="G3" i="3"/>
  <c r="G4" i="3" s="1"/>
  <c r="G5" i="3" s="1"/>
  <c r="Q15" i="2" l="1"/>
  <c r="Q19" i="2"/>
  <c r="Q20" i="2"/>
  <c r="Q11" i="2"/>
  <c r="I35" i="2"/>
  <c r="Q6" i="2"/>
  <c r="Q13" i="2"/>
  <c r="Q16" i="2"/>
  <c r="Q10" i="2"/>
  <c r="Q18" i="2"/>
  <c r="Q14" i="2"/>
  <c r="Q7" i="2"/>
  <c r="Q5" i="2"/>
  <c r="Q9" i="2"/>
  <c r="Q17" i="2"/>
  <c r="Q12" i="2"/>
  <c r="Q8" i="2"/>
  <c r="Q22" i="2"/>
  <c r="Q21" i="2"/>
  <c r="O58" i="2"/>
  <c r="O60" i="2"/>
  <c r="O53" i="2"/>
  <c r="O59" i="2"/>
  <c r="O61" i="2"/>
  <c r="O62" i="2"/>
  <c r="C84" i="2"/>
  <c r="C74" i="2"/>
  <c r="I75" i="2" s="1"/>
  <c r="O54" i="2"/>
  <c r="O56" i="2"/>
  <c r="O52" i="2"/>
  <c r="O57" i="2"/>
  <c r="O63" i="2"/>
  <c r="O64" i="2"/>
  <c r="O55" i="2"/>
  <c r="C96" i="2" l="1"/>
  <c r="C99" i="2" s="1"/>
  <c r="H99" i="2" s="1"/>
  <c r="C102" i="2"/>
  <c r="C105" i="2" s="1"/>
  <c r="H105" i="2" s="1"/>
  <c r="C89" i="2"/>
  <c r="C92" i="2" s="1"/>
  <c r="H92" i="2" s="1"/>
  <c r="C85" i="2"/>
  <c r="G86" i="2" s="1"/>
  <c r="J13" i="5"/>
  <c r="K35" i="2"/>
  <c r="I13" i="5"/>
  <c r="I34" i="2"/>
  <c r="H13" i="5"/>
  <c r="L22" i="5"/>
  <c r="K13" i="5" l="1"/>
  <c r="E13" i="5"/>
  <c r="O22" i="5"/>
  <c r="M22" i="5"/>
  <c r="L20" i="5"/>
  <c r="M20" i="5" s="1"/>
  <c r="E16" i="5"/>
  <c r="L16" i="5" s="1"/>
  <c r="M16" i="5" l="1"/>
  <c r="O16" i="5"/>
  <c r="L13" i="5"/>
  <c r="G17" i="5" l="1"/>
  <c r="M13" i="5"/>
  <c r="O13" i="5"/>
  <c r="E17" i="5"/>
  <c r="K17" i="5" s="1"/>
  <c r="L17" i="5" l="1"/>
  <c r="M17" i="5" s="1"/>
  <c r="O17" i="5" l="1"/>
  <c r="E63" i="8"/>
  <c r="E69" i="8" s="1"/>
  <c r="E10" i="5" l="1"/>
  <c r="L10" i="5" s="1"/>
  <c r="E9" i="5"/>
  <c r="L9" i="5" s="1"/>
  <c r="E11" i="5"/>
  <c r="L11" i="5" s="1"/>
  <c r="E6" i="5"/>
  <c r="L6" i="5" s="1"/>
  <c r="L33" i="9" l="1"/>
  <c r="O6" i="5"/>
  <c r="M6" i="5"/>
  <c r="L19" i="5"/>
  <c r="O11" i="5"/>
  <c r="M11" i="5"/>
  <c r="M9" i="5"/>
  <c r="O9" i="5"/>
  <c r="O10" i="5"/>
  <c r="M10" i="5"/>
  <c r="L21" i="5" l="1"/>
  <c r="B5" i="8"/>
  <c r="L28" i="5"/>
  <c r="M28" i="5" s="1"/>
  <c r="L32" i="5"/>
  <c r="M32" i="5" s="1"/>
  <c r="L30" i="5"/>
  <c r="M30" i="5" s="1"/>
  <c r="M19" i="5"/>
  <c r="L34" i="5"/>
  <c r="O19" i="5"/>
  <c r="O28" i="5" l="1"/>
  <c r="N28" i="5" s="1"/>
  <c r="N29" i="5" s="1"/>
  <c r="O34" i="5"/>
  <c r="N34" i="5" s="1"/>
  <c r="N35" i="5" s="1"/>
  <c r="O30" i="5"/>
  <c r="N30" i="5" s="1"/>
  <c r="N31" i="5" s="1"/>
  <c r="O32" i="5"/>
  <c r="N32" i="5" s="1"/>
  <c r="N33" i="5" s="1"/>
  <c r="M34" i="5"/>
  <c r="L37" i="5"/>
  <c r="L38" i="5" s="1"/>
  <c r="L16" i="8"/>
  <c r="L17" i="8"/>
  <c r="F24" i="8"/>
  <c r="F22" i="8"/>
  <c r="F23" i="8"/>
  <c r="L18" i="8" s="1"/>
  <c r="L22" i="8"/>
  <c r="H9" i="8" l="1"/>
  <c r="L15" i="8"/>
  <c r="L19" i="8" s="1"/>
  <c r="H10" i="8"/>
  <c r="L20" i="8"/>
  <c r="L21" i="8" s="1"/>
  <c r="C33" i="8" s="1"/>
  <c r="L29" i="8" l="1"/>
  <c r="C32" i="8"/>
  <c r="U47" i="8" l="1"/>
  <c r="U33" i="8"/>
  <c r="T37" i="8"/>
  <c r="T49" i="8"/>
  <c r="T32" i="8"/>
  <c r="U39" i="8"/>
  <c r="U44" i="8"/>
  <c r="U52" i="8"/>
  <c r="T52" i="8"/>
  <c r="C39" i="8"/>
  <c r="T36" i="8"/>
  <c r="T35" i="8"/>
  <c r="U42" i="8"/>
  <c r="U36" i="8"/>
  <c r="U49" i="8"/>
  <c r="T44" i="8"/>
  <c r="T53" i="8"/>
  <c r="T34" i="8"/>
  <c r="U38" i="8"/>
  <c r="T45" i="8"/>
  <c r="U34" i="8"/>
  <c r="T33" i="8"/>
  <c r="T47" i="8"/>
  <c r="T40" i="8"/>
  <c r="T42" i="8"/>
  <c r="T50" i="8"/>
  <c r="U41" i="8"/>
  <c r="T48" i="8"/>
  <c r="T38" i="8"/>
  <c r="U43" i="8"/>
  <c r="U50" i="8"/>
  <c r="U51" i="8"/>
  <c r="U37" i="8"/>
  <c r="T51" i="8"/>
  <c r="U46" i="8"/>
  <c r="U53" i="8"/>
  <c r="U32" i="8"/>
  <c r="T39" i="8"/>
  <c r="U45" i="8"/>
  <c r="T43" i="8"/>
  <c r="U48" i="8"/>
  <c r="U40" i="8"/>
  <c r="T46" i="8"/>
  <c r="T41" i="8"/>
  <c r="U35" i="8"/>
  <c r="L28" i="8"/>
  <c r="L58" i="8"/>
  <c r="L62" i="8" s="1"/>
  <c r="L63" i="8" s="1"/>
  <c r="E74" i="8" s="1"/>
  <c r="E76" i="8" s="1"/>
  <c r="E77" i="8" s="1"/>
  <c r="H30" i="4" l="1"/>
  <c r="B22" i="3" l="1"/>
  <c r="B26" i="3" s="1"/>
  <c r="B29" i="3" s="1"/>
  <c r="B11" i="1"/>
  <c r="B9" i="1" l="1"/>
  <c r="B23" i="3"/>
  <c r="B27" i="3" s="1"/>
  <c r="F7" i="4"/>
  <c r="O56" i="1" l="1"/>
  <c r="O46" i="1"/>
  <c r="O44" i="1"/>
  <c r="O57" i="1"/>
  <c r="O47" i="1"/>
  <c r="O45" i="1"/>
  <c r="O55" i="1"/>
  <c r="O53" i="1"/>
  <c r="O49" i="1"/>
  <c r="O50" i="1"/>
  <c r="O54" i="1"/>
  <c r="O48" i="1"/>
  <c r="O52" i="1"/>
  <c r="O51" i="1"/>
  <c r="H29" i="4" l="1"/>
  <c r="H31" i="4" s="1"/>
  <c r="B21" i="1" l="1"/>
  <c r="M54" i="1" l="1"/>
  <c r="N54" i="1" s="1"/>
  <c r="X54" i="1" s="1"/>
  <c r="Y54" i="1" s="1"/>
  <c r="M56" i="1"/>
  <c r="N56" i="1" s="1"/>
  <c r="X56" i="1" s="1"/>
  <c r="Y56" i="1" s="1"/>
  <c r="M50" i="1"/>
  <c r="N50" i="1" s="1"/>
  <c r="X50" i="1" s="1"/>
  <c r="Y50" i="1" s="1"/>
  <c r="M53" i="1"/>
  <c r="N53" i="1" s="1"/>
  <c r="X53" i="1" s="1"/>
  <c r="Y53" i="1" s="1"/>
  <c r="M57" i="1"/>
  <c r="N57" i="1" s="1"/>
  <c r="X57" i="1" s="1"/>
  <c r="Y57" i="1" s="1"/>
  <c r="M48" i="1"/>
  <c r="N48" i="1" s="1"/>
  <c r="X48" i="1" s="1"/>
  <c r="Y48" i="1" s="1"/>
  <c r="M49" i="1"/>
  <c r="N49" i="1" s="1"/>
  <c r="X49" i="1" s="1"/>
  <c r="Y49" i="1" s="1"/>
  <c r="M45" i="1"/>
  <c r="N45" i="1" s="1"/>
  <c r="X45" i="1" s="1"/>
  <c r="Y45" i="1" s="1"/>
  <c r="M47" i="1"/>
  <c r="N47" i="1" s="1"/>
  <c r="X47" i="1" s="1"/>
  <c r="Y47" i="1" s="1"/>
  <c r="M52" i="1"/>
  <c r="N52" i="1" s="1"/>
  <c r="X52" i="1" s="1"/>
  <c r="Y52" i="1" s="1"/>
  <c r="M44" i="1"/>
  <c r="N44" i="1" s="1"/>
  <c r="X44" i="1" s="1"/>
  <c r="Y44" i="1" s="1"/>
  <c r="M46" i="1"/>
  <c r="N46" i="1" s="1"/>
  <c r="X46" i="1" s="1"/>
  <c r="Y46" i="1" s="1"/>
  <c r="M55" i="1"/>
  <c r="N55" i="1" s="1"/>
  <c r="X55" i="1" s="1"/>
  <c r="Y55" i="1" s="1"/>
  <c r="M51" i="1"/>
  <c r="N51" i="1" s="1"/>
  <c r="X51" i="1" s="1"/>
  <c r="Y51" i="1" s="1"/>
  <c r="AD47" i="1"/>
  <c r="AE47" i="1" s="1"/>
  <c r="AD49" i="1"/>
  <c r="AE49" i="1" s="1"/>
  <c r="AD50" i="1"/>
  <c r="AE50" i="1" s="1"/>
  <c r="AD51" i="1"/>
  <c r="AE51" i="1" s="1"/>
  <c r="AD53" i="1"/>
  <c r="AE53" i="1" s="1"/>
  <c r="AD46" i="1"/>
  <c r="AE46" i="1" s="1"/>
  <c r="AD56" i="1"/>
  <c r="AE56" i="1" s="1"/>
  <c r="AD48" i="1"/>
  <c r="AE48" i="1" s="1"/>
  <c r="AD54" i="1"/>
  <c r="AE54" i="1" s="1"/>
  <c r="AD45" i="1"/>
  <c r="AE45" i="1" s="1"/>
  <c r="AD55" i="1"/>
  <c r="AE55" i="1" s="1"/>
  <c r="AD57" i="1"/>
  <c r="AE57" i="1" s="1"/>
  <c r="AD52" i="1"/>
  <c r="AE52" i="1" s="1"/>
  <c r="AD44" i="1"/>
  <c r="AE44" i="1" s="1"/>
  <c r="B10" i="1" l="1"/>
  <c r="P45" i="1" l="1"/>
  <c r="Z45" i="1" s="1"/>
  <c r="AA45" i="1" s="1"/>
  <c r="P52" i="1"/>
  <c r="Z52" i="1" s="1"/>
  <c r="AA52" i="1" s="1"/>
  <c r="P54" i="1"/>
  <c r="Z54" i="1" s="1"/>
  <c r="AA54" i="1" s="1"/>
  <c r="P56" i="1"/>
  <c r="Z56" i="1" s="1"/>
  <c r="AA56" i="1" s="1"/>
  <c r="P46" i="1"/>
  <c r="Z46" i="1" s="1"/>
  <c r="AA46" i="1" s="1"/>
  <c r="P49" i="1"/>
  <c r="Z49" i="1" s="1"/>
  <c r="AA49" i="1" s="1"/>
  <c r="P48" i="1"/>
  <c r="Z48" i="1" s="1"/>
  <c r="AA48" i="1" s="1"/>
  <c r="P47" i="1"/>
  <c r="Z47" i="1" s="1"/>
  <c r="AA47" i="1" s="1"/>
  <c r="P44" i="1"/>
  <c r="P57" i="1"/>
  <c r="Z57" i="1" s="1"/>
  <c r="AA57" i="1" s="1"/>
  <c r="P55" i="1"/>
  <c r="Z55" i="1" s="1"/>
  <c r="AA55" i="1" s="1"/>
  <c r="P53" i="1"/>
  <c r="Z53" i="1" s="1"/>
  <c r="AA53" i="1" s="1"/>
  <c r="P50" i="1"/>
  <c r="Z50" i="1" s="1"/>
  <c r="AA50" i="1" s="1"/>
  <c r="P51" i="1"/>
  <c r="Z51" i="1" s="1"/>
  <c r="AA51" i="1" s="1"/>
  <c r="Z44" i="1" l="1"/>
  <c r="AA44" i="1" s="1"/>
  <c r="B28" i="3"/>
  <c r="N7" i="3" l="1"/>
  <c r="N16" i="3"/>
  <c r="N14" i="3"/>
  <c r="N15" i="3"/>
  <c r="N8" i="3"/>
  <c r="N5" i="3"/>
  <c r="N10" i="3"/>
  <c r="N17" i="3"/>
  <c r="N9" i="3"/>
  <c r="N12" i="3"/>
  <c r="N13" i="3"/>
  <c r="N3" i="3"/>
  <c r="N19" i="3"/>
  <c r="N11" i="3"/>
  <c r="N21" i="3"/>
  <c r="N20" i="3"/>
  <c r="N4" i="3"/>
  <c r="N6" i="3"/>
  <c r="N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Geoffrey Nyaga</author>
  </authors>
  <commentList>
    <comment ref="A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This is empty weight excluding engines,avionics,tyres,furnishings,controls etc</t>
        </r>
      </text>
    </comment>
    <comment ref="K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COST OF POWER PLANT</t>
        </r>
      </text>
    </comment>
    <comment ref="D6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(as of 25th august 2015)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Geoffrey Nyaga</author>
  </authors>
  <commentList>
    <comment ref="A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gudmundsson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Geoffrey Nyaga</author>
  </authors>
  <commentList>
    <comment ref="F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CRUISE LIFT COEFFICIENT</t>
        </r>
      </text>
    </comment>
    <comment ref="A1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AS per FAR regulations for the aircraft classification</t>
        </r>
      </text>
    </comment>
    <comment ref="F18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The service ceiling is defined as the highest altitude at which
the aircraft can climb with a rate of 100 ft/min
</t>
        </r>
      </text>
    </comment>
    <comment ref="A2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distace until 50ft clearance</t>
        </r>
      </text>
    </comment>
    <comment ref="A22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Use the lifting line theory MatLab file to determine this</t>
        </r>
      </text>
    </comment>
    <comment ref="A24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Sugessted value by Sadraey 0.003 to 0.008</t>
        </r>
      </text>
    </comment>
    <comment ref="J86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number of engines</t>
        </r>
      </text>
    </comment>
    <comment ref="E89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COMPRESSION RATIO</t>
        </r>
      </text>
    </comment>
    <comment ref="F89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time before overhaul</t>
        </r>
      </text>
    </comment>
    <comment ref="C98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Maximum Except Take-off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Geoffrey Nyaga</author>
  </authors>
  <commentList>
    <comment ref="A12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Geoffrey Nyaga:</t>
        </r>
        <r>
          <rPr>
            <sz val="9"/>
            <color indexed="81"/>
            <rFont val="Tahoma"/>
            <charset val="1"/>
          </rPr>
          <t xml:space="preserve">
ground run</t>
        </r>
      </text>
    </comment>
    <comment ref="A1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this is the maximum load factor the aircraft can endure in a turn</t>
        </r>
      </text>
    </comment>
    <comment ref="A2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forward velocity during climb</t>
        </r>
      </text>
    </comment>
    <comment ref="A2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propeller efficiency at desired altitude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Geoffrey Nyaga</author>
  </authors>
  <commentList>
    <comment ref="R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Fuselage wetted area</t>
        </r>
      </text>
    </comment>
    <comment ref="R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length of fuselage minus tail cone and radome i.e forward bulkhead to aft frame</t>
        </r>
      </text>
    </comment>
    <comment ref="J6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this includes wing tip fairings and control surfaces</t>
        </r>
      </text>
    </comment>
    <comment ref="R6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cabin pressurization diffrential, 0 for unpressurized, 8 psi for pressurised cabin</t>
        </r>
      </text>
    </comment>
    <comment ref="R7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volume of pressurized cabin section</t>
        </r>
      </text>
    </comment>
    <comment ref="R8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DEPTH OF FUSELAGE STRUCTURE</t>
        </r>
      </text>
    </comment>
    <comment ref="R9" authorId="0" shapeId="0" xr:uid="{00000000-0006-0000-0400-000007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fuselage max width
</t>
        </r>
      </text>
    </comment>
    <comment ref="R10" authorId="0" shapeId="0" xr:uid="{00000000-0006-0000-0400-000008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fuselage max depth</t>
        </r>
      </text>
    </comment>
    <comment ref="R11" authorId="0" shapeId="0" xr:uid="{00000000-0006-0000-0400-000009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length of main gear strut</t>
        </r>
      </text>
    </comment>
    <comment ref="R12" authorId="0" shapeId="0" xr:uid="{00000000-0006-0000-0400-00000A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length of nose gear strut</t>
        </r>
      </text>
    </comment>
    <comment ref="I13" authorId="0" shapeId="0" xr:uid="{00000000-0006-0000-0400-00000B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applies for multi engine only</t>
        </r>
      </text>
    </comment>
    <comment ref="R13" authorId="0" shapeId="0" xr:uid="{00000000-0006-0000-0400-00000C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from manufacturer</t>
        </r>
      </text>
    </comment>
    <comment ref="R14" authorId="0" shapeId="0" xr:uid="{00000000-0006-0000-0400-00000D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NUMBER OF ENGINES</t>
        </r>
      </text>
    </comment>
    <comment ref="R15" authorId="0" shapeId="0" xr:uid="{00000000-0006-0000-0400-00000E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NUMBER OF FUEL TANKS</t>
        </r>
      </text>
    </comment>
    <comment ref="R16" authorId="0" shapeId="0" xr:uid="{00000000-0006-0000-0400-00000F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DISTANCE OF WING LEADING EDGE TO NOSE(DATUM)
</t>
        </r>
      </text>
    </comment>
    <comment ref="R17" authorId="0" shapeId="0" xr:uid="{00000000-0006-0000-0400-000010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weight of instrument+avionivs+electronics
</t>
        </r>
      </text>
    </comment>
    <comment ref="R18" authorId="0" shapeId="0" xr:uid="{00000000-0006-0000-0400-000011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NUMBER OF INTEGRAL TANKS</t>
        </r>
      </text>
    </comment>
    <comment ref="R19" authorId="0" shapeId="0" xr:uid="{00000000-0006-0000-0400-000012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FUEL IN EACH INTEGRAL TANK </t>
        </r>
      </text>
    </comment>
    <comment ref="R20" authorId="0" shapeId="0" xr:uid="{00000000-0006-0000-0400-000013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TOTAL FUEL IN ALL INTEGRAL TANKS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Geoffrey Nyaga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this value should also not be more than 3.8
</t>
        </r>
      </text>
    </comment>
    <comment ref="A6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gear load factor, typically 3 for GA aircrafts</t>
        </r>
      </text>
    </comment>
    <comment ref="E3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Geoffrey Nyaga:
stall speed</t>
        </r>
      </text>
    </comment>
    <comment ref="E44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cruise speed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Geoffrey Nyaga</author>
  </authors>
  <commentList>
    <comment ref="K14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check gudmundson 9-61 n see if azl = aZL</t>
        </r>
      </text>
    </comment>
    <comment ref="A16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Location of MAC(MGC) on y axis from fuselage center line</t>
        </r>
      </text>
    </comment>
    <comment ref="E16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Mach no parameter</t>
        </r>
      </text>
    </comment>
    <comment ref="K1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considering clmax at root and tip airfoil</t>
        </r>
      </text>
    </comment>
    <comment ref="E17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ratio is 2D lift curve slope to 2π</t>
        </r>
      </text>
    </comment>
    <comment ref="E18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parasitic correction factor
</t>
        </r>
      </text>
    </comment>
    <comment ref="K18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clean i.e no high lift devices</t>
        </r>
      </text>
    </comment>
    <comment ref="G27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graph</t>
        </r>
      </text>
    </comment>
    <comment ref="A29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aerodynamic center
</t>
        </r>
      </text>
    </comment>
    <comment ref="G29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calculated from cruise</t>
        </r>
      </text>
    </comment>
    <comment ref="G30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CALCULATED FROM CRUISE</t>
        </r>
      </text>
    </comment>
    <comment ref="A31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critical Mach number</t>
        </r>
      </text>
    </comment>
    <comment ref="A33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location of maximum thickness</t>
        </r>
      </text>
    </comment>
    <comment ref="L33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as suggested by Gudmundsson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Geoffrey Nyaga</author>
  </authors>
  <commentList>
    <comment ref="K3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LOCATION OF MAXIMUM THICKNESS</t>
        </r>
      </text>
    </comment>
    <comment ref="E6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WE HAVE ADDED 10% to account for gaps</t>
        </r>
      </text>
    </comment>
    <comment ref="E7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WE HAVE ADDED 10% to account for gaps</t>
        </r>
      </text>
    </comment>
    <comment ref="B9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for tyre
constant is derived from raymer depending on the type of landing gear you have</t>
        </r>
      </text>
    </comment>
    <comment ref="O9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FINENESS RATIO = length of fuselage divided by diameter</t>
        </r>
      </text>
    </comment>
    <comment ref="E10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the constant 0.07 is from raymer. Different types of cockpits like open cockpit have their own constants</t>
        </r>
      </text>
    </comment>
    <comment ref="H10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sweep at max camber location</t>
        </r>
      </text>
    </comment>
    <comment ref="E11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5% ADDED TO ACCOUNT FOR LEAKS AND Protuberance</t>
        </r>
      </text>
    </comment>
    <comment ref="K11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tire frontal area</t>
        </r>
      </text>
    </comment>
    <comment ref="E12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multiplied by 3 cz light aircrafts have thrice than expected calculated values</t>
        </r>
      </text>
    </comment>
    <comment ref="K12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STRUT FRONTAL AREA</t>
        </r>
      </text>
    </comment>
    <comment ref="A13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miscelleneous drag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Geoffrey Nyaga</author>
  </authors>
  <commentList>
    <comment ref="A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I used the 2d</t>
        </r>
      </text>
    </comment>
    <comment ref="A5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ultimate shear strength</t>
        </r>
      </text>
    </comment>
    <comment ref="A6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Geoffrey Nyaga:</t>
        </r>
        <r>
          <rPr>
            <sz val="9"/>
            <color indexed="81"/>
            <rFont val="Tahoma"/>
            <family val="2"/>
          </rPr>
          <t xml:space="preserve">
ultimate compression strength</t>
        </r>
      </text>
    </comment>
  </commentList>
</comments>
</file>

<file path=xl/sharedStrings.xml><?xml version="1.0" encoding="utf-8"?>
<sst xmlns="http://schemas.openxmlformats.org/spreadsheetml/2006/main" count="982" uniqueCount="765">
  <si>
    <t>AR</t>
  </si>
  <si>
    <t>ROC</t>
  </si>
  <si>
    <t>e</t>
  </si>
  <si>
    <t>k</t>
  </si>
  <si>
    <t>T/W</t>
  </si>
  <si>
    <t>W/S</t>
  </si>
  <si>
    <t>q</t>
  </si>
  <si>
    <t>σ</t>
  </si>
  <si>
    <t>fpm</t>
  </si>
  <si>
    <t>knots</t>
  </si>
  <si>
    <t xml:space="preserve"> level turn</t>
  </si>
  <si>
    <t>Const</t>
  </si>
  <si>
    <t>ft</t>
  </si>
  <si>
    <t>Ground</t>
  </si>
  <si>
    <t>Run</t>
  </si>
  <si>
    <t>altitude</t>
  </si>
  <si>
    <t>vc</t>
  </si>
  <si>
    <t>ktas</t>
  </si>
  <si>
    <t>Cruise</t>
  </si>
  <si>
    <t>Airspeed</t>
  </si>
  <si>
    <t>ceiling</t>
  </si>
  <si>
    <t>Service</t>
  </si>
  <si>
    <t>service ceiling</t>
  </si>
  <si>
    <t>Desired W/S</t>
  </si>
  <si>
    <t>desired</t>
  </si>
  <si>
    <t>w/s</t>
  </si>
  <si>
    <r>
      <t>lbf/ft</t>
    </r>
    <r>
      <rPr>
        <vertAlign val="superscript"/>
        <sz val="11"/>
        <color theme="1"/>
        <rFont val="Calibri"/>
        <family val="2"/>
        <scheme val="minor"/>
      </rPr>
      <t>2</t>
    </r>
  </si>
  <si>
    <t>x</t>
  </si>
  <si>
    <t>y</t>
  </si>
  <si>
    <t>NORMALISATION</t>
  </si>
  <si>
    <t>TURN</t>
  </si>
  <si>
    <t>MTOW</t>
  </si>
  <si>
    <t>lbf</t>
  </si>
  <si>
    <r>
      <t>P</t>
    </r>
    <r>
      <rPr>
        <vertAlign val="subscript"/>
        <sz val="11"/>
        <color theme="1"/>
        <rFont val="Calibri"/>
        <family val="2"/>
        <scheme val="minor"/>
      </rPr>
      <t>BHP</t>
    </r>
  </si>
  <si>
    <r>
      <t>P</t>
    </r>
    <r>
      <rPr>
        <vertAlign val="subscript"/>
        <sz val="11"/>
        <color theme="1"/>
        <rFont val="Calibri"/>
        <family val="2"/>
        <scheme val="minor"/>
      </rPr>
      <t>BHP S-L</t>
    </r>
  </si>
  <si>
    <t>Vv</t>
  </si>
  <si>
    <t>GROUND RUN</t>
  </si>
  <si>
    <t>CRUISE SPEED</t>
  </si>
  <si>
    <t>SERVICE CEILING</t>
  </si>
  <si>
    <t>desired w/s</t>
  </si>
  <si>
    <t>S</t>
  </si>
  <si>
    <r>
      <t>ft</t>
    </r>
    <r>
      <rPr>
        <vertAlign val="superscript"/>
        <sz val="11"/>
        <color theme="1"/>
        <rFont val="Calibri"/>
        <family val="2"/>
        <scheme val="minor"/>
      </rPr>
      <t>2</t>
    </r>
  </si>
  <si>
    <t>Vs</t>
  </si>
  <si>
    <t>vs=61</t>
  </si>
  <si>
    <t>STALL SPEED RQUIREMENT</t>
  </si>
  <si>
    <t>VS=65</t>
  </si>
  <si>
    <t>vs=55</t>
  </si>
  <si>
    <t>h</t>
  </si>
  <si>
    <t xml:space="preserve">stall speed </t>
  </si>
  <si>
    <t>cdo</t>
  </si>
  <si>
    <t>ηp</t>
  </si>
  <si>
    <t>total</t>
  </si>
  <si>
    <t>lbs</t>
  </si>
  <si>
    <t>PAYLOAD</t>
  </si>
  <si>
    <t>CREW</t>
  </si>
  <si>
    <t>no. of pilots</t>
  </si>
  <si>
    <t>each pilot weight</t>
  </si>
  <si>
    <t>taxi and take-off</t>
  </si>
  <si>
    <t>climb</t>
  </si>
  <si>
    <t>descent</t>
  </si>
  <si>
    <t>approac &amp; land</t>
  </si>
  <si>
    <t>cruise</t>
  </si>
  <si>
    <t>Range</t>
  </si>
  <si>
    <t>km</t>
  </si>
  <si>
    <t>L/D max</t>
  </si>
  <si>
    <t>cbhp</t>
  </si>
  <si>
    <t>a</t>
  </si>
  <si>
    <t>b</t>
  </si>
  <si>
    <t>WTO</t>
  </si>
  <si>
    <t>(guess)</t>
  </si>
  <si>
    <t>WE/WTO</t>
  </si>
  <si>
    <t>w6/w1</t>
  </si>
  <si>
    <t>% alllowance</t>
  </si>
  <si>
    <t>(for emmergency)</t>
  </si>
  <si>
    <t>MTOW =</t>
  </si>
  <si>
    <t>put your cursor on where the two lines intersect and read the value</t>
  </si>
  <si>
    <t>of the y axis</t>
  </si>
  <si>
    <t>.</t>
  </si>
  <si>
    <t>FUEL WEIGHT(fuel fractions )</t>
  </si>
  <si>
    <t>ONLY INPUT VALUES ON ORANGE !!!!</t>
  </si>
  <si>
    <t xml:space="preserve">EMPTY WEIGHT = </t>
  </si>
  <si>
    <t>FUEL WEIGHT =</t>
  </si>
  <si>
    <t xml:space="preserve">CREW WEIGHT = </t>
  </si>
  <si>
    <t xml:space="preserve">PAYLOAD WEIGHT = </t>
  </si>
  <si>
    <t>5850</t>
  </si>
  <si>
    <t>c</t>
  </si>
  <si>
    <t>d</t>
  </si>
  <si>
    <t>wto</t>
  </si>
  <si>
    <t>get this constants from Roskam table 2.15</t>
  </si>
  <si>
    <t>IN THE GRAPH ABOVE LOOK AT WHERE THE CURVE INTERSECTS THE X-AXIS AND READ THE VALUE</t>
  </si>
  <si>
    <t xml:space="preserve">MTOW = </t>
  </si>
  <si>
    <t>NOTE:  THIS IS JUST AN APPROXIMATE METHOD TO TELL YOU IF YOUR CALCULATION IN THE FIRST GRAPH ARE SOUND</t>
  </si>
  <si>
    <t>SENSITIVITY OF TAKE-OFF WEIGHT TO PAYLOAD WEIGHT</t>
  </si>
  <si>
    <r>
      <t>δ</t>
    </r>
    <r>
      <rPr>
        <vertAlign val="subscript"/>
        <sz val="11"/>
        <color theme="1"/>
        <rFont val="Calibri"/>
        <family val="2"/>
      </rPr>
      <t>MTOW</t>
    </r>
    <r>
      <rPr>
        <sz val="11"/>
        <color theme="1"/>
        <rFont val="Calibri"/>
        <family val="2"/>
      </rPr>
      <t>/δW</t>
    </r>
    <r>
      <rPr>
        <vertAlign val="subscript"/>
        <sz val="11"/>
        <color theme="1"/>
        <rFont val="Calibri"/>
        <family val="2"/>
      </rPr>
      <t>PL</t>
    </r>
  </si>
  <si>
    <t>This is the aircraft growth factor due to payload</t>
  </si>
  <si>
    <t>this means that for every 1 lb of payload added, MTOW will increase by</t>
  </si>
  <si>
    <t>SENSITIVITY OF TAKE-OFF WEIGHT TO EMPTY WEIGHT</t>
  </si>
  <si>
    <t>Obtain  the above constants from Raymer table 3.1</t>
  </si>
  <si>
    <t>THE AIRCRAFT MTOW WILL LIE IN</t>
  </si>
  <si>
    <r>
      <t>YOU CAN ADJUST THE W</t>
    </r>
    <r>
      <rPr>
        <b/>
        <vertAlign val="subscript"/>
        <sz val="11"/>
        <color theme="1"/>
        <rFont val="Calibri"/>
        <family val="2"/>
        <scheme val="minor"/>
      </rPr>
      <t>TO</t>
    </r>
    <r>
      <rPr>
        <b/>
        <sz val="11"/>
        <color theme="1"/>
        <rFont val="Calibri"/>
        <family val="2"/>
        <scheme val="minor"/>
      </rPr>
      <t xml:space="preserve"> COLUMN TO HAVE A RANGE OF VALUES THAT </t>
    </r>
  </si>
  <si>
    <r>
      <t>δ</t>
    </r>
    <r>
      <rPr>
        <vertAlign val="subscript"/>
        <sz val="11"/>
        <color theme="1"/>
        <rFont val="Calibri"/>
        <family val="2"/>
      </rPr>
      <t>MTOW</t>
    </r>
    <r>
      <rPr>
        <sz val="11"/>
        <color theme="1"/>
        <rFont val="Calibri"/>
        <family val="2"/>
      </rPr>
      <t>/δ</t>
    </r>
    <r>
      <rPr>
        <vertAlign val="subscript"/>
        <sz val="11"/>
        <color theme="1"/>
        <rFont val="Calibri"/>
        <family val="2"/>
      </rPr>
      <t>E</t>
    </r>
  </si>
  <si>
    <t>This is the aircraft growth factor due to Empty Weight</t>
  </si>
  <si>
    <t>F</t>
  </si>
  <si>
    <r>
      <t>δ</t>
    </r>
    <r>
      <rPr>
        <vertAlign val="subscript"/>
        <sz val="11"/>
        <color theme="1"/>
        <rFont val="Calibri"/>
        <family val="2"/>
      </rPr>
      <t>MTOW</t>
    </r>
    <r>
      <rPr>
        <sz val="11"/>
        <color theme="1"/>
        <rFont val="Calibri"/>
        <family val="2"/>
      </rPr>
      <t>/δ</t>
    </r>
    <r>
      <rPr>
        <vertAlign val="subscript"/>
        <sz val="11"/>
        <color theme="1"/>
        <rFont val="Calibri"/>
        <family val="2"/>
      </rPr>
      <t>R</t>
    </r>
  </si>
  <si>
    <t>lbs/nm</t>
  </si>
  <si>
    <t>SENSITIVITY OF TAKE-OFF WEIGHT TO RANGE</t>
  </si>
  <si>
    <t>This means that for every nautical mile of Range added, the MTOW</t>
  </si>
  <si>
    <t xml:space="preserve">will increase by </t>
  </si>
  <si>
    <r>
      <t>δ</t>
    </r>
    <r>
      <rPr>
        <vertAlign val="subscript"/>
        <sz val="11"/>
        <color theme="1"/>
        <rFont val="Calibri"/>
        <family val="2"/>
        <scheme val="minor"/>
      </rPr>
      <t>MTOW</t>
    </r>
    <r>
      <rPr>
        <sz val="11"/>
        <color theme="1"/>
        <rFont val="Calibri"/>
        <family val="2"/>
        <scheme val="minor"/>
      </rPr>
      <t>/δC</t>
    </r>
    <r>
      <rPr>
        <vertAlign val="subscript"/>
        <sz val="11"/>
        <color theme="1"/>
        <rFont val="Calibri"/>
        <family val="2"/>
        <scheme val="minor"/>
      </rPr>
      <t>P</t>
    </r>
  </si>
  <si>
    <t>lbs/lbs/hp/hr</t>
  </si>
  <si>
    <t>old cbhp</t>
  </si>
  <si>
    <t>desired cbhp</t>
  </si>
  <si>
    <t>SENSITIVITY OF TAKE-OFF WEIGHT TO SPECIFIC FUEL CONSUMPTION</t>
  </si>
  <si>
    <t>SENSITIVITY OF TAKE-OFF WEIGHT TO PROPELLER EFFICIENCY</t>
  </si>
  <si>
    <r>
      <t>δ</t>
    </r>
    <r>
      <rPr>
        <vertAlign val="subscript"/>
        <sz val="11"/>
        <color theme="1"/>
        <rFont val="Calibri"/>
        <family val="2"/>
        <scheme val="minor"/>
      </rPr>
      <t>MTOW</t>
    </r>
    <r>
      <rPr>
        <sz val="11"/>
        <color theme="1"/>
        <rFont val="Calibri"/>
        <family val="2"/>
        <scheme val="minor"/>
      </rPr>
      <t>/δ</t>
    </r>
    <r>
      <rPr>
        <vertAlign val="subscript"/>
        <sz val="11"/>
        <color theme="1"/>
        <rFont val="Calibri"/>
        <family val="2"/>
      </rPr>
      <t>ηp</t>
    </r>
  </si>
  <si>
    <r>
      <t xml:space="preserve">old </t>
    </r>
    <r>
      <rPr>
        <sz val="11"/>
        <color theme="1"/>
        <rFont val="Calibri"/>
        <family val="2"/>
      </rPr>
      <t>ηp</t>
    </r>
  </si>
  <si>
    <r>
      <t xml:space="preserve">new </t>
    </r>
    <r>
      <rPr>
        <sz val="11"/>
        <color theme="1"/>
        <rFont val="Calibri"/>
        <family val="2"/>
      </rPr>
      <t>ηp</t>
    </r>
  </si>
  <si>
    <t xml:space="preserve">this means that for the new cbhp desired, a change of </t>
  </si>
  <si>
    <r>
      <t>δ</t>
    </r>
    <r>
      <rPr>
        <vertAlign val="subscript"/>
        <sz val="11"/>
        <color theme="1"/>
        <rFont val="Calibri"/>
        <family val="2"/>
        <scheme val="minor"/>
      </rPr>
      <t>MTOW</t>
    </r>
    <r>
      <rPr>
        <sz val="11"/>
        <color theme="1"/>
        <rFont val="Calibri"/>
        <family val="2"/>
        <scheme val="minor"/>
      </rPr>
      <t>/δ</t>
    </r>
    <r>
      <rPr>
        <vertAlign val="subscript"/>
        <sz val="11"/>
        <color theme="1"/>
        <rFont val="Calibri"/>
        <family val="2"/>
      </rPr>
      <t>(L/D)</t>
    </r>
  </si>
  <si>
    <t>old L/D</t>
  </si>
  <si>
    <t>new L/D</t>
  </si>
  <si>
    <t xml:space="preserve">this means that for the new L/D desired, a change of </t>
  </si>
  <si>
    <t>Weight at start of cruise</t>
  </si>
  <si>
    <t>Weight at end of cruise</t>
  </si>
  <si>
    <t>Average weight at cruise</t>
  </si>
  <si>
    <t>(there is wide use of trapped fuel and reserve fuel in this section and I have omitted them hence there will be slight errors)</t>
  </si>
  <si>
    <t>μ</t>
  </si>
  <si>
    <r>
      <t>slug/ft</t>
    </r>
    <r>
      <rPr>
        <vertAlign val="superscript"/>
        <sz val="11"/>
        <color theme="1"/>
        <rFont val="Calibri"/>
        <family val="2"/>
        <scheme val="minor"/>
      </rPr>
      <t>3</t>
    </r>
  </si>
  <si>
    <t>Vmax</t>
  </si>
  <si>
    <t>w/p</t>
  </si>
  <si>
    <t>Take-off</t>
  </si>
  <si>
    <t>PERFORMANCE REQUIREMENTS</t>
  </si>
  <si>
    <t xml:space="preserve"> Vmax   </t>
  </si>
  <si>
    <t>170</t>
  </si>
  <si>
    <t>READING THE GRAPH</t>
  </si>
  <si>
    <t>this is a little bit tricky!!! Basically you have to decide on</t>
  </si>
  <si>
    <t xml:space="preserve">the most important aspect of this whole page and that is:- </t>
  </si>
  <si>
    <t>e.g. a stall speed of not more than 61knots(as per FAR)</t>
  </si>
  <si>
    <t>Steps to find design point in this constraint diagram</t>
  </si>
  <si>
    <t>a) if the stall speed value is the minimum you want, then</t>
  </si>
  <si>
    <t>the right side of the Vs plot is viable and vice versa applies</t>
  </si>
  <si>
    <t>like for our case and for most often cases</t>
  </si>
  <si>
    <t xml:space="preserve">b) for Vmax, the area above the curve means that Vmax </t>
  </si>
  <si>
    <t>reduces  and vice versa for area below the curve</t>
  </si>
  <si>
    <t>AT THE END OF THE DAY YOU MUST SELECT A POINT</t>
  </si>
  <si>
    <t>FROM THE GRAPH AND THIS WILL HELP YOU DERIVE THE</t>
  </si>
  <si>
    <t xml:space="preserve">WING SURFACE AREA AND ENGINE POWER WHICH ARE </t>
  </si>
  <si>
    <t xml:space="preserve"> ARGUABLY THE MOST IMPORTANT FEATURES OF THE</t>
  </si>
  <si>
    <t>AIRCRAFT SO TAKE YOUR TIME</t>
  </si>
  <si>
    <t>If the Vmax that you input is the minimum you want, then the area below the curve is applicable AND ALL THE AREA ABOVE THE CURVE BECOMES INVALID.</t>
  </si>
  <si>
    <t>1600</t>
  </si>
  <si>
    <t>In my case I wanted to have more than 170 knots Vmax stated in B14 so I shaded the unwanted part. If I wanted my aircraft to have less than 170 knot Vmax I'd shade the lower part</t>
  </si>
  <si>
    <t xml:space="preserve">in mycase and most cases, we don’t want the value to exceed the  </t>
  </si>
  <si>
    <t xml:space="preserve">one we input above in the requirements. So the area above the </t>
  </si>
  <si>
    <t>curve is undesirable. We shade it off</t>
  </si>
  <si>
    <t>d) Rate of climb:- the area above the curve means a lower value</t>
  </si>
  <si>
    <t>of ROC. IN my case I wanted to have less the stated value so</t>
  </si>
  <si>
    <t>I shaded the lower part. If you have a least value of ROC then</t>
  </si>
  <si>
    <t>input  it above and shade the upper part of the ROC curve</t>
  </si>
  <si>
    <t xml:space="preserve">e) Service ceiling:- the area below the graph represents a higher </t>
  </si>
  <si>
    <t xml:space="preserve">altitude than the one you input. In my case I wanted the altutude </t>
  </si>
  <si>
    <t>to be more than the input value so I shaded the upper part.</t>
  </si>
  <si>
    <t xml:space="preserve"> In most jet aircraft designs thereverse is usually true</t>
  </si>
  <si>
    <t>ALMOST THERE!!!!!!!</t>
  </si>
  <si>
    <t xml:space="preserve">Now, the unshaded region is the ACCEPTABLE REGION THAT </t>
  </si>
  <si>
    <t>SATISFIES our desired input requirements. This region is a triangle</t>
  </si>
  <si>
    <t>(in our case only) and I have marked it with black dots on vertices</t>
  </si>
  <si>
    <t>CHOSING THE POINT INSIDE THE ACCEPTABLE REGION</t>
  </si>
  <si>
    <t xml:space="preserve">The more the point is on the left, the lesser the wing loading and </t>
  </si>
  <si>
    <t>the more the wing area will be</t>
  </si>
  <si>
    <t xml:space="preserve">the more the point is up, the higher the power loading and the </t>
  </si>
  <si>
    <t>less the power required</t>
  </si>
  <si>
    <t>so always choose the farthest point to the right and farthest up.</t>
  </si>
  <si>
    <t>WING AREA AND BHP CALCULATIONS</t>
  </si>
  <si>
    <t>POWER LOADING(graph)</t>
  </si>
  <si>
    <t>WING LOADING (graph)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</si>
  <si>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</si>
  <si>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POWER REQUIRED</t>
  </si>
  <si>
    <t>horsepower</t>
  </si>
  <si>
    <r>
      <t>WING AREA= S</t>
    </r>
    <r>
      <rPr>
        <b/>
        <vertAlign val="subscript"/>
        <sz val="11"/>
        <color theme="1"/>
        <rFont val="Calibri"/>
        <family val="2"/>
        <scheme val="minor"/>
      </rPr>
      <t>ref</t>
    </r>
    <r>
      <rPr>
        <b/>
        <sz val="11"/>
        <color theme="1"/>
        <rFont val="Calibri"/>
        <family val="2"/>
        <scheme val="minor"/>
      </rPr>
      <t xml:space="preserve"> = </t>
    </r>
  </si>
  <si>
    <t>wing parameters</t>
  </si>
  <si>
    <t>least value expected or the most value expected???</t>
  </si>
  <si>
    <t>taper ratio</t>
  </si>
  <si>
    <t>wingspan</t>
  </si>
  <si>
    <t>m</t>
  </si>
  <si>
    <t>mean chord</t>
  </si>
  <si>
    <t>stall speed</t>
  </si>
  <si>
    <t>take-off</t>
  </si>
  <si>
    <r>
      <t>C</t>
    </r>
    <r>
      <rPr>
        <vertAlign val="subscript"/>
        <sz val="11"/>
        <color theme="1"/>
        <rFont val="Calibri"/>
        <family val="2"/>
        <scheme val="minor"/>
      </rPr>
      <t>tip</t>
    </r>
  </si>
  <si>
    <r>
      <t>C</t>
    </r>
    <r>
      <rPr>
        <vertAlign val="subscript"/>
        <sz val="11"/>
        <color theme="1"/>
        <rFont val="Calibri"/>
        <family val="2"/>
        <scheme val="minor"/>
      </rPr>
      <t>root</t>
    </r>
  </si>
  <si>
    <t>KCAS</t>
  </si>
  <si>
    <t>Reynolds number</t>
  </si>
  <si>
    <t>Airfoil 2-D Parameters</t>
  </si>
  <si>
    <t>deg</t>
  </si>
  <si>
    <r>
      <t>Cl</t>
    </r>
    <r>
      <rPr>
        <sz val="8"/>
        <color theme="1"/>
        <rFont val="Calibri"/>
        <family val="2"/>
      </rPr>
      <t>minD</t>
    </r>
  </si>
  <si>
    <r>
      <t>Cl</t>
    </r>
    <r>
      <rPr>
        <sz val="9"/>
        <color theme="1"/>
        <rFont val="Calibri"/>
        <family val="2"/>
      </rPr>
      <t>max</t>
    </r>
  </si>
  <si>
    <r>
      <t>α</t>
    </r>
    <r>
      <rPr>
        <sz val="8"/>
        <color theme="1"/>
        <rFont val="Calibri"/>
        <family val="2"/>
      </rPr>
      <t>stall</t>
    </r>
  </si>
  <si>
    <r>
      <t>α</t>
    </r>
    <r>
      <rPr>
        <sz val="10"/>
        <color theme="1"/>
        <rFont val="Calibri"/>
        <family val="2"/>
      </rPr>
      <t>zl</t>
    </r>
  </si>
  <si>
    <r>
      <t>Cl</t>
    </r>
    <r>
      <rPr>
        <sz val="10"/>
        <color theme="1"/>
        <rFont val="Calibri"/>
        <family val="2"/>
        <scheme val="minor"/>
      </rPr>
      <t>o</t>
    </r>
  </si>
  <si>
    <r>
      <t>Cl</t>
    </r>
    <r>
      <rPr>
        <sz val="10"/>
        <color theme="1"/>
        <rFont val="Calibri"/>
        <family val="2"/>
      </rPr>
      <t>α</t>
    </r>
  </si>
  <si>
    <t>Airfoil correction for 3-D</t>
  </si>
  <si>
    <t>wing</t>
  </si>
  <si>
    <t>USAF</t>
  </si>
  <si>
    <t>Generalised</t>
  </si>
  <si>
    <t>lower limit</t>
  </si>
  <si>
    <t>upper limit</t>
  </si>
  <si>
    <t>-</t>
  </si>
  <si>
    <t>3x10^6</t>
  </si>
  <si>
    <t>clmax</t>
  </si>
  <si>
    <r>
      <t>α</t>
    </r>
    <r>
      <rPr>
        <b/>
        <sz val="10"/>
        <color theme="1"/>
        <rFont val="Calibri"/>
        <family val="2"/>
      </rPr>
      <t>zl</t>
    </r>
  </si>
  <si>
    <t>clo</t>
  </si>
  <si>
    <r>
      <t>Cl</t>
    </r>
    <r>
      <rPr>
        <b/>
        <sz val="10"/>
        <color theme="1"/>
        <rFont val="Calibri"/>
        <family val="2"/>
      </rPr>
      <t>α</t>
    </r>
  </si>
  <si>
    <t>look at the value or reynolds number at stall speed</t>
  </si>
  <si>
    <t>and use table 1 to get the appropriate values</t>
  </si>
  <si>
    <t>dihedral</t>
  </si>
  <si>
    <t>twist</t>
  </si>
  <si>
    <t>sweepLE</t>
  </si>
  <si>
    <r>
      <t>sweep</t>
    </r>
    <r>
      <rPr>
        <vertAlign val="subscript"/>
        <sz val="11"/>
        <color theme="1"/>
        <rFont val="Calibri"/>
        <family val="2"/>
      </rPr>
      <t>Ʌ/4</t>
    </r>
  </si>
  <si>
    <r>
      <t>sweep</t>
    </r>
    <r>
      <rPr>
        <vertAlign val="subscript"/>
        <sz val="11"/>
        <color theme="1"/>
        <rFont val="Calibri"/>
        <family val="2"/>
      </rPr>
      <t>Ʌ/2</t>
    </r>
  </si>
  <si>
    <t>per rad</t>
  </si>
  <si>
    <t>=</t>
  </si>
  <si>
    <t>per deg</t>
  </si>
  <si>
    <t>cmα</t>
  </si>
  <si>
    <t>1500</t>
  </si>
  <si>
    <t xml:space="preserve"> incidence</t>
  </si>
  <si>
    <t>6x10^6</t>
  </si>
  <si>
    <t>9x10^7</t>
  </si>
  <si>
    <t>clmind</t>
  </si>
  <si>
    <r>
      <t>x</t>
    </r>
    <r>
      <rPr>
        <vertAlign val="subscript"/>
        <sz val="11"/>
        <color theme="1"/>
        <rFont val="Calibri"/>
        <family val="2"/>
      </rPr>
      <t>ac</t>
    </r>
  </si>
  <si>
    <t>%chord</t>
  </si>
  <si>
    <t>cdmin</t>
  </si>
  <si>
    <r>
      <t>M</t>
    </r>
    <r>
      <rPr>
        <vertAlign val="subscript"/>
        <sz val="11"/>
        <color theme="1"/>
        <rFont val="Calibri"/>
        <family val="2"/>
        <scheme val="minor"/>
      </rPr>
      <t>crit</t>
    </r>
  </si>
  <si>
    <r>
      <t>y</t>
    </r>
    <r>
      <rPr>
        <vertAlign val="subscript"/>
        <sz val="11"/>
        <color theme="1"/>
        <rFont val="Calibri"/>
        <family val="2"/>
        <scheme val="minor"/>
      </rPr>
      <t>MGC</t>
    </r>
  </si>
  <si>
    <t>18000</t>
  </si>
  <si>
    <r>
      <t>S</t>
    </r>
    <r>
      <rPr>
        <i/>
        <vertAlign val="subscript"/>
        <sz val="11"/>
        <color rgb="FFFF0000"/>
        <rFont val="Courier New"/>
        <family val="3"/>
      </rPr>
      <t>TO</t>
    </r>
  </si>
  <si>
    <t>is the performance values you used to size(in red italics) the</t>
  </si>
  <si>
    <r>
      <rPr>
        <sz val="11"/>
        <rFont val="Calibri"/>
        <family val="2"/>
      </rPr>
      <t>β</t>
    </r>
    <r>
      <rPr>
        <sz val="9"/>
        <rFont val="Calibri"/>
        <family val="2"/>
      </rPr>
      <t>(</t>
    </r>
    <r>
      <rPr>
        <sz val="9"/>
        <rFont val="Calibri"/>
        <family val="2"/>
        <scheme val="minor"/>
      </rPr>
      <t>Prandtl Guert)</t>
    </r>
  </si>
  <si>
    <r>
      <t>Mach</t>
    </r>
    <r>
      <rPr>
        <sz val="10"/>
        <rFont val="Calibri"/>
        <family val="2"/>
        <scheme val="minor"/>
      </rPr>
      <t>(at stall)</t>
    </r>
  </si>
  <si>
    <r>
      <t>CL</t>
    </r>
    <r>
      <rPr>
        <b/>
        <vertAlign val="subscript"/>
        <sz val="14"/>
        <rFont val="Calibri"/>
        <family val="2"/>
        <scheme val="minor"/>
      </rPr>
      <t>MAX</t>
    </r>
  </si>
  <si>
    <r>
      <t>CL</t>
    </r>
    <r>
      <rPr>
        <vertAlign val="subscript"/>
        <sz val="11"/>
        <rFont val="Calibri"/>
        <family val="2"/>
        <scheme val="minor"/>
      </rPr>
      <t>maxo</t>
    </r>
  </si>
  <si>
    <r>
      <t>Cm</t>
    </r>
    <r>
      <rPr>
        <vertAlign val="subscript"/>
        <sz val="11"/>
        <rFont val="Calibri"/>
        <family val="2"/>
      </rPr>
      <t>α</t>
    </r>
  </si>
  <si>
    <t>Table 1: REF= NACA R-824 PUBLICATION: WIND TUNNEL TEST DATA</t>
  </si>
  <si>
    <t>moment</t>
  </si>
  <si>
    <t>X dist(m)</t>
  </si>
  <si>
    <t>CG AT:-</t>
  </si>
  <si>
    <t>2)empty weight</t>
  </si>
  <si>
    <t>3)MTOW</t>
  </si>
  <si>
    <t>1)Crew only full fuel</t>
  </si>
  <si>
    <t>3)crew+pass+fuel no pyld</t>
  </si>
  <si>
    <t>DETAILED ESTIMATIONS BY DIFFERENT METHODS &amp; AUTHORS</t>
  </si>
  <si>
    <t>ERROR</t>
  </si>
  <si>
    <t>ultimate load factor</t>
  </si>
  <si>
    <t>t/c</t>
  </si>
  <si>
    <r>
      <t>S</t>
    </r>
    <r>
      <rPr>
        <vertAlign val="subscript"/>
        <sz val="11"/>
        <color theme="1"/>
        <rFont val="Calibri"/>
        <family val="2"/>
        <scheme val="minor"/>
      </rPr>
      <t>FUS</t>
    </r>
  </si>
  <si>
    <r>
      <t>l</t>
    </r>
    <r>
      <rPr>
        <vertAlign val="subscript"/>
        <sz val="11"/>
        <color theme="1"/>
        <rFont val="Calibri"/>
        <family val="2"/>
        <scheme val="minor"/>
      </rPr>
      <t>FUS</t>
    </r>
  </si>
  <si>
    <t>ΔP</t>
  </si>
  <si>
    <t>Vp</t>
  </si>
  <si>
    <r>
      <t>ft</t>
    </r>
    <r>
      <rPr>
        <vertAlign val="superscript"/>
        <sz val="11"/>
        <color theme="1"/>
        <rFont val="Calibri"/>
        <family val="2"/>
        <scheme val="minor"/>
      </rPr>
      <t>3</t>
    </r>
  </si>
  <si>
    <r>
      <t>d</t>
    </r>
    <r>
      <rPr>
        <vertAlign val="subscript"/>
        <sz val="11"/>
        <color theme="1"/>
        <rFont val="Calibri"/>
        <family val="2"/>
      </rPr>
      <t>FS</t>
    </r>
  </si>
  <si>
    <r>
      <t>w</t>
    </r>
    <r>
      <rPr>
        <vertAlign val="subscript"/>
        <sz val="11"/>
        <color theme="1"/>
        <rFont val="Calibri"/>
        <family val="2"/>
      </rPr>
      <t>F</t>
    </r>
  </si>
  <si>
    <r>
      <t>d</t>
    </r>
    <r>
      <rPr>
        <vertAlign val="subscript"/>
        <sz val="11"/>
        <color theme="1"/>
        <rFont val="Calibri"/>
        <family val="2"/>
      </rPr>
      <t>F</t>
    </r>
  </si>
  <si>
    <t>Lm</t>
  </si>
  <si>
    <t>in</t>
  </si>
  <si>
    <t>Ln</t>
  </si>
  <si>
    <t>landing load factor</t>
  </si>
  <si>
    <t>Ngear</t>
  </si>
  <si>
    <r>
      <t>W</t>
    </r>
    <r>
      <rPr>
        <vertAlign val="subscript"/>
        <sz val="11"/>
        <color theme="1"/>
        <rFont val="Calibri"/>
        <family val="2"/>
      </rPr>
      <t>ENG</t>
    </r>
  </si>
  <si>
    <t>hp each</t>
  </si>
  <si>
    <t>SELECTED ENGINE:-</t>
  </si>
  <si>
    <t>lb</t>
  </si>
  <si>
    <r>
      <t>N</t>
    </r>
    <r>
      <rPr>
        <vertAlign val="subscript"/>
        <sz val="11"/>
        <color theme="1"/>
        <rFont val="Calibri"/>
        <family val="2"/>
      </rPr>
      <t>ENG</t>
    </r>
  </si>
  <si>
    <t>lbs        =</t>
  </si>
  <si>
    <t>gal</t>
  </si>
  <si>
    <r>
      <t>N</t>
    </r>
    <r>
      <rPr>
        <vertAlign val="subscript"/>
        <sz val="11"/>
        <color theme="1"/>
        <rFont val="Calibri"/>
        <family val="2"/>
      </rPr>
      <t>TANK</t>
    </r>
  </si>
  <si>
    <r>
      <t>LE</t>
    </r>
    <r>
      <rPr>
        <vertAlign val="subscript"/>
        <sz val="11"/>
        <color theme="1"/>
        <rFont val="Calibri"/>
        <family val="2"/>
      </rPr>
      <t>DIST</t>
    </r>
  </si>
  <si>
    <t>MAC</t>
  </si>
  <si>
    <t>TOTAL</t>
  </si>
  <si>
    <t>RAYMER</t>
  </si>
  <si>
    <t>ROSKAM</t>
  </si>
  <si>
    <t>TORENBEEK</t>
  </si>
  <si>
    <t>SADRAEY</t>
  </si>
  <si>
    <t>CESSNA</t>
  </si>
  <si>
    <t>NICOLAI</t>
  </si>
  <si>
    <t xml:space="preserve">Fuel </t>
  </si>
  <si>
    <t>Oil</t>
  </si>
  <si>
    <t>Passengers</t>
  </si>
  <si>
    <t>Payload</t>
  </si>
  <si>
    <t>Crew</t>
  </si>
  <si>
    <t>OLD MTOW</t>
  </si>
  <si>
    <t xml:space="preserve">ERROR </t>
  </si>
  <si>
    <t>Wiae</t>
  </si>
  <si>
    <r>
      <rPr>
        <b/>
        <sz val="11"/>
        <rFont val="Calibri"/>
        <family val="2"/>
        <scheme val="minor"/>
      </rPr>
      <t>CL</t>
    </r>
    <r>
      <rPr>
        <b/>
        <sz val="11"/>
        <rFont val="Calibri"/>
        <family val="2"/>
      </rPr>
      <t>α</t>
    </r>
    <r>
      <rPr>
        <sz val="11"/>
        <rFont val="Calibri"/>
        <family val="2"/>
      </rPr>
      <t>(Polhamus eqn)</t>
    </r>
  </si>
  <si>
    <r>
      <rPr>
        <b/>
        <sz val="11"/>
        <rFont val="Calibri"/>
        <family val="2"/>
        <scheme val="minor"/>
      </rPr>
      <t>CL</t>
    </r>
    <r>
      <rPr>
        <b/>
        <sz val="11"/>
        <rFont val="Calibri"/>
        <family val="2"/>
      </rPr>
      <t>α</t>
    </r>
    <r>
      <rPr>
        <sz val="11"/>
        <rFont val="Calibri"/>
        <family val="2"/>
      </rPr>
      <t>(Helmbold eqn)</t>
    </r>
  </si>
  <si>
    <t>most accurate</t>
  </si>
  <si>
    <t>at MAC</t>
  </si>
  <si>
    <t>AT ROOT</t>
  </si>
  <si>
    <t>AT TIP</t>
  </si>
  <si>
    <t>Method 1: straight wings</t>
  </si>
  <si>
    <t>method2:for swept wings</t>
  </si>
  <si>
    <t>method 3: Brandt et al</t>
  </si>
  <si>
    <t>r</t>
  </si>
  <si>
    <t>method 4: Douglas method</t>
  </si>
  <si>
    <t>max -ve  load factor</t>
  </si>
  <si>
    <r>
      <t>negative CL</t>
    </r>
    <r>
      <rPr>
        <vertAlign val="subscript"/>
        <sz val="11"/>
        <color theme="1"/>
        <rFont val="Calibri"/>
        <family val="2"/>
        <scheme val="minor"/>
      </rPr>
      <t>max</t>
    </r>
  </si>
  <si>
    <r>
      <t>V</t>
    </r>
    <r>
      <rPr>
        <vertAlign val="subscript"/>
        <sz val="11"/>
        <color theme="1"/>
        <rFont val="Calibri"/>
        <family val="2"/>
        <scheme val="minor"/>
      </rPr>
      <t>D</t>
    </r>
  </si>
  <si>
    <t>V(KCAS)</t>
  </si>
  <si>
    <t>KTAS</t>
  </si>
  <si>
    <t>ALTITUDE</t>
  </si>
  <si>
    <t>ρ</t>
  </si>
  <si>
    <t>upper curve</t>
  </si>
  <si>
    <t>y axis</t>
  </si>
  <si>
    <t>x-axis</t>
  </si>
  <si>
    <t>vs</t>
  </si>
  <si>
    <t>vs1</t>
  </si>
  <si>
    <t>y - axis</t>
  </si>
  <si>
    <t>lower curve</t>
  </si>
  <si>
    <t>vj</t>
  </si>
  <si>
    <t>y-axis</t>
  </si>
  <si>
    <t>vf</t>
  </si>
  <si>
    <r>
      <t>V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(dive speed)</t>
    </r>
  </si>
  <si>
    <t xml:space="preserve">one pass. weight </t>
  </si>
  <si>
    <r>
      <t>W</t>
    </r>
    <r>
      <rPr>
        <vertAlign val="subscript"/>
        <sz val="11"/>
        <color theme="1"/>
        <rFont val="Calibri"/>
        <family val="2"/>
        <scheme val="minor"/>
      </rPr>
      <t>PL</t>
    </r>
  </si>
  <si>
    <r>
      <t>W</t>
    </r>
    <r>
      <rPr>
        <vertAlign val="subscript"/>
        <sz val="11"/>
        <color theme="1"/>
        <rFont val="Calibri"/>
        <family val="2"/>
        <scheme val="minor"/>
      </rPr>
      <t>C</t>
    </r>
  </si>
  <si>
    <t>METHOD 1: (Raymer method)</t>
  </si>
  <si>
    <t>METHOD 2:   ANALYTICAL METHOD OF SOLVING FOR MTOW (by Roskam)</t>
  </si>
  <si>
    <r>
      <t>W</t>
    </r>
    <r>
      <rPr>
        <vertAlign val="subscript"/>
        <sz val="11"/>
        <color theme="1"/>
        <rFont val="Calibri"/>
        <family val="2"/>
      </rPr>
      <t>F</t>
    </r>
    <r>
      <rPr>
        <sz val="11"/>
        <color theme="1"/>
        <rFont val="Calibri"/>
        <family val="2"/>
      </rPr>
      <t>/W</t>
    </r>
    <r>
      <rPr>
        <vertAlign val="subscript"/>
        <sz val="11"/>
        <color theme="1"/>
        <rFont val="Calibri"/>
        <family val="2"/>
      </rPr>
      <t>TO</t>
    </r>
  </si>
  <si>
    <t>Rate of Climb Requirement</t>
  </si>
  <si>
    <t>Service ceiling requirement</t>
  </si>
  <si>
    <t>Take-Off Run Requirement</t>
  </si>
  <si>
    <t>RESULTS</t>
  </si>
  <si>
    <t>Sref and Power Sizing were accurate. In this grapgh, any value above the curve is the desired region.</t>
  </si>
  <si>
    <t>for example in this case, the constarint diagram gives almost the same values for power required as the previous</t>
  </si>
  <si>
    <t>graph</t>
  </si>
  <si>
    <r>
      <t xml:space="preserve">limit load factor </t>
    </r>
    <r>
      <rPr>
        <sz val="11"/>
        <color theme="1"/>
        <rFont val="Calibri"/>
        <family val="2"/>
      </rPr>
      <t>≥</t>
    </r>
  </si>
  <si>
    <t>input here</t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</si>
  <si>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A  </t>
    </r>
    <r>
      <rPr>
        <sz val="11"/>
        <color theme="1"/>
        <rFont val="Calibri"/>
        <family val="2"/>
      </rPr>
      <t>≥</t>
    </r>
  </si>
  <si>
    <t>combined V-n</t>
  </si>
  <si>
    <t>Kg</t>
  </si>
  <si>
    <t>μg</t>
  </si>
  <si>
    <t>Vc gust velocity</t>
  </si>
  <si>
    <t>fps</t>
  </si>
  <si>
    <r>
      <t>V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gust velocity</t>
    </r>
  </si>
  <si>
    <r>
      <t>V</t>
    </r>
    <r>
      <rPr>
        <vertAlign val="subscript"/>
        <sz val="11"/>
        <color theme="1"/>
        <rFont val="Calibri"/>
        <family val="2"/>
      </rPr>
      <t>c</t>
    </r>
    <r>
      <rPr>
        <sz val="12"/>
        <color theme="1"/>
        <rFont val="Calibri"/>
        <family val="2"/>
      </rPr>
      <t>n</t>
    </r>
    <r>
      <rPr>
        <vertAlign val="subscript"/>
        <sz val="11"/>
        <color theme="1"/>
        <rFont val="Calibri"/>
        <family val="2"/>
      </rPr>
      <t>lim</t>
    </r>
  </si>
  <si>
    <r>
      <t>V</t>
    </r>
    <r>
      <rPr>
        <vertAlign val="subscript"/>
        <sz val="11"/>
        <color theme="1"/>
        <rFont val="Calibri"/>
        <family val="2"/>
      </rPr>
      <t>D</t>
    </r>
    <r>
      <rPr>
        <sz val="12"/>
        <color theme="1"/>
        <rFont val="Calibri"/>
        <family val="2"/>
      </rPr>
      <t>n</t>
    </r>
    <r>
      <rPr>
        <vertAlign val="subscript"/>
        <sz val="11"/>
        <color theme="1"/>
        <rFont val="Calibri"/>
        <family val="2"/>
      </rPr>
      <t>lim</t>
    </r>
  </si>
  <si>
    <t>stall</t>
  </si>
  <si>
    <r>
      <t>V</t>
    </r>
    <r>
      <rPr>
        <vertAlign val="subscript"/>
        <sz val="11"/>
        <color theme="1"/>
        <rFont val="Calibri"/>
        <family val="2"/>
      </rPr>
      <t>S1</t>
    </r>
  </si>
  <si>
    <r>
      <t>V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gust velocity</t>
    </r>
  </si>
  <si>
    <r>
      <t>V</t>
    </r>
    <r>
      <rPr>
        <vertAlign val="subscript"/>
        <sz val="11"/>
        <color theme="1"/>
        <rFont val="Calibri"/>
        <family val="2"/>
      </rPr>
      <t>B</t>
    </r>
    <r>
      <rPr>
        <sz val="12"/>
        <color theme="1"/>
        <rFont val="Calibri"/>
        <family val="2"/>
      </rPr>
      <t>n</t>
    </r>
    <r>
      <rPr>
        <vertAlign val="subscript"/>
        <sz val="11"/>
        <color theme="1"/>
        <rFont val="Calibri"/>
        <family val="2"/>
      </rPr>
      <t>lim</t>
    </r>
  </si>
  <si>
    <r>
      <t>neg V</t>
    </r>
    <r>
      <rPr>
        <vertAlign val="subscript"/>
        <sz val="11"/>
        <color theme="1"/>
        <rFont val="Calibri"/>
        <family val="2"/>
      </rPr>
      <t>C</t>
    </r>
  </si>
  <si>
    <r>
      <t>neg V</t>
    </r>
    <r>
      <rPr>
        <vertAlign val="subscript"/>
        <sz val="11"/>
        <color theme="1"/>
        <rFont val="Calibri"/>
        <family val="2"/>
        <scheme val="minor"/>
      </rPr>
      <t>D</t>
    </r>
  </si>
  <si>
    <r>
      <t>neg V</t>
    </r>
    <r>
      <rPr>
        <vertAlign val="subscript"/>
        <sz val="11"/>
        <color theme="1"/>
        <rFont val="Calibri"/>
        <family val="2"/>
      </rPr>
      <t>B</t>
    </r>
  </si>
  <si>
    <t>JOINERS</t>
  </si>
  <si>
    <t>gradient</t>
  </si>
  <si>
    <t>y-intercept</t>
  </si>
  <si>
    <t>vb-vc</t>
  </si>
  <si>
    <t>vc-vd</t>
  </si>
  <si>
    <t>g</t>
  </si>
  <si>
    <t>y-intrcpt</t>
  </si>
  <si>
    <t>negvb&amp;vc</t>
  </si>
  <si>
    <t>neg vc&amp;vd</t>
  </si>
  <si>
    <t>INITIAL VALUE</t>
  </si>
  <si>
    <t>c) FOR TAKE-OFF RUN, FAR PART 23 states that the take-off run should not exceed 1500 ft</t>
  </si>
  <si>
    <t>Average</t>
  </si>
  <si>
    <t>/MTOW</t>
  </si>
  <si>
    <t>Vc</t>
  </si>
  <si>
    <t>mach(cruise)</t>
  </si>
  <si>
    <t>μ (S-L)</t>
  </si>
  <si>
    <t>FUSELAGE</t>
  </si>
  <si>
    <t>Form Factor</t>
  </si>
  <si>
    <t>Reynolds no.</t>
  </si>
  <si>
    <t xml:space="preserve">f = l/d = </t>
  </si>
  <si>
    <t>DRAG ANALYSIS:- COMPONENT BUILD UP METHOD</t>
  </si>
  <si>
    <t>WING</t>
  </si>
  <si>
    <r>
      <t>(x/c)</t>
    </r>
    <r>
      <rPr>
        <vertAlign val="subscript"/>
        <sz val="11"/>
        <color theme="1"/>
        <rFont val="Calibri"/>
        <family val="2"/>
        <scheme val="minor"/>
      </rPr>
      <t>m</t>
    </r>
  </si>
  <si>
    <t>use tools like XFLR5 or JavaFoil to determine this</t>
  </si>
  <si>
    <t>H.TAIL</t>
  </si>
  <si>
    <r>
      <t>(x/c)</t>
    </r>
    <r>
      <rPr>
        <vertAlign val="subscript"/>
        <sz val="11"/>
        <color theme="1"/>
        <rFont val="Calibri"/>
        <family val="2"/>
      </rPr>
      <t>m</t>
    </r>
    <r>
      <rPr>
        <sz val="11"/>
        <color theme="1"/>
        <rFont val="Calibri"/>
        <family val="2"/>
      </rPr>
      <t xml:space="preserve"> tail</t>
    </r>
  </si>
  <si>
    <t>htail</t>
  </si>
  <si>
    <t>vtail</t>
  </si>
  <si>
    <t>V.TAIL</t>
  </si>
  <si>
    <t>H.Tail</t>
  </si>
  <si>
    <t>GEAR</t>
  </si>
  <si>
    <t>Tire F.A</t>
  </si>
  <si>
    <t>tyre</t>
  </si>
  <si>
    <t>width</t>
  </si>
  <si>
    <t>diameter</t>
  </si>
  <si>
    <t>strut</t>
  </si>
  <si>
    <t>height</t>
  </si>
  <si>
    <t>Strut F.A</t>
  </si>
  <si>
    <t>D/q</t>
  </si>
  <si>
    <t>cockpit</t>
  </si>
  <si>
    <t>COCKPIT</t>
  </si>
  <si>
    <t>TOTAL PARASITE DRAG</t>
  </si>
  <si>
    <t>MISC</t>
  </si>
  <si>
    <r>
      <t>Ʌ</t>
    </r>
    <r>
      <rPr>
        <b/>
        <vertAlign val="subscript"/>
        <sz val="12"/>
        <color theme="1"/>
        <rFont val="Calibri"/>
        <family val="2"/>
      </rPr>
      <t>m</t>
    </r>
  </si>
  <si>
    <r>
      <t>C</t>
    </r>
    <r>
      <rPr>
        <b/>
        <vertAlign val="subscript"/>
        <sz val="11"/>
        <rFont val="Calibri"/>
        <family val="2"/>
        <scheme val="minor"/>
      </rPr>
      <t>f</t>
    </r>
  </si>
  <si>
    <r>
      <t>TOTAL PARASITE AND ENGINE DRAG, CD</t>
    </r>
    <r>
      <rPr>
        <b/>
        <vertAlign val="subscript"/>
        <sz val="11"/>
        <rFont val="Calibri"/>
        <family val="2"/>
        <scheme val="minor"/>
      </rPr>
      <t>O</t>
    </r>
  </si>
  <si>
    <t xml:space="preserve">e  = </t>
  </si>
  <si>
    <t>OSWALD'S SPAN EFFICIENCY FACTOR</t>
  </si>
  <si>
    <r>
      <t>CD</t>
    </r>
    <r>
      <rPr>
        <b/>
        <vertAlign val="subscript"/>
        <sz val="11"/>
        <rFont val="Calibri"/>
        <family val="2"/>
        <scheme val="minor"/>
      </rPr>
      <t>O</t>
    </r>
  </si>
  <si>
    <r>
      <t>L</t>
    </r>
    <r>
      <rPr>
        <vertAlign val="subscript"/>
        <sz val="11"/>
        <color theme="1"/>
        <rFont val="Calibri"/>
        <family val="2"/>
        <scheme val="minor"/>
      </rPr>
      <t>fus</t>
    </r>
  </si>
  <si>
    <r>
      <t>CL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0"/>
        <color theme="1"/>
        <rFont val="Calibri"/>
        <family val="2"/>
        <scheme val="minor"/>
      </rPr>
      <t>D</t>
    </r>
  </si>
  <si>
    <r>
      <t>CL</t>
    </r>
    <r>
      <rPr>
        <vertAlign val="subscript"/>
        <sz val="11"/>
        <color theme="1"/>
        <rFont val="Calibri"/>
        <family val="2"/>
        <scheme val="minor"/>
      </rPr>
      <t>O</t>
    </r>
  </si>
  <si>
    <t>OTHER 3-D PARAMETERS ( XFLR5 RESULTS)</t>
  </si>
  <si>
    <t xml:space="preserve">NOTE: The FIRST graph on the above is also used to certify/prove that the estimations in the previous </t>
  </si>
  <si>
    <r>
      <t>CD</t>
    </r>
    <r>
      <rPr>
        <vertAlign val="subscript"/>
        <sz val="11"/>
        <color theme="1"/>
        <rFont val="Calibri"/>
        <family val="2"/>
        <scheme val="minor"/>
      </rPr>
      <t>min</t>
    </r>
  </si>
  <si>
    <t>Cdi</t>
  </si>
  <si>
    <t>CONTINENTAL</t>
  </si>
  <si>
    <t>Aspect ratio</t>
  </si>
  <si>
    <r>
      <t>N</t>
    </r>
    <r>
      <rPr>
        <vertAlign val="subscript"/>
        <sz val="11"/>
        <color theme="1"/>
        <rFont val="Calibri"/>
        <family val="2"/>
        <scheme val="minor"/>
      </rPr>
      <t>E</t>
    </r>
  </si>
  <si>
    <r>
      <t>Vs</t>
    </r>
    <r>
      <rPr>
        <vertAlign val="subscript"/>
        <sz val="11"/>
        <color theme="1"/>
        <rFont val="Calibri"/>
        <family val="2"/>
        <scheme val="minor"/>
      </rPr>
      <t>CLEAN</t>
    </r>
  </si>
  <si>
    <t>KNOTS</t>
  </si>
  <si>
    <t>LYCOMING</t>
  </si>
  <si>
    <t>0-540-A</t>
  </si>
  <si>
    <t>C.R</t>
  </si>
  <si>
    <t>Hp</t>
  </si>
  <si>
    <t>RPM</t>
  </si>
  <si>
    <t>TBO</t>
  </si>
  <si>
    <t>Hp -(METO)</t>
  </si>
  <si>
    <t>Fuel</t>
  </si>
  <si>
    <t>8.50:1</t>
  </si>
  <si>
    <t>O-540-E</t>
  </si>
  <si>
    <t>IO-540-C</t>
  </si>
  <si>
    <t>IO-540-D</t>
  </si>
  <si>
    <t>TIO-540-C</t>
  </si>
  <si>
    <t>7.20:1</t>
  </si>
  <si>
    <t>IO-540-AA</t>
  </si>
  <si>
    <t>7.30:1</t>
  </si>
  <si>
    <t>TBO(hrs)</t>
  </si>
  <si>
    <t>IO-470-C</t>
  </si>
  <si>
    <t>8.0:1</t>
  </si>
  <si>
    <t>91/96</t>
  </si>
  <si>
    <t>IO-470-D&amp;E</t>
  </si>
  <si>
    <t>8.60:1</t>
  </si>
  <si>
    <t>100/130</t>
  </si>
  <si>
    <t>IO-470-L&amp;M</t>
  </si>
  <si>
    <t>100/100LL</t>
  </si>
  <si>
    <t>IO-520-B,BA,BB</t>
  </si>
  <si>
    <t>TSIO-520-B,BB</t>
  </si>
  <si>
    <t>7.50:1</t>
  </si>
  <si>
    <t>EXAMPLES OF ENGINES AND THEIR DATA</t>
  </si>
  <si>
    <t>ENGINE NO.</t>
  </si>
  <si>
    <t>SELECTED ENGINE DATA</t>
  </si>
  <si>
    <t>hp</t>
  </si>
  <si>
    <t>rpm</t>
  </si>
  <si>
    <t>cr</t>
  </si>
  <si>
    <t>Weight(lbs)</t>
  </si>
  <si>
    <t>ENGINE SELECTION</t>
  </si>
  <si>
    <t>Select an engine with apprx.</t>
  </si>
  <si>
    <t>Total Horsepower</t>
  </si>
  <si>
    <t>n(turn load factor)</t>
  </si>
  <si>
    <t>from the table on the left</t>
  </si>
  <si>
    <r>
      <t xml:space="preserve">Input the  </t>
    </r>
    <r>
      <rPr>
        <b/>
        <u val="double"/>
        <sz val="11"/>
        <color theme="1"/>
        <rFont val="Calibri"/>
        <family val="2"/>
        <scheme val="minor"/>
      </rPr>
      <t>ENGINE  NO.</t>
    </r>
    <r>
      <rPr>
        <sz val="11"/>
        <color theme="1"/>
        <rFont val="Calibri"/>
        <family val="2"/>
        <scheme val="minor"/>
      </rPr>
      <t xml:space="preserve">  as chosen</t>
    </r>
  </si>
  <si>
    <r>
      <t xml:space="preserve">COOLING </t>
    </r>
    <r>
      <rPr>
        <vertAlign val="subscript"/>
        <sz val="10"/>
        <rFont val="Calibri Light"/>
        <family val="2"/>
        <scheme val="major"/>
      </rPr>
      <t>DRAG</t>
    </r>
  </si>
  <si>
    <t>Estimating Project Development Costs</t>
  </si>
  <si>
    <t>hrs</t>
  </si>
  <si>
    <t>N</t>
  </si>
  <si>
    <r>
      <t>F</t>
    </r>
    <r>
      <rPr>
        <vertAlign val="subscript"/>
        <sz val="11"/>
        <color theme="1"/>
        <rFont val="Calibri"/>
        <family val="2"/>
        <scheme val="minor"/>
      </rPr>
      <t>COMP</t>
    </r>
  </si>
  <si>
    <r>
      <t>F</t>
    </r>
    <r>
      <rPr>
        <vertAlign val="subscript"/>
        <sz val="11"/>
        <color theme="1"/>
        <rFont val="Calibri"/>
        <family val="2"/>
        <scheme val="minor"/>
      </rPr>
      <t>CF</t>
    </r>
  </si>
  <si>
    <r>
      <t>f</t>
    </r>
    <r>
      <rPr>
        <vertAlign val="subscript"/>
        <sz val="11"/>
        <color theme="1"/>
        <rFont val="Calibri"/>
        <family val="2"/>
        <scheme val="minor"/>
      </rPr>
      <t>comp</t>
    </r>
  </si>
  <si>
    <r>
      <t>F</t>
    </r>
    <r>
      <rPr>
        <vertAlign val="subscript"/>
        <sz val="11"/>
        <color theme="1"/>
        <rFont val="Calibri"/>
        <family val="2"/>
        <scheme val="minor"/>
      </rPr>
      <t>TAPER</t>
    </r>
  </si>
  <si>
    <r>
      <t>Q</t>
    </r>
    <r>
      <rPr>
        <vertAlign val="subscript"/>
        <sz val="11"/>
        <color theme="1"/>
        <rFont val="Calibri"/>
        <family val="2"/>
        <scheme val="minor"/>
      </rPr>
      <t>m</t>
    </r>
  </si>
  <si>
    <r>
      <t>F</t>
    </r>
    <r>
      <rPr>
        <vertAlign val="subscript"/>
        <sz val="11"/>
        <color theme="1"/>
        <rFont val="Calibri"/>
        <family val="2"/>
        <scheme val="minor"/>
      </rPr>
      <t>PRESS</t>
    </r>
  </si>
  <si>
    <r>
      <t>F</t>
    </r>
    <r>
      <rPr>
        <vertAlign val="subscript"/>
        <sz val="11"/>
        <color theme="1"/>
        <rFont val="Calibri"/>
        <family val="2"/>
        <scheme val="minor"/>
      </rPr>
      <t>CERT</t>
    </r>
  </si>
  <si>
    <r>
      <t>N</t>
    </r>
    <r>
      <rPr>
        <vertAlign val="subscript"/>
        <sz val="11"/>
        <color theme="1"/>
        <rFont val="Calibri"/>
        <family val="2"/>
        <scheme val="minor"/>
      </rPr>
      <t>ENG</t>
    </r>
  </si>
  <si>
    <t>Engineers</t>
  </si>
  <si>
    <t>weeks</t>
  </si>
  <si>
    <t>Expected duration of project</t>
  </si>
  <si>
    <t xml:space="preserve">working weeks per year </t>
  </si>
  <si>
    <t>hrs/week</t>
  </si>
  <si>
    <t>working hours per week</t>
  </si>
  <si>
    <r>
      <t>t</t>
    </r>
    <r>
      <rPr>
        <vertAlign val="subscript"/>
        <sz val="11"/>
        <color theme="1"/>
        <rFont val="Calibri"/>
        <family val="2"/>
        <scheme val="minor"/>
      </rPr>
      <t>AC</t>
    </r>
  </si>
  <si>
    <t>COST ANALYSIS</t>
  </si>
  <si>
    <r>
      <t>C</t>
    </r>
    <r>
      <rPr>
        <vertAlign val="subscript"/>
        <sz val="11"/>
        <color theme="1"/>
        <rFont val="Calibri"/>
        <family val="2"/>
        <scheme val="minor"/>
      </rPr>
      <t>ENG</t>
    </r>
  </si>
  <si>
    <r>
      <t>C</t>
    </r>
    <r>
      <rPr>
        <vertAlign val="subscript"/>
        <sz val="11"/>
        <color theme="1"/>
        <rFont val="Calibri"/>
        <family val="2"/>
        <scheme val="minor"/>
      </rPr>
      <t>DEV</t>
    </r>
  </si>
  <si>
    <t>per hr</t>
  </si>
  <si>
    <r>
      <t>C</t>
    </r>
    <r>
      <rPr>
        <vertAlign val="subscript"/>
        <sz val="11"/>
        <color theme="1"/>
        <rFont val="Calibri"/>
        <family val="2"/>
        <scheme val="minor"/>
      </rPr>
      <t>FT</t>
    </r>
  </si>
  <si>
    <r>
      <t>C</t>
    </r>
    <r>
      <rPr>
        <vertAlign val="subscript"/>
        <sz val="11"/>
        <color theme="1"/>
        <rFont val="Calibri"/>
        <family val="2"/>
        <scheme val="minor"/>
      </rPr>
      <t>TOOL</t>
    </r>
  </si>
  <si>
    <r>
      <t>C</t>
    </r>
    <r>
      <rPr>
        <vertAlign val="subscript"/>
        <sz val="11"/>
        <color theme="1"/>
        <rFont val="Calibri"/>
        <family val="2"/>
        <scheme val="minor"/>
      </rPr>
      <t>MFG</t>
    </r>
  </si>
  <si>
    <r>
      <t>C</t>
    </r>
    <r>
      <rPr>
        <vertAlign val="subscript"/>
        <sz val="11"/>
        <color theme="1"/>
        <rFont val="Calibri"/>
        <family val="2"/>
        <scheme val="minor"/>
      </rPr>
      <t>QC</t>
    </r>
  </si>
  <si>
    <r>
      <t>C</t>
    </r>
    <r>
      <rPr>
        <vertAlign val="subscript"/>
        <sz val="11"/>
        <color theme="1"/>
        <rFont val="Calibri"/>
        <family val="2"/>
        <scheme val="minor"/>
      </rPr>
      <t>MAT</t>
    </r>
  </si>
  <si>
    <r>
      <t>C</t>
    </r>
    <r>
      <rPr>
        <vertAlign val="subscript"/>
        <sz val="11"/>
        <color theme="1"/>
        <rFont val="Calibri"/>
        <family val="2"/>
        <scheme val="minor"/>
      </rPr>
      <t>CERT</t>
    </r>
  </si>
  <si>
    <t>landing gear</t>
  </si>
  <si>
    <t>avionics</t>
  </si>
  <si>
    <r>
      <t>C</t>
    </r>
    <r>
      <rPr>
        <vertAlign val="subscript"/>
        <sz val="11"/>
        <color theme="1"/>
        <rFont val="Calibri"/>
        <family val="2"/>
        <scheme val="minor"/>
      </rPr>
      <t>PP</t>
    </r>
  </si>
  <si>
    <r>
      <t>C</t>
    </r>
    <r>
      <rPr>
        <vertAlign val="subscript"/>
        <sz val="11"/>
        <color theme="1"/>
        <rFont val="Calibri"/>
        <family val="2"/>
        <scheme val="minor"/>
      </rPr>
      <t>FIXPROP</t>
    </r>
  </si>
  <si>
    <t>Development support</t>
  </si>
  <si>
    <t>Flight test operations</t>
  </si>
  <si>
    <t>Tooling</t>
  </si>
  <si>
    <t>Certification Cost</t>
  </si>
  <si>
    <t>Manufacturing labour</t>
  </si>
  <si>
    <t>Quality control</t>
  </si>
  <si>
    <t>Materials/equipment</t>
  </si>
  <si>
    <t>Fixed landing gear discount</t>
  </si>
  <si>
    <t>Engine(s)</t>
  </si>
  <si>
    <t>Propeller(s)</t>
  </si>
  <si>
    <t>Avionics</t>
  </si>
  <si>
    <t>Manufacturer's liability insurance</t>
  </si>
  <si>
    <t>TOTAL COST TO PRODUCE</t>
  </si>
  <si>
    <t>MINIMUM SELLING PRICE</t>
  </si>
  <si>
    <t>Engineering</t>
  </si>
  <si>
    <t>years</t>
  </si>
  <si>
    <t>Break-even Analysis</t>
  </si>
  <si>
    <t>Total fixed cost</t>
  </si>
  <si>
    <t>Unit variable cost</t>
  </si>
  <si>
    <t>unit sales price</t>
  </si>
  <si>
    <t>n</t>
  </si>
  <si>
    <t>fixed+var</t>
  </si>
  <si>
    <t>fixed c</t>
  </si>
  <si>
    <t>HINT: they must be greater than unit variable cost</t>
  </si>
  <si>
    <t>enter three different estimated selling</t>
  </si>
  <si>
    <t>prices of the aircraft</t>
  </si>
  <si>
    <t>lbs weight of structural skeleton</t>
  </si>
  <si>
    <t>certification factor(lsa=0.67,part 23=1)</t>
  </si>
  <si>
    <t>complex flap factor(complex=1.03,simple=1)</t>
  </si>
  <si>
    <t>composites factor(=1+fcomp)</t>
  </si>
  <si>
    <t>fraction of airframe made from composites</t>
  </si>
  <si>
    <t>pressurization factor(press=1.03,unpress=1)</t>
  </si>
  <si>
    <t>pdn rate per month</t>
  </si>
  <si>
    <t>0.95 for const chord,1 for tapered</t>
  </si>
  <si>
    <t>(no. of engineers needed to develop aircrafts over the years stated above)</t>
  </si>
  <si>
    <t>(average time to manufacture  single unit)</t>
  </si>
  <si>
    <t>COMMENTS</t>
  </si>
  <si>
    <t>1. the position of CG of various components are explained by ROSKAM</t>
  </si>
  <si>
    <t>2. We used CATIA model to implement the methods in number 1 above</t>
  </si>
  <si>
    <t>3. the aircraft CG in this case is too aft. We will thus try to do a rearrangement although</t>
  </si>
  <si>
    <t>this will affect a lot of things like tail sizing, landing gear location etc</t>
  </si>
  <si>
    <t>line and respective selling prices corresponds to the break even</t>
  </si>
  <si>
    <t xml:space="preserve"> number on x-axis</t>
  </si>
  <si>
    <t xml:space="preserve">In the graph , the intersection between the fixed+variable </t>
  </si>
  <si>
    <t>AIRCRAFT OPERATION COSTS</t>
  </si>
  <si>
    <t>Maintenance to Flight Hour Ratio</t>
  </si>
  <si>
    <r>
      <t>N</t>
    </r>
    <r>
      <rPr>
        <vertAlign val="subscript"/>
        <sz val="11"/>
        <color theme="1"/>
        <rFont val="Calibri"/>
        <family val="2"/>
      </rPr>
      <t>INT</t>
    </r>
  </si>
  <si>
    <r>
      <t>F</t>
    </r>
    <r>
      <rPr>
        <vertAlign val="subscript"/>
        <sz val="11"/>
        <color theme="1"/>
        <rFont val="Calibri"/>
        <family val="2"/>
      </rPr>
      <t>INT</t>
    </r>
  </si>
  <si>
    <r>
      <t>TF</t>
    </r>
    <r>
      <rPr>
        <vertAlign val="subscript"/>
        <sz val="11"/>
        <color theme="1"/>
        <rFont val="Calibri"/>
        <family val="2"/>
      </rPr>
      <t>INT</t>
    </r>
  </si>
  <si>
    <t>per month</t>
  </si>
  <si>
    <t>gal/hr</t>
  </si>
  <si>
    <t>per year</t>
  </si>
  <si>
    <t>AIRCRAFT COST ANALYSIS - DAPCA IV METHOD</t>
  </si>
  <si>
    <t>P</t>
  </si>
  <si>
    <t>i</t>
  </si>
  <si>
    <t>RT</t>
  </si>
  <si>
    <t>expected repayment time</t>
  </si>
  <si>
    <t>%</t>
  </si>
  <si>
    <r>
      <t>Q</t>
    </r>
    <r>
      <rPr>
        <vertAlign val="subscript"/>
        <sz val="11"/>
        <color theme="1"/>
        <rFont val="Calibri"/>
        <family val="2"/>
        <scheme val="minor"/>
      </rPr>
      <t>FLGHT</t>
    </r>
  </si>
  <si>
    <r>
      <t>R</t>
    </r>
    <r>
      <rPr>
        <vertAlign val="subscript"/>
        <sz val="11"/>
        <color theme="1"/>
        <rFont val="Calibri"/>
        <family val="2"/>
        <scheme val="minor"/>
      </rPr>
      <t>STOR</t>
    </r>
  </si>
  <si>
    <r>
      <t>R</t>
    </r>
    <r>
      <rPr>
        <vertAlign val="subscript"/>
        <sz val="11"/>
        <color theme="1"/>
        <rFont val="Calibri"/>
        <family val="2"/>
        <scheme val="minor"/>
      </rPr>
      <t>FUEL</t>
    </r>
  </si>
  <si>
    <r>
      <t>C</t>
    </r>
    <r>
      <rPr>
        <vertAlign val="subscript"/>
        <sz val="11"/>
        <color theme="1"/>
        <rFont val="Calibri"/>
        <family val="2"/>
        <scheme val="minor"/>
      </rPr>
      <t>AC</t>
    </r>
  </si>
  <si>
    <t>LOAN REPAYMENT (IF MONEY WAS BORROWED)</t>
  </si>
  <si>
    <t xml:space="preserve">per gal </t>
  </si>
  <si>
    <r>
      <t>FF</t>
    </r>
    <r>
      <rPr>
        <vertAlign val="subscript"/>
        <sz val="11"/>
        <color theme="1"/>
        <rFont val="Calibri"/>
        <family val="2"/>
        <scheme val="minor"/>
      </rPr>
      <t>CRUISE</t>
    </r>
  </si>
  <si>
    <r>
      <t>C</t>
    </r>
    <r>
      <rPr>
        <vertAlign val="subscript"/>
        <sz val="11"/>
        <color theme="1"/>
        <rFont val="Calibri"/>
        <family val="2"/>
        <scheme val="minor"/>
      </rPr>
      <t>AP</t>
    </r>
  </si>
  <si>
    <r>
      <t>C</t>
    </r>
    <r>
      <rPr>
        <vertAlign val="subscript"/>
        <sz val="11"/>
        <color theme="1"/>
        <rFont val="Calibri"/>
        <family val="2"/>
        <scheme val="minor"/>
      </rPr>
      <t>STOR</t>
    </r>
  </si>
  <si>
    <r>
      <t>C</t>
    </r>
    <r>
      <rPr>
        <vertAlign val="subscript"/>
        <sz val="11"/>
        <color theme="1"/>
        <rFont val="Calibri"/>
        <family val="2"/>
        <scheme val="minor"/>
      </rPr>
      <t>FUEL</t>
    </r>
  </si>
  <si>
    <r>
      <t>C</t>
    </r>
    <r>
      <rPr>
        <vertAlign val="subscript"/>
        <sz val="11"/>
        <color theme="1"/>
        <rFont val="Calibri"/>
        <family val="2"/>
        <scheme val="minor"/>
      </rPr>
      <t>INS</t>
    </r>
  </si>
  <si>
    <r>
      <t>C</t>
    </r>
    <r>
      <rPr>
        <vertAlign val="subscript"/>
        <sz val="11"/>
        <color theme="1"/>
        <rFont val="Calibri"/>
        <family val="2"/>
        <scheme val="minor"/>
      </rPr>
      <t>INSP</t>
    </r>
  </si>
  <si>
    <r>
      <t>C</t>
    </r>
    <r>
      <rPr>
        <vertAlign val="subscript"/>
        <sz val="11"/>
        <color theme="1"/>
        <rFont val="Calibri"/>
        <family val="2"/>
        <scheme val="minor"/>
      </rPr>
      <t>OVER</t>
    </r>
  </si>
  <si>
    <r>
      <t>C</t>
    </r>
    <r>
      <rPr>
        <vertAlign val="subscript"/>
        <sz val="11"/>
        <color theme="1"/>
        <rFont val="Calibri"/>
        <family val="2"/>
        <scheme val="minor"/>
      </rPr>
      <t>LOAN</t>
    </r>
  </si>
  <si>
    <r>
      <t>C</t>
    </r>
    <r>
      <rPr>
        <vertAlign val="subscript"/>
        <sz val="11"/>
        <color theme="1"/>
        <rFont val="Calibri"/>
        <family val="2"/>
        <scheme val="minor"/>
      </rPr>
      <t>month</t>
    </r>
  </si>
  <si>
    <r>
      <t>C</t>
    </r>
    <r>
      <rPr>
        <vertAlign val="subscript"/>
        <sz val="11"/>
        <color theme="1"/>
        <rFont val="Calibri"/>
        <family val="2"/>
        <scheme val="minor"/>
      </rPr>
      <t>CREW</t>
    </r>
  </si>
  <si>
    <r>
      <t>R</t>
    </r>
    <r>
      <rPr>
        <vertAlign val="subscript"/>
        <sz val="11"/>
        <color theme="1"/>
        <rFont val="Calibri"/>
        <family val="2"/>
        <scheme val="minor"/>
      </rPr>
      <t>CREW</t>
    </r>
  </si>
  <si>
    <r>
      <t>F</t>
    </r>
    <r>
      <rPr>
        <vertAlign val="subscript"/>
        <sz val="11"/>
        <color theme="1"/>
        <rFont val="Calibri"/>
        <family val="2"/>
        <scheme val="minor"/>
      </rPr>
      <t>1</t>
    </r>
  </si>
  <si>
    <r>
      <t>F</t>
    </r>
    <r>
      <rPr>
        <vertAlign val="subscript"/>
        <sz val="11"/>
        <color theme="1"/>
        <rFont val="Calibri"/>
        <family val="2"/>
        <scheme val="minor"/>
      </rPr>
      <t>2</t>
    </r>
  </si>
  <si>
    <r>
      <t>F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</si>
  <si>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</si>
  <si>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</si>
  <si>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</si>
  <si>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</si>
  <si>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F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</si>
  <si>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t>fixed landing gear=0, 0.02 for retractable</t>
  </si>
  <si>
    <t>0 if no VFR radio installed,otherwise input 0.02</t>
  </si>
  <si>
    <t>0 if no IFR radios installed, otherwise input 0.04</t>
  </si>
  <si>
    <t>0 if no integral fuel tanks, otherwise input 0.01</t>
  </si>
  <si>
    <t>0 for simple flap system, otherwise input 0.02</t>
  </si>
  <si>
    <t>0 for 14CFR Part 23 certification, -0.10 for LSA crtfcn</t>
  </si>
  <si>
    <r>
      <t>R</t>
    </r>
    <r>
      <rPr>
        <vertAlign val="subscript"/>
        <sz val="11"/>
        <color theme="1"/>
        <rFont val="Calibri"/>
        <family val="2"/>
        <scheme val="minor"/>
      </rPr>
      <t>AP</t>
    </r>
  </si>
  <si>
    <t>hourly rate for A&amp;P Technician</t>
  </si>
  <si>
    <t>no. of flight hours per year</t>
  </si>
  <si>
    <t xml:space="preserve">storage rate </t>
  </si>
  <si>
    <t>fuel price</t>
  </si>
  <si>
    <t>total fuel flow</t>
  </si>
  <si>
    <t>insured value of the aircraft</t>
  </si>
  <si>
    <t>hourly rate of crew</t>
  </si>
  <si>
    <t>Maintenace Cost</t>
  </si>
  <si>
    <t>Storage Cost</t>
  </si>
  <si>
    <t>Fuel Cost</t>
  </si>
  <si>
    <t>Insurance Cost</t>
  </si>
  <si>
    <t>Inspection Cost</t>
  </si>
  <si>
    <t>Engine Overhaul Fund</t>
  </si>
  <si>
    <t>Crew Cost</t>
  </si>
  <si>
    <t>Loan Repayment</t>
  </si>
  <si>
    <t>TOTAL YEARLY COST</t>
  </si>
  <si>
    <t>COST PER FLIGHT HOUR</t>
  </si>
  <si>
    <t xml:space="preserve">FMF </t>
  </si>
  <si>
    <t>LATER FOR COMPARISON PURPOSES</t>
  </si>
  <si>
    <t>NB:- THE EASTLAKE METHOD WILL ALSO BE IMPLEMENTED</t>
  </si>
  <si>
    <r>
      <t>W</t>
    </r>
    <r>
      <rPr>
        <vertAlign val="subscript"/>
        <sz val="14"/>
        <color theme="1"/>
        <rFont val="Calibri"/>
        <family val="2"/>
        <scheme val="minor"/>
      </rPr>
      <t>airframe</t>
    </r>
  </si>
  <si>
    <t>per hour</t>
  </si>
  <si>
    <t>no. of aircrafts to be produced over 5 years</t>
  </si>
  <si>
    <t>Cosumer Price Index as of 2012</t>
  </si>
  <si>
    <t>Number of prototypes</t>
  </si>
  <si>
    <t xml:space="preserve">Rate of Tooling Labour </t>
  </si>
  <si>
    <t xml:space="preserve">Rate of Engineering Labour </t>
  </si>
  <si>
    <t xml:space="preserve">Rate of ManufacturingL abour </t>
  </si>
  <si>
    <t>Number of Engineering Man-hours</t>
  </si>
  <si>
    <t>Number of Tooling Man-hours</t>
  </si>
  <si>
    <t>No. of manufacturing Labour Man-hours</t>
  </si>
  <si>
    <r>
      <t>R</t>
    </r>
    <r>
      <rPr>
        <b/>
        <vertAlign val="subscript"/>
        <sz val="11"/>
        <color theme="8"/>
        <rFont val="Calibri"/>
        <family val="2"/>
        <scheme val="minor"/>
      </rPr>
      <t>ENG</t>
    </r>
  </si>
  <si>
    <r>
      <t>CPI</t>
    </r>
    <r>
      <rPr>
        <b/>
        <vertAlign val="subscript"/>
        <sz val="11"/>
        <color theme="8"/>
        <rFont val="Calibri"/>
        <family val="2"/>
        <scheme val="minor"/>
      </rPr>
      <t>2012</t>
    </r>
  </si>
  <si>
    <r>
      <t>N</t>
    </r>
    <r>
      <rPr>
        <b/>
        <vertAlign val="subscript"/>
        <sz val="11"/>
        <color theme="8"/>
        <rFont val="Calibri"/>
        <family val="2"/>
        <scheme val="minor"/>
      </rPr>
      <t>P</t>
    </r>
  </si>
  <si>
    <r>
      <t>R</t>
    </r>
    <r>
      <rPr>
        <b/>
        <vertAlign val="subscript"/>
        <sz val="11"/>
        <color theme="8"/>
        <rFont val="Calibri"/>
        <family val="2"/>
        <scheme val="minor"/>
      </rPr>
      <t>TOOL</t>
    </r>
  </si>
  <si>
    <r>
      <t>R</t>
    </r>
    <r>
      <rPr>
        <b/>
        <vertAlign val="subscript"/>
        <sz val="11"/>
        <color theme="8"/>
        <rFont val="Calibri"/>
        <family val="2"/>
        <scheme val="minor"/>
      </rPr>
      <t>MFG</t>
    </r>
  </si>
  <si>
    <r>
      <t>H</t>
    </r>
    <r>
      <rPr>
        <b/>
        <vertAlign val="subscript"/>
        <sz val="11"/>
        <color theme="8"/>
        <rFont val="Calibri"/>
        <family val="2"/>
        <scheme val="minor"/>
      </rPr>
      <t>ENG</t>
    </r>
  </si>
  <si>
    <r>
      <t>H</t>
    </r>
    <r>
      <rPr>
        <b/>
        <vertAlign val="subscript"/>
        <sz val="11"/>
        <color theme="8"/>
        <rFont val="Calibri"/>
        <family val="2"/>
        <scheme val="minor"/>
      </rPr>
      <t>TOOL</t>
    </r>
  </si>
  <si>
    <r>
      <t>H</t>
    </r>
    <r>
      <rPr>
        <b/>
        <vertAlign val="subscript"/>
        <sz val="11"/>
        <color theme="8"/>
        <rFont val="Calibri"/>
        <family val="2"/>
        <scheme val="minor"/>
      </rPr>
      <t>MFG</t>
    </r>
  </si>
  <si>
    <t>Number of Units to Break-even</t>
  </si>
  <si>
    <r>
      <t>N</t>
    </r>
    <r>
      <rPr>
        <vertAlign val="subscript"/>
        <sz val="12"/>
        <color theme="1"/>
        <rFont val="Calibri"/>
        <family val="2"/>
        <scheme val="minor"/>
      </rPr>
      <t>BE</t>
    </r>
  </si>
  <si>
    <t xml:space="preserve">0 for easy engine access,otherwise input 0.02 </t>
  </si>
  <si>
    <r>
      <t>C</t>
    </r>
    <r>
      <rPr>
        <b/>
        <vertAlign val="subscript"/>
        <sz val="14"/>
        <color theme="1" tint="4.9989318521683403E-2"/>
        <rFont val="Calibri"/>
        <family val="2"/>
        <scheme val="minor"/>
      </rPr>
      <t>YEAR</t>
    </r>
  </si>
  <si>
    <r>
      <t>C</t>
    </r>
    <r>
      <rPr>
        <b/>
        <vertAlign val="subscript"/>
        <sz val="14"/>
        <color theme="1" tint="4.9989318521683403E-2"/>
        <rFont val="Calibri"/>
        <family val="2"/>
        <scheme val="minor"/>
      </rPr>
      <t>HR</t>
    </r>
  </si>
  <si>
    <t xml:space="preserve"> final selling price</t>
  </si>
  <si>
    <t>IMPORTANT NOTES:-</t>
  </si>
  <si>
    <t xml:space="preserve">WE  HAVEN'T INCLUDED wages for engineering,technician, tooling and  crew since </t>
  </si>
  <si>
    <t>this is a university project and we have assumed all services will be provided for free</t>
  </si>
  <si>
    <t>this will be changed accordingly if a new approach is given.</t>
  </si>
  <si>
    <t>monthly loan repayment</t>
  </si>
  <si>
    <t>monthly interest rate</t>
  </si>
  <si>
    <t>1)</t>
  </si>
  <si>
    <t>2)</t>
  </si>
  <si>
    <t>3)</t>
  </si>
  <si>
    <t>4)</t>
  </si>
  <si>
    <t>5)</t>
  </si>
  <si>
    <t>6)</t>
  </si>
  <si>
    <t>WEIGHT SENSTIVITY STUDIES</t>
  </si>
  <si>
    <t>Empty Weight constants</t>
  </si>
  <si>
    <t xml:space="preserve">a = </t>
  </si>
  <si>
    <t xml:space="preserve">b = </t>
  </si>
  <si>
    <t>SENSITIVITY OF TAKE-OFF WEIGHT TO LIFT/DRAG</t>
  </si>
  <si>
    <r>
      <t xml:space="preserve">     this means that for every 1 lb of W</t>
    </r>
    <r>
      <rPr>
        <vertAlign val="subscript"/>
        <sz val="10"/>
        <color theme="1"/>
        <rFont val="Calibri"/>
        <family val="2"/>
        <scheme val="minor"/>
      </rPr>
      <t>E</t>
    </r>
    <r>
      <rPr>
        <sz val="10"/>
        <color theme="1"/>
        <rFont val="Calibri"/>
        <family val="2"/>
        <scheme val="minor"/>
      </rPr>
      <t xml:space="preserve"> added, MTOW will increase by</t>
    </r>
  </si>
  <si>
    <t xml:space="preserve"> will change the MTOW by  a  value  of </t>
  </si>
  <si>
    <r>
      <t xml:space="preserve">this  means  that  for the new  </t>
    </r>
    <r>
      <rPr>
        <sz val="10"/>
        <color theme="1"/>
        <rFont val="Calibri"/>
        <family val="2"/>
      </rPr>
      <t xml:space="preserve">ηp </t>
    </r>
    <r>
      <rPr>
        <sz val="10"/>
        <color theme="1"/>
        <rFont val="Calibri"/>
        <family val="2"/>
        <scheme val="minor"/>
      </rPr>
      <t xml:space="preserve"> desired,   a change of </t>
    </r>
  </si>
  <si>
    <t xml:space="preserve"> will change the MTOW by a value of </t>
  </si>
  <si>
    <t>Passenger no.</t>
  </si>
  <si>
    <t>Luggage per pass</t>
  </si>
  <si>
    <r>
      <t>V</t>
    </r>
    <r>
      <rPr>
        <vertAlign val="subscript"/>
        <sz val="11"/>
        <rFont val="Calibri"/>
        <family val="2"/>
        <scheme val="minor"/>
      </rPr>
      <t>C</t>
    </r>
  </si>
  <si>
    <r>
      <rPr>
        <sz val="11"/>
        <rFont val="Calibri"/>
        <family val="2"/>
      </rPr>
      <t>ρ</t>
    </r>
    <r>
      <rPr>
        <vertAlign val="subscript"/>
        <sz val="11"/>
        <rFont val="Calibri"/>
        <family val="2"/>
        <scheme val="minor"/>
      </rPr>
      <t>ceiling</t>
    </r>
  </si>
  <si>
    <r>
      <rPr>
        <sz val="11"/>
        <rFont val="Calibri"/>
        <family val="2"/>
      </rPr>
      <t>η</t>
    </r>
    <r>
      <rPr>
        <vertAlign val="subscript"/>
        <sz val="11"/>
        <rFont val="Calibri"/>
        <family val="2"/>
        <scheme val="minor"/>
      </rPr>
      <t>p</t>
    </r>
    <r>
      <rPr>
        <sz val="11"/>
        <rFont val="Calibri"/>
        <family val="2"/>
        <scheme val="minor"/>
      </rPr>
      <t xml:space="preserve"> (climb)</t>
    </r>
  </si>
  <si>
    <r>
      <t>CL</t>
    </r>
    <r>
      <rPr>
        <vertAlign val="subscript"/>
        <sz val="11"/>
        <rFont val="Calibri"/>
        <family val="2"/>
        <scheme val="minor"/>
      </rPr>
      <t>max</t>
    </r>
  </si>
  <si>
    <r>
      <t>CL</t>
    </r>
    <r>
      <rPr>
        <vertAlign val="subscript"/>
        <sz val="11"/>
        <rFont val="Calibri"/>
        <family val="2"/>
        <scheme val="minor"/>
      </rPr>
      <t>TO</t>
    </r>
  </si>
  <si>
    <r>
      <t>V</t>
    </r>
    <r>
      <rPr>
        <vertAlign val="subscript"/>
        <sz val="11"/>
        <rFont val="Calibri"/>
        <family val="2"/>
        <scheme val="minor"/>
      </rPr>
      <t>take-off</t>
    </r>
  </si>
  <si>
    <r>
      <t>CDO</t>
    </r>
    <r>
      <rPr>
        <vertAlign val="subscript"/>
        <sz val="11"/>
        <rFont val="Calibri"/>
        <family val="2"/>
        <scheme val="minor"/>
      </rPr>
      <t>HLD_TO</t>
    </r>
  </si>
  <si>
    <r>
      <t>CDo</t>
    </r>
    <r>
      <rPr>
        <vertAlign val="subscript"/>
        <sz val="11"/>
        <rFont val="Calibri"/>
        <family val="2"/>
        <scheme val="minor"/>
      </rPr>
      <t>TO</t>
    </r>
  </si>
  <si>
    <r>
      <t>CD</t>
    </r>
    <r>
      <rPr>
        <vertAlign val="subscript"/>
        <sz val="11"/>
        <rFont val="Calibri"/>
        <family val="2"/>
        <scheme val="minor"/>
      </rPr>
      <t>TO</t>
    </r>
  </si>
  <si>
    <r>
      <t>CL</t>
    </r>
    <r>
      <rPr>
        <vertAlign val="subscript"/>
        <sz val="11"/>
        <rFont val="Calibri"/>
        <family val="2"/>
        <scheme val="minor"/>
      </rPr>
      <t>R</t>
    </r>
  </si>
  <si>
    <r>
      <t>η</t>
    </r>
    <r>
      <rPr>
        <vertAlign val="subscript"/>
        <sz val="11"/>
        <rFont val="Calibri"/>
        <family val="2"/>
      </rPr>
      <t xml:space="preserve">P </t>
    </r>
    <r>
      <rPr>
        <sz val="11"/>
        <rFont val="Calibri"/>
        <family val="2"/>
      </rPr>
      <t>(Take-off)</t>
    </r>
  </si>
  <si>
    <r>
      <t>CD</t>
    </r>
    <r>
      <rPr>
        <vertAlign val="subscript"/>
        <sz val="11"/>
        <rFont val="Calibri"/>
        <family val="2"/>
      </rPr>
      <t>G</t>
    </r>
  </si>
  <si>
    <t>Stall Speed Requirement</t>
  </si>
  <si>
    <t>Max Speed Requirement</t>
  </si>
  <si>
    <r>
      <t>CD</t>
    </r>
    <r>
      <rPr>
        <vertAlign val="subscript"/>
        <sz val="11"/>
        <rFont val="Calibri"/>
        <family val="2"/>
        <scheme val="minor"/>
      </rPr>
      <t>MIN</t>
    </r>
  </si>
  <si>
    <r>
      <t>V</t>
    </r>
    <r>
      <rPr>
        <vertAlign val="subscript"/>
        <sz val="11"/>
        <rFont val="Calibri"/>
        <family val="2"/>
        <scheme val="minor"/>
      </rPr>
      <t>LOF</t>
    </r>
  </si>
  <si>
    <r>
      <t>S</t>
    </r>
    <r>
      <rPr>
        <vertAlign val="subscript"/>
        <sz val="11"/>
        <rFont val="Calibri"/>
        <family val="2"/>
        <scheme val="minor"/>
      </rPr>
      <t>G</t>
    </r>
  </si>
  <si>
    <r>
      <t xml:space="preserve">v </t>
    </r>
    <r>
      <rPr>
        <vertAlign val="subscript"/>
        <sz val="11"/>
        <rFont val="Calibri"/>
        <family val="2"/>
      </rPr>
      <t>CLIMB</t>
    </r>
  </si>
  <si>
    <r>
      <t>ρ</t>
    </r>
    <r>
      <rPr>
        <vertAlign val="subscript"/>
        <sz val="11"/>
        <rFont val="Calibri"/>
        <family val="2"/>
        <scheme val="minor"/>
      </rPr>
      <t>o</t>
    </r>
  </si>
  <si>
    <r>
      <t>Temperature</t>
    </r>
    <r>
      <rPr>
        <vertAlign val="subscript"/>
        <sz val="11"/>
        <rFont val="Calibri"/>
        <family val="2"/>
        <scheme val="minor"/>
      </rPr>
      <t xml:space="preserve"> S-L</t>
    </r>
  </si>
  <si>
    <r>
      <t>ρ</t>
    </r>
    <r>
      <rPr>
        <vertAlign val="subscript"/>
        <sz val="11"/>
        <rFont val="Calibri"/>
        <family val="2"/>
        <scheme val="minor"/>
      </rPr>
      <t>alt</t>
    </r>
  </si>
  <si>
    <t>if maintained by owner -0.15, 0  by hired technician</t>
  </si>
  <si>
    <t>Wetted Areas</t>
  </si>
  <si>
    <r>
      <t>CL</t>
    </r>
    <r>
      <rPr>
        <vertAlign val="subscript"/>
        <sz val="11"/>
        <rFont val="Calibri"/>
        <family val="2"/>
        <scheme val="minor"/>
      </rPr>
      <t>C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</si>
  <si>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</si>
  <si>
    <t xml:space="preserve"> Raymer, Gudmundsson and Roskam GREATLY reduces the weight. </t>
  </si>
  <si>
    <t xml:space="preserve">In this case we used fuel fractions given by Sadraey but we will </t>
  </si>
  <si>
    <t>NOTE: We have noted that using fuel fractions given by</t>
  </si>
  <si>
    <t>Gudmundsson</t>
  </si>
  <si>
    <t>Sadraey</t>
  </si>
  <si>
    <t>Roskam</t>
  </si>
  <si>
    <r>
      <t>W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/W</t>
    </r>
    <r>
      <rPr>
        <vertAlign val="subscript"/>
        <sz val="11"/>
        <color theme="1"/>
        <rFont val="Calibri"/>
        <family val="2"/>
        <scheme val="minor"/>
      </rPr>
      <t>TO</t>
    </r>
  </si>
  <si>
    <r>
      <t>W</t>
    </r>
    <r>
      <rPr>
        <vertAlign val="subscript"/>
        <sz val="11"/>
        <color theme="1"/>
        <rFont val="Calibri"/>
        <family val="2"/>
        <scheme val="minor"/>
      </rPr>
      <t>TO</t>
    </r>
  </si>
  <si>
    <t>Raymer</t>
  </si>
  <si>
    <t>later decide the most accurate</t>
  </si>
  <si>
    <t>Cm</t>
  </si>
  <si>
    <r>
      <t>W</t>
    </r>
    <r>
      <rPr>
        <vertAlign val="subscript"/>
        <sz val="11"/>
        <color theme="1"/>
        <rFont val="Calibri"/>
        <family val="2"/>
        <scheme val="minor"/>
      </rPr>
      <t>dg</t>
    </r>
  </si>
  <si>
    <t>Uss</t>
  </si>
  <si>
    <t>Ucs</t>
  </si>
  <si>
    <r>
      <rPr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</rPr>
      <t>2024</t>
    </r>
  </si>
  <si>
    <r>
      <t>lbf/in</t>
    </r>
    <r>
      <rPr>
        <vertAlign val="superscript"/>
        <sz val="11"/>
        <color theme="1"/>
        <rFont val="Calibri"/>
        <family val="2"/>
        <scheme val="minor"/>
      </rPr>
      <t>3</t>
    </r>
  </si>
  <si>
    <t>psi</t>
  </si>
  <si>
    <t>Structural geometry at root and tip</t>
  </si>
  <si>
    <t>rear spar</t>
  </si>
  <si>
    <t>chord</t>
  </si>
  <si>
    <r>
      <t>C</t>
    </r>
    <r>
      <rPr>
        <vertAlign val="subscript"/>
        <sz val="11"/>
        <color theme="1"/>
        <rFont val="Calibri"/>
        <family val="2"/>
        <scheme val="minor"/>
      </rPr>
      <t>cell</t>
    </r>
  </si>
  <si>
    <r>
      <t>A</t>
    </r>
    <r>
      <rPr>
        <vertAlign val="subscript"/>
        <sz val="11"/>
        <color theme="1"/>
        <rFont val="Calibri"/>
        <family val="2"/>
        <scheme val="minor"/>
      </rPr>
      <t>cell</t>
    </r>
  </si>
  <si>
    <r>
      <t>S</t>
    </r>
    <r>
      <rPr>
        <vertAlign val="subscript"/>
        <sz val="11"/>
        <color theme="1"/>
        <rFont val="Calibri"/>
        <family val="2"/>
        <scheme val="minor"/>
      </rPr>
      <t>cell</t>
    </r>
  </si>
  <si>
    <r>
      <t>S</t>
    </r>
    <r>
      <rPr>
        <vertAlign val="subscript"/>
        <sz val="11"/>
        <color theme="1"/>
        <rFont val="Calibri"/>
        <family val="2"/>
        <scheme val="minor"/>
      </rPr>
      <t>cellT</t>
    </r>
  </si>
  <si>
    <t>T</t>
  </si>
  <si>
    <r>
      <t>t</t>
    </r>
    <r>
      <rPr>
        <vertAlign val="subscript"/>
        <sz val="11"/>
        <color theme="1"/>
        <rFont val="Calibri"/>
        <family val="2"/>
        <scheme val="minor"/>
      </rPr>
      <t>skin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</si>
  <si>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skin     </t>
    </r>
    <r>
      <rPr>
        <b/>
        <sz val="12"/>
        <color theme="1"/>
        <rFont val="Calibri"/>
        <family val="2"/>
      </rPr>
      <t>≥</t>
    </r>
  </si>
  <si>
    <t>Available Aluminium Sheets thicknesses: 0.016",0.020",0.025",0.032",0.040",0.050",0.063"</t>
  </si>
  <si>
    <t>use the above aluminium sheets data to get the appropriate sheet thickness</t>
  </si>
  <si>
    <t>selected sheet thickness</t>
  </si>
  <si>
    <r>
      <t>t</t>
    </r>
    <r>
      <rPr>
        <vertAlign val="subscript"/>
        <sz val="11"/>
        <color theme="1"/>
        <rFont val="Calibri"/>
        <family val="2"/>
        <scheme val="minor"/>
      </rPr>
      <t>skinT</t>
    </r>
  </si>
  <si>
    <t>V</t>
  </si>
  <si>
    <r>
      <t>t</t>
    </r>
    <r>
      <rPr>
        <vertAlign val="subscript"/>
        <sz val="11"/>
        <color theme="1"/>
        <rFont val="Calibri"/>
        <family val="2"/>
        <scheme val="minor"/>
      </rPr>
      <t>web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</si>
  <si>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web 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</rPr>
      <t>≥</t>
    </r>
  </si>
  <si>
    <t>in this method it is assumed a constant thickness skin</t>
  </si>
  <si>
    <r>
      <t>t</t>
    </r>
    <r>
      <rPr>
        <vertAlign val="subscript"/>
        <sz val="11"/>
        <color theme="1"/>
        <rFont val="Calibri"/>
        <family val="2"/>
        <scheme val="minor"/>
      </rPr>
      <t>webT</t>
    </r>
  </si>
  <si>
    <r>
      <t>t</t>
    </r>
    <r>
      <rPr>
        <vertAlign val="subscript"/>
        <sz val="11"/>
        <color theme="1"/>
        <rFont val="Calibri"/>
        <family val="2"/>
        <scheme val="minor"/>
      </rPr>
      <t>webT</t>
    </r>
    <r>
      <rPr>
        <b/>
        <sz val="12"/>
        <color theme="1"/>
        <rFont val="Calibri"/>
        <family val="2"/>
        <scheme val="minor"/>
      </rPr>
      <t xml:space="preserve">  &gt;</t>
    </r>
  </si>
  <si>
    <t>Rule of thumb: its always advisable not to use thickness below 0.02"</t>
  </si>
  <si>
    <r>
      <t>W</t>
    </r>
    <r>
      <rPr>
        <vertAlign val="subscript"/>
        <sz val="11"/>
        <color theme="1"/>
        <rFont val="Calibri"/>
        <family val="2"/>
        <scheme val="minor"/>
      </rPr>
      <t>web</t>
    </r>
  </si>
  <si>
    <r>
      <t>F</t>
    </r>
    <r>
      <rPr>
        <vertAlign val="subscript"/>
        <sz val="11"/>
        <color theme="1"/>
        <rFont val="Calibri"/>
        <family val="2"/>
        <scheme val="minor"/>
      </rPr>
      <t>bend</t>
    </r>
  </si>
  <si>
    <r>
      <t>A</t>
    </r>
    <r>
      <rPr>
        <vertAlign val="subscript"/>
        <sz val="11"/>
        <color theme="1"/>
        <rFont val="Calibri"/>
        <family val="2"/>
        <scheme val="minor"/>
      </rPr>
      <t>cap</t>
    </r>
    <r>
      <rPr>
        <sz val="11"/>
        <color theme="1"/>
        <rFont val="Calibri"/>
        <family val="2"/>
        <scheme val="minor"/>
      </rPr>
      <t xml:space="preserve">   &gt;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</si>
  <si>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</si>
  <si>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capT</t>
    </r>
    <r>
      <rPr>
        <sz val="11"/>
        <color theme="1"/>
        <rFont val="Calibri"/>
        <family val="2"/>
        <scheme val="minor"/>
      </rPr>
      <t xml:space="preserve">   &gt;</t>
    </r>
  </si>
  <si>
    <r>
      <t>W</t>
    </r>
    <r>
      <rPr>
        <vertAlign val="subscript"/>
        <sz val="11"/>
        <color theme="1"/>
        <rFont val="Calibri"/>
        <family val="2"/>
        <scheme val="minor"/>
      </rPr>
      <t>caps</t>
    </r>
  </si>
  <si>
    <r>
      <t>N</t>
    </r>
    <r>
      <rPr>
        <vertAlign val="subscript"/>
        <sz val="11"/>
        <color theme="1"/>
        <rFont val="Calibri"/>
        <family val="2"/>
        <scheme val="minor"/>
      </rPr>
      <t>rib</t>
    </r>
  </si>
  <si>
    <r>
      <t>W</t>
    </r>
    <r>
      <rPr>
        <vertAlign val="subscript"/>
        <sz val="11"/>
        <color theme="1"/>
        <rFont val="Calibri"/>
        <family val="2"/>
        <scheme val="minor"/>
      </rPr>
      <t>ribs</t>
    </r>
  </si>
  <si>
    <r>
      <t>W</t>
    </r>
    <r>
      <rPr>
        <vertAlign val="subscript"/>
        <sz val="11"/>
        <color theme="1"/>
        <rFont val="Calibri"/>
        <family val="2"/>
        <scheme val="minor"/>
      </rPr>
      <t>wing</t>
    </r>
  </si>
  <si>
    <t>this value should be significantly less than the predicted weignt in detailed weights spreedsheet</t>
  </si>
  <si>
    <t>this is because we have omitted control surfaces,their attachment hardpoints,wing attachments</t>
  </si>
  <si>
    <t>control system, fuel system, electric system, wingtip fairing etc</t>
  </si>
  <si>
    <t>cell length at root</t>
  </si>
  <si>
    <t>structural depth</t>
  </si>
  <si>
    <t>cell area</t>
  </si>
  <si>
    <t>arc length</t>
  </si>
  <si>
    <t>subscript T denotes tip</t>
  </si>
  <si>
    <t>Torsion</t>
  </si>
  <si>
    <t>skin thickness</t>
  </si>
  <si>
    <t>weight of skin</t>
  </si>
  <si>
    <t>shear force</t>
  </si>
  <si>
    <t>weight of web</t>
  </si>
  <si>
    <t>Bending force</t>
  </si>
  <si>
    <t>Spar cap area</t>
  </si>
  <si>
    <t>weight of spar caps</t>
  </si>
  <si>
    <t>NUMBER OF RIBS</t>
  </si>
  <si>
    <t>Weight of ribs</t>
  </si>
  <si>
    <t>Wing weight</t>
  </si>
  <si>
    <t>this is the ratio of the initial prediction to this prediction. Gudmundsson estimates</t>
  </si>
  <si>
    <t xml:space="preserve"> it to be around 1.8</t>
  </si>
  <si>
    <t>RATIO</t>
  </si>
  <si>
    <r>
      <t>W</t>
    </r>
    <r>
      <rPr>
        <b/>
        <vertAlign val="subscript"/>
        <sz val="11"/>
        <color theme="1"/>
        <rFont val="Calibri"/>
        <family val="2"/>
        <scheme val="minor"/>
      </rPr>
      <t>skin</t>
    </r>
  </si>
  <si>
    <t>web thickness</t>
  </si>
  <si>
    <t>"</t>
  </si>
  <si>
    <r>
      <t>I</t>
    </r>
    <r>
      <rPr>
        <vertAlign val="subscript"/>
        <sz val="11"/>
        <color theme="1"/>
        <rFont val="Calibri"/>
        <family val="2"/>
        <scheme val="minor"/>
      </rPr>
      <t>XX</t>
    </r>
  </si>
  <si>
    <r>
      <t>M</t>
    </r>
    <r>
      <rPr>
        <vertAlign val="subscript"/>
        <sz val="11"/>
        <color theme="1"/>
        <rFont val="Calibri"/>
        <family val="2"/>
        <scheme val="minor"/>
      </rPr>
      <t>max</t>
    </r>
  </si>
  <si>
    <r>
      <t>A</t>
    </r>
    <r>
      <rPr>
        <vertAlign val="subscript"/>
        <sz val="11"/>
        <color theme="1"/>
        <rFont val="Calibri"/>
        <family val="2"/>
        <scheme val="minor"/>
      </rPr>
      <t>cap</t>
    </r>
    <r>
      <rPr>
        <sz val="11"/>
        <color theme="1"/>
        <rFont val="Calibri"/>
        <family val="2"/>
        <scheme val="minor"/>
      </rPr>
      <t xml:space="preserve"> &gt;</t>
    </r>
  </si>
  <si>
    <r>
      <t>ft</t>
    </r>
    <r>
      <rPr>
        <vertAlign val="superscript"/>
        <sz val="11"/>
        <color theme="1"/>
        <rFont val="Calibri"/>
        <family val="2"/>
        <scheme val="minor"/>
      </rPr>
      <t>4</t>
    </r>
  </si>
  <si>
    <r>
      <t>W</t>
    </r>
    <r>
      <rPr>
        <vertAlign val="subscript"/>
        <sz val="11"/>
        <color theme="1"/>
        <rFont val="Calibri"/>
        <family val="2"/>
        <scheme val="minor"/>
      </rPr>
      <t>cap</t>
    </r>
  </si>
  <si>
    <r>
      <t>ρ</t>
    </r>
    <r>
      <rPr>
        <vertAlign val="subscript"/>
        <sz val="11"/>
        <rFont val="Calibri"/>
        <family val="2"/>
      </rPr>
      <t>alt</t>
    </r>
  </si>
  <si>
    <r>
      <t>ρ</t>
    </r>
    <r>
      <rPr>
        <vertAlign val="subscript"/>
        <sz val="11"/>
        <rFont val="Calibri"/>
        <family val="2"/>
      </rPr>
      <t>o</t>
    </r>
  </si>
  <si>
    <r>
      <t>ρ</t>
    </r>
    <r>
      <rPr>
        <vertAlign val="subscript"/>
        <sz val="11"/>
        <rFont val="Calibri"/>
        <family val="2"/>
      </rPr>
      <t>service ceiling</t>
    </r>
  </si>
  <si>
    <r>
      <t>η</t>
    </r>
    <r>
      <rPr>
        <vertAlign val="subscript"/>
        <sz val="11"/>
        <rFont val="Calibri"/>
        <family val="2"/>
      </rPr>
      <t>p_alt</t>
    </r>
  </si>
  <si>
    <r>
      <t>σ</t>
    </r>
    <r>
      <rPr>
        <vertAlign val="subscript"/>
        <sz val="11"/>
        <rFont val="Calibri"/>
        <family val="2"/>
      </rPr>
      <t>SC</t>
    </r>
  </si>
  <si>
    <t>Wing</t>
  </si>
  <si>
    <t>Main gear</t>
  </si>
  <si>
    <t>Nose gear</t>
  </si>
  <si>
    <t>Horizontal tail</t>
  </si>
  <si>
    <t>Vertical tail</t>
  </si>
  <si>
    <t>Fuselage</t>
  </si>
  <si>
    <t>Installed engine</t>
  </si>
  <si>
    <t>Fuel system</t>
  </si>
  <si>
    <t>Flight control</t>
  </si>
  <si>
    <t>Hydraulic system</t>
  </si>
  <si>
    <t>Avionic system</t>
  </si>
  <si>
    <t>Electrical system</t>
  </si>
  <si>
    <t>Furnishings</t>
  </si>
  <si>
    <r>
      <t>CL</t>
    </r>
    <r>
      <rPr>
        <vertAlign val="subscript"/>
        <sz val="11"/>
        <color rgb="FFFF0000"/>
        <rFont val="Calibri"/>
        <family val="2"/>
        <scheme val="minor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</si>
</sst>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  <numFmt numFmtId="165" formatCode="0.0000%"/>
    <numFmt numFmtId="166" formatCode="0.0000000"/>
    <numFmt numFmtId="167" formatCode="0.0000"/>
    <numFmt numFmtId="168" formatCode="_(&quot;$&quot;* #,##0.000_);_(&quot;$&quot;* \(#,##0.000\);_(&quot;$&quot;* &quot;-&quot;???_);_(@_)"/>
    <numFmt numFmtId="169" formatCode="_(* #,##0.000_);_(* \(#,##0.000\);_(* &quot;-&quot;??_);_(@_)"/>
    <numFmt numFmtId="170" formatCode="_(* #,##0.00000_);_(* \(#,##0.00000\);_(* &quot;-&quot;??_);_(@_)"/>
    <numFmt numFmtId="171" formatCode="0.000"/>
    <numFmt numFmtId="172" formatCode="_(* #,##0.0_);_(* \(#,##0.0\);_(* &quot;-&quot;??_);_(@_)"/>
  </numFmts>
  <fonts count="10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9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</font>
    <font>
      <b/>
      <u val="double"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i/>
      <sz val="11"/>
      <color rgb="FFFF0000"/>
      <name val="Courier New"/>
      <family val="3"/>
    </font>
    <font>
      <b/>
      <i/>
      <sz val="11"/>
      <color rgb="FFFF0000"/>
      <name val="Courier New"/>
      <family val="3"/>
    </font>
    <font>
      <i/>
      <vertAlign val="subscript"/>
      <sz val="11"/>
      <color rgb="FFFF0000"/>
      <name val="Courier New"/>
      <family val="3"/>
    </font>
    <font>
      <b/>
      <i/>
      <sz val="10"/>
      <color rgb="FFFF0000"/>
      <name val="Courier10 BT"/>
      <family val="3"/>
    </font>
    <font>
      <i/>
      <sz val="11"/>
      <name val="Calibri"/>
      <family val="2"/>
      <scheme val="minor"/>
    </font>
    <font>
      <sz val="11"/>
      <name val="Calibri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vertAlign val="subscript"/>
      <sz val="14"/>
      <name val="Calibri"/>
      <family val="2"/>
      <scheme val="minor"/>
    </font>
    <font>
      <sz val="14"/>
      <name val="Calibri"/>
      <family val="2"/>
      <scheme val="minor"/>
    </font>
    <font>
      <vertAlign val="subscript"/>
      <sz val="11"/>
      <name val="Calibri"/>
      <family val="2"/>
    </font>
    <font>
      <sz val="8"/>
      <color theme="1"/>
      <name val="Calibri"/>
      <family val="2"/>
      <scheme val="minor"/>
    </font>
    <font>
      <i/>
      <sz val="11"/>
      <name val="Cambria"/>
      <family val="1"/>
    </font>
    <font>
      <sz val="11"/>
      <color theme="1"/>
      <name val="Cambria"/>
      <family val="1"/>
    </font>
    <font>
      <b/>
      <sz val="11"/>
      <color theme="9" tint="-0.499984740745262"/>
      <name val="Calibri"/>
      <family val="2"/>
      <scheme val="minor"/>
    </font>
    <font>
      <b/>
      <sz val="14"/>
      <name val="Cambria"/>
      <family val="1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</font>
    <font>
      <sz val="11"/>
      <name val="Cambria"/>
      <family val="1"/>
    </font>
    <font>
      <sz val="12"/>
      <color theme="1"/>
      <name val="Calibri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</font>
    <font>
      <b/>
      <vertAlign val="subscript"/>
      <sz val="12"/>
      <color theme="1"/>
      <name val="Calibri"/>
      <family val="2"/>
    </font>
    <font>
      <b/>
      <vertAlign val="subscript"/>
      <sz val="11"/>
      <name val="Calibri"/>
      <family val="2"/>
      <scheme val="minor"/>
    </font>
    <font>
      <b/>
      <sz val="18"/>
      <name val="Cambria"/>
      <family val="1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u/>
      <sz val="17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name val="Calibri Light"/>
      <family val="2"/>
      <scheme val="major"/>
    </font>
    <font>
      <sz val="10"/>
      <name val="Calibri Light"/>
      <family val="2"/>
      <scheme val="major"/>
    </font>
    <font>
      <vertAlign val="subscript"/>
      <sz val="1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u val="double"/>
      <sz val="16"/>
      <color theme="1"/>
      <name val="Bell MT"/>
      <family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u/>
      <sz val="18"/>
      <color theme="3"/>
      <name val="Calibri Light"/>
      <family val="2"/>
      <scheme val="major"/>
    </font>
    <font>
      <b/>
      <u val="double"/>
      <sz val="24"/>
      <color theme="1"/>
      <name val="Courier New"/>
      <family val="3"/>
    </font>
    <font>
      <b/>
      <sz val="16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 tint="4.9989318521683403E-2"/>
      <name val="Cambria"/>
      <family val="1"/>
    </font>
    <font>
      <sz val="10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4"/>
      <color theme="1" tint="4.9989318521683403E-2"/>
      <name val="Cambria"/>
      <family val="1"/>
    </font>
    <font>
      <b/>
      <sz val="11"/>
      <color theme="1" tint="4.9989318521683403E-2"/>
      <name val="Cambria"/>
      <family val="1"/>
    </font>
    <font>
      <sz val="11"/>
      <color theme="8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vertAlign val="subscript"/>
      <sz val="11"/>
      <color theme="8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vertAlign val="subscript"/>
      <sz val="14"/>
      <color theme="1" tint="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.199999999999999"/>
      <color theme="1"/>
      <name val="Calibri"/>
      <family val="2"/>
      <scheme val="minor"/>
    </font>
    <font>
      <b/>
      <u val="double"/>
      <sz val="11"/>
      <name val="Calibri"/>
      <family val="2"/>
      <scheme val="minor"/>
    </font>
    <font>
      <b/>
      <sz val="9.5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  <font>
      <b/>
      <u val="double"/>
      <sz val="12"/>
      <color rgb="FFFF0000"/>
      <name val="Calibri"/>
      <family val="2"/>
      <scheme val="minor"/>
    </font>
    <font>
      <b/>
      <sz val="15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sz val="10"/>
      <name val="Calibri"/>
      <family val="2"/>
    </font>
    <font>
      <b/>
      <sz val="14"/>
      <color theme="1"/>
      <name val="Cambria"/>
      <family val="1"/>
    </font>
    <font>
      <b/>
      <sz val="16"/>
      <name val="Cambria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vertAlign val="subscript"/>
      <sz val="11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11">
    <xf numFmtId="0" fontId="0" fillId="0" borderId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54" fillId="15" borderId="1" applyNumberFormat="0" applyAlignment="0" applyProtection="0"/>
    <xf numFmtId="0" fontId="55" fillId="16" borderId="2" applyNumberFormat="0" applyAlignment="0" applyProtection="0"/>
    <xf numFmtId="0" fontId="65" fillId="0" borderId="0" applyNumberFormat="0" applyFill="0" applyBorder="0" applyAlignment="0" applyProtection="0"/>
    <xf numFmtId="0" fontId="66" fillId="0" borderId="3" applyNumberFormat="0" applyFill="0" applyAlignment="0" applyProtection="0"/>
    <xf numFmtId="0" fontId="1" fillId="0" borderId="4" applyNumberFormat="0" applyFill="0" applyAlignment="0" applyProtection="0"/>
    <xf numFmtId="0" fontId="72" fillId="0" borderId="5" applyNumberFormat="0" applyFill="0" applyAlignment="0" applyProtection="0"/>
    <xf numFmtId="0" fontId="73" fillId="0" borderId="6" applyNumberFormat="0" applyFill="0" applyAlignment="0" applyProtection="0"/>
  </cellStyleXfs>
  <cellXfs count="276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1" fillId="4" borderId="0" xfId="0" applyFont="1" applyFill="1" applyAlignment="1">
      <alignment horizontal="center"/>
    </xf>
    <xf numFmtId="0" fontId="1" fillId="4" borderId="0" xfId="0" applyFont="1" applyFill="1"/>
    <xf numFmtId="0" fontId="0" fillId="8" borderId="0" xfId="0" applyFill="1"/>
    <xf numFmtId="0" fontId="10" fillId="4" borderId="0" xfId="0" applyFont="1" applyFill="1"/>
    <xf numFmtId="0" fontId="9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8" borderId="0" xfId="0" applyFont="1" applyFill="1"/>
    <xf numFmtId="0" fontId="2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16" fillId="0" borderId="0" xfId="0" applyFont="1"/>
    <xf numFmtId="0" fontId="0" fillId="0" borderId="0" xfId="0" applyFill="1"/>
    <xf numFmtId="0" fontId="0" fillId="0" borderId="0" xfId="0" applyFont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center"/>
    </xf>
    <xf numFmtId="0" fontId="1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3" fontId="0" fillId="0" borderId="0" xfId="1" applyFont="1"/>
    <xf numFmtId="0" fontId="1" fillId="0" borderId="0" xfId="0" applyFont="1" applyAlignment="1">
      <alignment horizontal="left"/>
    </xf>
    <xf numFmtId="0" fontId="0" fillId="0" borderId="0" xfId="0" applyAlignment="1">
      <alignment vertical="center"/>
    </xf>
    <xf numFmtId="0" fontId="25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28" fillId="0" borderId="0" xfId="0" applyFont="1"/>
    <xf numFmtId="0" fontId="26" fillId="0" borderId="0" xfId="0" applyFont="1"/>
    <xf numFmtId="0" fontId="31" fillId="0" borderId="0" xfId="0" applyFont="1" applyFill="1"/>
    <xf numFmtId="0" fontId="20" fillId="0" borderId="0" xfId="0" applyFont="1"/>
    <xf numFmtId="0" fontId="0" fillId="0" borderId="0" xfId="0" applyFont="1"/>
    <xf numFmtId="0" fontId="2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6" fillId="11" borderId="0" xfId="0" applyFont="1" applyFill="1"/>
    <xf numFmtId="0" fontId="38" fillId="11" borderId="0" xfId="0" applyFont="1" applyFill="1"/>
    <xf numFmtId="0" fontId="10" fillId="0" borderId="0" xfId="0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0" fillId="0" borderId="0" xfId="0" applyFont="1" applyAlignment="1"/>
    <xf numFmtId="0" fontId="16" fillId="0" borderId="0" xfId="0" applyFont="1" applyAlignment="1"/>
    <xf numFmtId="0" fontId="0" fillId="0" borderId="0" xfId="0" applyAlignment="1"/>
    <xf numFmtId="0" fontId="0" fillId="0" borderId="0" xfId="0" applyFont="1" applyAlignment="1"/>
    <xf numFmtId="0" fontId="0" fillId="0" borderId="0" xfId="0" applyAlignment="1">
      <alignment wrapText="1"/>
    </xf>
    <xf numFmtId="0" fontId="0" fillId="2" borderId="0" xfId="0" applyFont="1" applyFill="1"/>
    <xf numFmtId="0" fontId="0" fillId="0" borderId="0" xfId="0" applyFont="1" applyAlignment="1">
      <alignment horizontal="center"/>
    </xf>
    <xf numFmtId="0" fontId="41" fillId="0" borderId="0" xfId="0" applyFont="1"/>
    <xf numFmtId="0" fontId="41" fillId="0" borderId="0" xfId="0" applyFont="1" applyAlignment="1">
      <alignment horizontal="center"/>
    </xf>
    <xf numFmtId="0" fontId="42" fillId="0" borderId="0" xfId="0" applyFont="1"/>
    <xf numFmtId="11" fontId="42" fillId="0" borderId="0" xfId="0" applyNumberFormat="1" applyFont="1"/>
    <xf numFmtId="0" fontId="11" fillId="0" borderId="0" xfId="0" applyFont="1"/>
    <xf numFmtId="0" fontId="45" fillId="0" borderId="0" xfId="0" applyFont="1"/>
    <xf numFmtId="165" fontId="45" fillId="0" borderId="0" xfId="3" applyNumberFormat="1" applyFont="1"/>
    <xf numFmtId="164" fontId="20" fillId="0" borderId="0" xfId="3" applyNumberFormat="1" applyFont="1"/>
    <xf numFmtId="44" fontId="0" fillId="0" borderId="0" xfId="2" applyFont="1"/>
    <xf numFmtId="0" fontId="4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3" fontId="0" fillId="0" borderId="0" xfId="1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/>
    <xf numFmtId="0" fontId="20" fillId="0" borderId="0" xfId="0" applyFont="1" applyAlignment="1">
      <alignment horizontal="right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12" borderId="0" xfId="0" applyFill="1"/>
    <xf numFmtId="0" fontId="9" fillId="0" borderId="0" xfId="0" applyFont="1"/>
    <xf numFmtId="0" fontId="0" fillId="0" borderId="0" xfId="0" applyFont="1" applyAlignment="1">
      <alignment horizontal="center"/>
    </xf>
    <xf numFmtId="0" fontId="20" fillId="0" borderId="0" xfId="0" applyFont="1" applyAlignment="1"/>
    <xf numFmtId="0" fontId="2" fillId="5" borderId="0" xfId="0" applyFont="1" applyFill="1"/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42" fillId="0" borderId="0" xfId="0" applyFont="1" applyFill="1"/>
    <xf numFmtId="43" fontId="20" fillId="0" borderId="0" xfId="1" applyFont="1" applyAlignment="1">
      <alignment horizontal="center"/>
    </xf>
    <xf numFmtId="164" fontId="11" fillId="0" borderId="0" xfId="3" applyNumberFormat="1" applyFont="1"/>
    <xf numFmtId="164" fontId="45" fillId="0" borderId="0" xfId="3" applyNumberFormat="1" applyFont="1"/>
    <xf numFmtId="164" fontId="0" fillId="0" borderId="0" xfId="3" applyNumberFormat="1" applyFont="1"/>
    <xf numFmtId="164" fontId="0" fillId="0" borderId="0" xfId="3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7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2" borderId="0" xfId="0" applyFill="1" applyAlignment="1">
      <alignment horizontal="center"/>
    </xf>
    <xf numFmtId="167" fontId="0" fillId="0" borderId="0" xfId="0" applyNumberFormat="1"/>
    <xf numFmtId="0" fontId="0" fillId="0" borderId="0" xfId="0" applyFill="1" applyAlignment="1">
      <alignment horizontal="center"/>
    </xf>
    <xf numFmtId="0" fontId="53" fillId="14" borderId="0" xfId="0" applyFont="1" applyFill="1" applyAlignment="1">
      <alignment horizontal="center"/>
    </xf>
    <xf numFmtId="0" fontId="9" fillId="2" borderId="0" xfId="0" applyFont="1" applyFill="1"/>
    <xf numFmtId="0" fontId="16" fillId="0" borderId="0" xfId="0" applyFont="1" applyAlignment="1">
      <alignment horizontal="right"/>
    </xf>
    <xf numFmtId="0" fontId="44" fillId="0" borderId="0" xfId="0" applyFont="1"/>
    <xf numFmtId="167" fontId="0" fillId="2" borderId="0" xfId="0" applyNumberFormat="1" applyFill="1"/>
    <xf numFmtId="0" fontId="0" fillId="2" borderId="0" xfId="0" applyFill="1" applyAlignment="1">
      <alignment horizontal="left"/>
    </xf>
    <xf numFmtId="0" fontId="9" fillId="17" borderId="0" xfId="0" applyFont="1" applyFill="1"/>
    <xf numFmtId="0" fontId="1" fillId="0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57" fillId="4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0" fillId="12" borderId="0" xfId="0" applyFont="1" applyFill="1"/>
    <xf numFmtId="0" fontId="36" fillId="2" borderId="1" xfId="4" applyFont="1" applyFill="1" applyBorder="1" applyAlignment="1">
      <alignment horizontal="center"/>
    </xf>
    <xf numFmtId="0" fontId="59" fillId="0" borderId="0" xfId="0" applyFont="1" applyAlignment="1">
      <alignment horizontal="center"/>
    </xf>
    <xf numFmtId="0" fontId="59" fillId="0" borderId="0" xfId="0" applyFont="1" applyAlignment="1">
      <alignment horizontal="left"/>
    </xf>
    <xf numFmtId="0" fontId="59" fillId="0" borderId="0" xfId="0" applyFont="1"/>
    <xf numFmtId="0" fontId="44" fillId="17" borderId="2" xfId="5" applyFont="1" applyFill="1"/>
    <xf numFmtId="0" fontId="60" fillId="0" borderId="0" xfId="0" applyFont="1" applyAlignment="1">
      <alignment horizontal="center"/>
    </xf>
    <xf numFmtId="0" fontId="61" fillId="0" borderId="0" xfId="0" applyFont="1" applyAlignment="1">
      <alignment horizontal="left"/>
    </xf>
    <xf numFmtId="0" fontId="63" fillId="4" borderId="0" xfId="0" applyFont="1" applyFill="1" applyAlignment="1">
      <alignment horizontal="center"/>
    </xf>
    <xf numFmtId="0" fontId="11" fillId="4" borderId="0" xfId="0" applyFont="1" applyFill="1" applyAlignment="1">
      <alignment horizontal="left"/>
    </xf>
    <xf numFmtId="0" fontId="44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44" fillId="2" borderId="0" xfId="0" applyFont="1" applyFill="1"/>
    <xf numFmtId="43" fontId="0" fillId="0" borderId="0" xfId="0" applyNumberFormat="1"/>
    <xf numFmtId="0" fontId="0" fillId="0" borderId="0" xfId="0" applyNumberFormat="1"/>
    <xf numFmtId="44" fontId="0" fillId="2" borderId="0" xfId="2" applyFont="1" applyFill="1"/>
    <xf numFmtId="0" fontId="64" fillId="0" borderId="0" xfId="0" applyFont="1" applyAlignment="1">
      <alignment horizontal="center"/>
    </xf>
    <xf numFmtId="0" fontId="58" fillId="0" borderId="0" xfId="0" applyFont="1" applyAlignment="1">
      <alignment horizontal="center"/>
    </xf>
    <xf numFmtId="44" fontId="0" fillId="0" borderId="0" xfId="0" applyNumberFormat="1"/>
    <xf numFmtId="0" fontId="11" fillId="0" borderId="0" xfId="0" applyFont="1" applyAlignment="1">
      <alignment horizontal="left" indent="10"/>
    </xf>
    <xf numFmtId="44" fontId="47" fillId="0" borderId="0" xfId="0" applyNumberFormat="1" applyFont="1"/>
    <xf numFmtId="0" fontId="0" fillId="0" borderId="0" xfId="0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ont="1" applyFill="1"/>
    <xf numFmtId="44" fontId="44" fillId="17" borderId="2" xfId="5" applyNumberFormat="1" applyFont="1" applyFill="1"/>
    <xf numFmtId="44" fontId="1" fillId="0" borderId="4" xfId="8" applyNumberFormat="1"/>
    <xf numFmtId="0" fontId="20" fillId="0" borderId="0" xfId="0" applyFont="1" applyAlignment="1">
      <alignment horizontal="left" indent="4"/>
    </xf>
    <xf numFmtId="44" fontId="0" fillId="2" borderId="0" xfId="0" applyNumberFormat="1" applyFill="1"/>
    <xf numFmtId="44" fontId="11" fillId="17" borderId="4" xfId="8" applyNumberFormat="1" applyFont="1" applyFill="1"/>
    <xf numFmtId="0" fontId="1" fillId="17" borderId="0" xfId="0" applyFont="1" applyFill="1" applyAlignment="1">
      <alignment horizontal="left"/>
    </xf>
    <xf numFmtId="0" fontId="10" fillId="17" borderId="0" xfId="0" applyFont="1" applyFill="1"/>
    <xf numFmtId="0" fontId="67" fillId="0" borderId="0" xfId="0" applyFont="1" applyFill="1"/>
    <xf numFmtId="164" fontId="49" fillId="17" borderId="0" xfId="3" applyNumberFormat="1" applyFont="1" applyFill="1"/>
    <xf numFmtId="0" fontId="44" fillId="0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0" fillId="0" borderId="0" xfId="0" applyFont="1" applyAlignment="1">
      <alignment horizontal="center"/>
    </xf>
    <xf numFmtId="168" fontId="0" fillId="0" borderId="0" xfId="0" applyNumberFormat="1"/>
    <xf numFmtId="0" fontId="72" fillId="0" borderId="5" xfId="9" applyAlignment="1">
      <alignment horizontal="center"/>
    </xf>
    <xf numFmtId="0" fontId="72" fillId="0" borderId="5" xfId="9" applyAlignment="1">
      <alignment horizontal="left" indent="5"/>
    </xf>
    <xf numFmtId="44" fontId="74" fillId="17" borderId="0" xfId="2" applyFont="1" applyFill="1"/>
    <xf numFmtId="44" fontId="74" fillId="17" borderId="0" xfId="0" applyNumberFormat="1" applyFont="1" applyFill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  <xf numFmtId="0" fontId="76" fillId="0" borderId="0" xfId="0" applyFont="1"/>
    <xf numFmtId="0" fontId="76" fillId="0" borderId="0" xfId="0" applyFont="1" applyAlignment="1">
      <alignment horizontal="right"/>
    </xf>
    <xf numFmtId="0" fontId="75" fillId="0" borderId="0" xfId="0" applyFont="1" applyAlignment="1">
      <alignment horizontal="left" indent="5"/>
    </xf>
    <xf numFmtId="0" fontId="75" fillId="0" borderId="0" xfId="0" applyFont="1" applyAlignment="1">
      <alignment horizontal="left" indent="2"/>
    </xf>
    <xf numFmtId="0" fontId="76" fillId="0" borderId="0" xfId="0" applyFont="1" applyAlignment="1">
      <alignment horizontal="left" indent="9"/>
    </xf>
    <xf numFmtId="0" fontId="76" fillId="0" borderId="0" xfId="0" applyFont="1" applyAlignment="1">
      <alignment horizontal="left" indent="5"/>
    </xf>
    <xf numFmtId="0" fontId="76" fillId="0" borderId="0" xfId="0" applyFont="1" applyAlignment="1">
      <alignment horizontal="left" indent="4"/>
    </xf>
    <xf numFmtId="0" fontId="76" fillId="0" borderId="0" xfId="0" applyFont="1" applyAlignment="1">
      <alignment horizontal="left" indent="6"/>
    </xf>
    <xf numFmtId="0" fontId="76" fillId="0" borderId="0" xfId="0" applyFont="1" applyAlignment="1">
      <alignment horizontal="left" indent="2"/>
    </xf>
    <xf numFmtId="0" fontId="0" fillId="0" borderId="0" xfId="0" applyAlignment="1">
      <alignment horizontal="left" indent="10"/>
    </xf>
    <xf numFmtId="44" fontId="78" fillId="17" borderId="4" xfId="8" applyNumberFormat="1" applyFont="1" applyFill="1"/>
    <xf numFmtId="44" fontId="77" fillId="17" borderId="0" xfId="0" applyNumberFormat="1" applyFont="1" applyFill="1"/>
    <xf numFmtId="0" fontId="76" fillId="0" borderId="0" xfId="0" applyFont="1" applyAlignment="1">
      <alignment horizontal="left" indent="10"/>
    </xf>
    <xf numFmtId="0" fontId="76" fillId="0" borderId="0" xfId="0" applyFont="1" applyAlignment="1">
      <alignment horizontal="left" indent="8"/>
    </xf>
    <xf numFmtId="0" fontId="79" fillId="0" borderId="0" xfId="0" applyFont="1" applyAlignment="1">
      <alignment horizontal="right"/>
    </xf>
    <xf numFmtId="0" fontId="0" fillId="21" borderId="0" xfId="0" applyFill="1"/>
    <xf numFmtId="0" fontId="80" fillId="0" borderId="0" xfId="0" applyFont="1" applyAlignment="1">
      <alignment horizontal="center"/>
    </xf>
    <xf numFmtId="0" fontId="0" fillId="0" borderId="0" xfId="0" applyFont="1" applyAlignment="1">
      <alignment horizontal="left" indent="5"/>
    </xf>
    <xf numFmtId="0" fontId="0" fillId="0" borderId="0" xfId="0" applyFont="1" applyAlignment="1">
      <alignment horizontal="left" indent="6"/>
    </xf>
    <xf numFmtId="0" fontId="0" fillId="0" borderId="0" xfId="0" applyFont="1" applyAlignment="1">
      <alignment horizontal="left" indent="10"/>
    </xf>
    <xf numFmtId="0" fontId="0" fillId="0" borderId="0" xfId="0" applyFont="1" applyAlignment="1">
      <alignment horizontal="left" indent="12"/>
    </xf>
    <xf numFmtId="0" fontId="0" fillId="0" borderId="0" xfId="0" applyFont="1" applyAlignment="1">
      <alignment horizontal="left" indent="19"/>
    </xf>
    <xf numFmtId="0" fontId="0" fillId="0" borderId="0" xfId="0" applyFont="1" applyAlignment="1">
      <alignment horizontal="left" indent="13"/>
    </xf>
    <xf numFmtId="0" fontId="0" fillId="0" borderId="0" xfId="0" applyFont="1" applyAlignment="1">
      <alignment horizontal="left" indent="15"/>
    </xf>
    <xf numFmtId="0" fontId="0" fillId="0" borderId="0" xfId="0" applyFont="1" applyAlignment="1">
      <alignment horizontal="left" indent="18"/>
    </xf>
    <xf numFmtId="0" fontId="83" fillId="0" borderId="0" xfId="0" applyFont="1" applyAlignment="1">
      <alignment horizontal="center"/>
    </xf>
    <xf numFmtId="0" fontId="83" fillId="0" borderId="0" xfId="0" applyFont="1" applyAlignment="1">
      <alignment horizontal="right"/>
    </xf>
    <xf numFmtId="0" fontId="0" fillId="17" borderId="0" xfId="0" applyFill="1"/>
    <xf numFmtId="0" fontId="80" fillId="0" borderId="0" xfId="0" applyFont="1" applyAlignment="1">
      <alignment horizontal="left" indent="13"/>
    </xf>
    <xf numFmtId="0" fontId="85" fillId="0" borderId="0" xfId="0" applyFont="1" applyAlignment="1">
      <alignment horizontal="right"/>
    </xf>
    <xf numFmtId="0" fontId="85" fillId="0" borderId="0" xfId="0" applyFont="1" applyAlignment="1">
      <alignment horizontal="center"/>
    </xf>
    <xf numFmtId="0" fontId="87" fillId="0" borderId="0" xfId="0" applyFont="1"/>
    <xf numFmtId="0" fontId="88" fillId="0" borderId="0" xfId="0" applyFont="1"/>
    <xf numFmtId="1" fontId="36" fillId="17" borderId="2" xfId="5" applyNumberFormat="1" applyFont="1" applyFill="1" applyAlignment="1">
      <alignment horizontal="center"/>
    </xf>
    <xf numFmtId="1" fontId="0" fillId="0" borderId="0" xfId="0" applyNumberFormat="1"/>
    <xf numFmtId="0" fontId="20" fillId="21" borderId="0" xfId="0" applyFont="1" applyFill="1"/>
    <xf numFmtId="0" fontId="89" fillId="21" borderId="0" xfId="0" applyFont="1" applyFill="1"/>
    <xf numFmtId="0" fontId="90" fillId="0" borderId="0" xfId="0" applyFont="1" applyAlignment="1"/>
    <xf numFmtId="0" fontId="91" fillId="0" borderId="0" xfId="0" applyFont="1" applyAlignment="1"/>
    <xf numFmtId="0" fontId="92" fillId="0" borderId="0" xfId="0" applyFont="1"/>
    <xf numFmtId="0" fontId="47" fillId="17" borderId="0" xfId="0" applyFont="1" applyFill="1" applyAlignment="1">
      <alignment horizontal="center"/>
    </xf>
    <xf numFmtId="0" fontId="47" fillId="17" borderId="0" xfId="0" applyFont="1" applyFill="1"/>
    <xf numFmtId="0" fontId="44" fillId="17" borderId="0" xfId="0" applyFont="1" applyFill="1"/>
    <xf numFmtId="0" fontId="1" fillId="23" borderId="0" xfId="0" applyFont="1" applyFill="1"/>
    <xf numFmtId="0" fontId="0" fillId="23" borderId="0" xfId="0" applyFill="1"/>
    <xf numFmtId="0" fontId="50" fillId="0" borderId="0" xfId="0" applyFont="1" applyAlignment="1">
      <alignment horizontal="left" indent="1"/>
    </xf>
    <xf numFmtId="0" fontId="0" fillId="0" borderId="0" xfId="0" applyBorder="1"/>
    <xf numFmtId="0" fontId="87" fillId="3" borderId="0" xfId="0" applyFont="1" applyFill="1"/>
    <xf numFmtId="0" fontId="16" fillId="3" borderId="0" xfId="0" applyFont="1" applyFill="1"/>
    <xf numFmtId="0" fontId="16" fillId="3" borderId="0" xfId="0" applyFont="1" applyFill="1" applyAlignment="1">
      <alignment horizontal="left"/>
    </xf>
    <xf numFmtId="0" fontId="8" fillId="0" borderId="0" xfId="0" applyFont="1" applyAlignment="1">
      <alignment horizontal="left" indent="1"/>
    </xf>
    <xf numFmtId="0" fontId="40" fillId="0" borderId="0" xfId="0" applyFont="1"/>
    <xf numFmtId="0" fontId="60" fillId="0" borderId="0" xfId="0" applyFont="1" applyAlignment="1">
      <alignment horizontal="right"/>
    </xf>
    <xf numFmtId="0" fontId="80" fillId="17" borderId="0" xfId="0" applyFont="1" applyFill="1"/>
    <xf numFmtId="0" fontId="32" fillId="0" borderId="0" xfId="0" applyFont="1" applyAlignment="1">
      <alignment horizontal="center"/>
    </xf>
    <xf numFmtId="0" fontId="30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0" fillId="9" borderId="0" xfId="0" applyFont="1" applyFill="1" applyAlignment="1">
      <alignment horizontal="center"/>
    </xf>
    <xf numFmtId="0" fontId="95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1" fillId="0" borderId="0" xfId="0" applyFont="1" applyAlignment="1">
      <alignment horizontal="left" indent="7"/>
    </xf>
    <xf numFmtId="0" fontId="20" fillId="2" borderId="0" xfId="0" applyFont="1" applyFill="1"/>
    <xf numFmtId="0" fontId="20" fillId="2" borderId="0" xfId="0" applyFont="1" applyFill="1" applyAlignment="1">
      <alignment horizontal="center"/>
    </xf>
    <xf numFmtId="0" fontId="20" fillId="2" borderId="0" xfId="0" applyFont="1" applyFill="1" applyAlignment="1">
      <alignment horizontal="right"/>
    </xf>
    <xf numFmtId="0" fontId="1" fillId="0" borderId="0" xfId="0" applyFont="1" applyAlignment="1">
      <alignment horizontal="left" indent="8"/>
    </xf>
    <xf numFmtId="43" fontId="20" fillId="2" borderId="0" xfId="1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3" fontId="20" fillId="2" borderId="0" xfId="1" applyFont="1" applyFill="1" applyAlignment="1">
      <alignment horizontal="center"/>
    </xf>
    <xf numFmtId="170" fontId="44" fillId="17" borderId="0" xfId="0" applyNumberFormat="1" applyFont="1" applyFill="1"/>
    <xf numFmtId="0" fontId="1" fillId="17" borderId="0" xfId="0" applyFont="1" applyFill="1"/>
    <xf numFmtId="171" fontId="9" fillId="17" borderId="0" xfId="0" applyNumberFormat="1" applyFont="1" applyFill="1"/>
    <xf numFmtId="169" fontId="96" fillId="17" borderId="0" xfId="0" applyNumberFormat="1" applyFont="1" applyFill="1"/>
    <xf numFmtId="169" fontId="44" fillId="17" borderId="0" xfId="0" applyNumberFormat="1" applyFont="1" applyFill="1"/>
    <xf numFmtId="0" fontId="97" fillId="17" borderId="0" xfId="0" applyFont="1" applyFill="1" applyAlignment="1">
      <alignment horizontal="center"/>
    </xf>
    <xf numFmtId="0" fontId="96" fillId="17" borderId="0" xfId="0" applyFont="1" applyFill="1"/>
    <xf numFmtId="0" fontId="1" fillId="0" borderId="0" xfId="0" applyFont="1" applyAlignment="1">
      <alignment horizontal="left" indent="5"/>
    </xf>
    <xf numFmtId="0" fontId="9" fillId="0" borderId="0" xfId="0" applyFont="1" applyAlignment="1">
      <alignment horizontal="left" indent="5"/>
    </xf>
    <xf numFmtId="0" fontId="1" fillId="0" borderId="0" xfId="0" applyFont="1" applyAlignment="1">
      <alignment horizontal="left" indent="3"/>
    </xf>
    <xf numFmtId="0" fontId="10" fillId="0" borderId="0" xfId="0" applyFont="1" applyAlignment="1">
      <alignment horizontal="left" indent="4"/>
    </xf>
    <xf numFmtId="0" fontId="16" fillId="21" borderId="0" xfId="0" applyFont="1" applyFill="1"/>
    <xf numFmtId="0" fontId="0" fillId="21" borderId="0" xfId="0" applyFill="1" applyAlignment="1">
      <alignment horizontal="left"/>
    </xf>
    <xf numFmtId="172" fontId="0" fillId="0" borderId="0" xfId="1" applyNumberFormat="1" applyFont="1"/>
    <xf numFmtId="0" fontId="20" fillId="2" borderId="0" xfId="1" applyNumberFormat="1" applyFont="1" applyFill="1" applyAlignment="1">
      <alignment horizontal="center"/>
    </xf>
    <xf numFmtId="0" fontId="60" fillId="0" borderId="0" xfId="0" applyFont="1" applyFill="1" applyAlignment="1">
      <alignment horizontal="right"/>
    </xf>
    <xf numFmtId="0" fontId="70" fillId="0" borderId="3" xfId="7" applyFont="1" applyAlignment="1">
      <alignment horizontal="center"/>
    </xf>
    <xf numFmtId="0" fontId="69" fillId="18" borderId="0" xfId="0" applyFont="1" applyFill="1" applyAlignment="1">
      <alignment horizontal="center"/>
    </xf>
    <xf numFmtId="0" fontId="70" fillId="21" borderId="3" xfId="7" applyFont="1" applyFill="1" applyAlignment="1">
      <alignment horizontal="center"/>
    </xf>
    <xf numFmtId="0" fontId="68" fillId="19" borderId="0" xfId="6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1" fillId="24" borderId="7" xfId="1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93" fillId="22" borderId="3" xfId="7" applyFont="1" applyFill="1" applyAlignment="1">
      <alignment horizontal="center"/>
    </xf>
    <xf numFmtId="0" fontId="71" fillId="0" borderId="3" xfId="7" applyFont="1" applyAlignment="1">
      <alignment horizontal="center"/>
    </xf>
    <xf numFmtId="0" fontId="56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6" fillId="20" borderId="8" xfId="7" applyFill="1" applyBorder="1" applyAlignment="1">
      <alignment horizontal="center"/>
    </xf>
    <xf numFmtId="0" fontId="66" fillId="20" borderId="9" xfId="7" applyFill="1" applyBorder="1" applyAlignment="1">
      <alignment horizontal="center"/>
    </xf>
    <xf numFmtId="0" fontId="66" fillId="20" borderId="10" xfId="7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66" fillId="24" borderId="3" xfId="7" applyFill="1" applyAlignment="1">
      <alignment horizontal="center"/>
    </xf>
  </cellXfs>
  <cellStyles count="11">
    <cellStyle name="Comma" xfId="1" builtinId="3"/>
    <cellStyle name="Currency" xfId="2" builtinId="4"/>
    <cellStyle name="Heading 1" xfId="7" builtinId="16"/>
    <cellStyle name="Heading 2" xfId="9" builtinId="17"/>
    <cellStyle name="Heading 3" xfId="10" builtinId="18"/>
    <cellStyle name="Input" xfId="4" builtinId="20"/>
    <cellStyle name="Normal" xfId="0" builtinId="0"/>
    <cellStyle name="Output" xfId="5" builtinId="21"/>
    <cellStyle name="Percent" xfId="3" builtinId="5"/>
    <cellStyle name="Title" xfId="6" builtinId="15"/>
    <cellStyle name="Total" xfId="8" builtinId="25"/>
  </cellStyles>
  <dxfs count="158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top style="thick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numFmt numFmtId="164" formatCode="0.000%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sz val="11"/>
        <color auto="1"/>
        <name val="Calibri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C000"/>
        </patternFill>
      </fill>
    </dxf>
    <dxf>
      <font>
        <b/>
        <strike val="0"/>
        <outline val="0"/>
        <shadow val="0"/>
        <u val="none"/>
        <sz val="11"/>
        <color theme="8"/>
        <name val="Calibri"/>
        <scheme val="minor"/>
      </font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numFmt numFmtId="34" formatCode="_(&quot;$&quot;* #,##0.00_);_(&quot;$&quot;* \(#,##0.00\);_(&quot;$&quot;* &quot;-&quot;??_);_(@_)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ck">
          <color theme="4" tint="0.499984740745262"/>
        </bottom>
      </border>
    </dxf>
    <dxf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Break-even</a:t>
            </a:r>
            <a:r>
              <a:rPr lang="en-US" b="1" baseline="0">
                <a:solidFill>
                  <a:sysClr val="windowText" lastClr="000000"/>
                </a:solidFill>
              </a:rPr>
              <a:t> Analysis for Certification and Manufacturing</a:t>
            </a:r>
          </a:p>
          <a:p>
            <a:pPr>
              <a:defRPr/>
            </a:pPr>
            <a:r>
              <a:rPr lang="en-US" sz="1200" baseline="0"/>
              <a:t>Kenya One Twin Engine Aluminium Aircraft</a:t>
            </a:r>
            <a:endParaRPr lang="en-US" sz="1200"/>
          </a:p>
        </c:rich>
      </c:tx>
      <c:layout>
        <c:manualLayout>
          <c:xMode val="edge"/>
          <c:yMode val="edge"/>
          <c:x val="0.25812863235845512"/>
          <c:y val="1.41969791734787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93812581811969"/>
          <c:y val="0.12798878360036473"/>
          <c:w val="0.82305878635537921"/>
          <c:h val="0.74931587797642651"/>
        </c:manualLayout>
      </c:layout>
      <c:scatterChart>
        <c:scatterStyle val="smoothMarker"/>
        <c:varyColors val="0"/>
        <c:ser>
          <c:idx val="0"/>
          <c:order val="0"/>
          <c:tx>
            <c:v>fixed cost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'Cost Analysis'!$S$32:$S$53</c:f>
              <c:numCache>
                <c:formatCode>General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</c:numCache>
            </c:numRef>
          </c:xVal>
          <c:yVal>
            <c:numRef>
              <c:f>'Cost Analysis'!$U$32:$U$53</c:f>
              <c:numCache>
                <c:formatCode>_("$"* #,##0.00_);_("$"* \(#,##0.00\);_("$"* "-"??_);_(@_)</c:formatCode>
                <c:ptCount val="22"/>
                <c:pt idx="0">
                  <c:v>779164.59611430997</c:v>
                </c:pt>
                <c:pt idx="1">
                  <c:v>779164.59611430997</c:v>
                </c:pt>
                <c:pt idx="2">
                  <c:v>779164.59611430997</c:v>
                </c:pt>
                <c:pt idx="3">
                  <c:v>779164.59611430997</c:v>
                </c:pt>
                <c:pt idx="4">
                  <c:v>779164.59611430997</c:v>
                </c:pt>
                <c:pt idx="5">
                  <c:v>779164.59611430997</c:v>
                </c:pt>
                <c:pt idx="6">
                  <c:v>779164.59611430997</c:v>
                </c:pt>
                <c:pt idx="7">
                  <c:v>779164.59611430997</c:v>
                </c:pt>
                <c:pt idx="8">
                  <c:v>779164.59611430997</c:v>
                </c:pt>
                <c:pt idx="9">
                  <c:v>779164.59611430997</c:v>
                </c:pt>
                <c:pt idx="10">
                  <c:v>779164.59611430997</c:v>
                </c:pt>
                <c:pt idx="11">
                  <c:v>779164.59611430997</c:v>
                </c:pt>
                <c:pt idx="12">
                  <c:v>779164.59611430997</c:v>
                </c:pt>
                <c:pt idx="13">
                  <c:v>779164.59611430997</c:v>
                </c:pt>
                <c:pt idx="14">
                  <c:v>779164.59611430997</c:v>
                </c:pt>
                <c:pt idx="15">
                  <c:v>779164.59611430997</c:v>
                </c:pt>
                <c:pt idx="16">
                  <c:v>779164.59611430997</c:v>
                </c:pt>
                <c:pt idx="17">
                  <c:v>779164.59611430997</c:v>
                </c:pt>
                <c:pt idx="18">
                  <c:v>779164.59611430997</c:v>
                </c:pt>
                <c:pt idx="19">
                  <c:v>779164.59611430997</c:v>
                </c:pt>
                <c:pt idx="20">
                  <c:v>779164.59611430997</c:v>
                </c:pt>
                <c:pt idx="21">
                  <c:v>779164.59611430997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3D-497B-B5BA-631575529C1C}"/>
            </c:ext>
          </c:extLst>
        </c:ser>
        <c:ser>
          <c:idx val="1"/>
          <c:order val="1"/>
          <c:tx>
            <c:v>fixed+variable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'Cost Analysis'!$S$32:$S$53</c:f>
              <c:numCache>
                <c:formatCode>General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</c:numCache>
            </c:numRef>
          </c:xVal>
          <c:yVal>
            <c:numRef>
              <c:f>'Cost Analysis'!$T$32:$T$53</c:f>
              <c:numCache>
                <c:formatCode>_("$"* #,##0.00_);_("$"* \(#,##0.00\);_("$"* "-"??_);_(@_)</c:formatCode>
                <c:ptCount val="22"/>
                <c:pt idx="0">
                  <c:v>779164.59611430997</c:v>
                </c:pt>
                <c:pt idx="1">
                  <c:v>1033726.8338886398</c:v>
                </c:pt>
                <c:pt idx="2">
                  <c:v>1288289.0716629697</c:v>
                </c:pt>
                <c:pt idx="3">
                  <c:v>1542851.3094372996</c:v>
                </c:pt>
                <c:pt idx="4">
                  <c:v>1797413.5472116293</c:v>
                </c:pt>
                <c:pt idx="5">
                  <c:v>2051975.7849859591</c:v>
                </c:pt>
                <c:pt idx="6">
                  <c:v>2306538.0227602888</c:v>
                </c:pt>
                <c:pt idx="7">
                  <c:v>2561100.260534619</c:v>
                </c:pt>
                <c:pt idx="8">
                  <c:v>2815662.4983089487</c:v>
                </c:pt>
                <c:pt idx="9">
                  <c:v>3070224.7360832784</c:v>
                </c:pt>
                <c:pt idx="10">
                  <c:v>3324786.9738576082</c:v>
                </c:pt>
                <c:pt idx="11">
                  <c:v>3579349.2116319383</c:v>
                </c:pt>
                <c:pt idx="12">
                  <c:v>3833911.4494062681</c:v>
                </c:pt>
                <c:pt idx="13">
                  <c:v>4088473.6871805978</c:v>
                </c:pt>
                <c:pt idx="14">
                  <c:v>4343035.9249549285</c:v>
                </c:pt>
                <c:pt idx="15">
                  <c:v>4597598.1627292577</c:v>
                </c:pt>
                <c:pt idx="16">
                  <c:v>4852160.400503587</c:v>
                </c:pt>
                <c:pt idx="17">
                  <c:v>5106722.6382779181</c:v>
                </c:pt>
                <c:pt idx="18">
                  <c:v>5361284.8760522474</c:v>
                </c:pt>
                <c:pt idx="19">
                  <c:v>5615847.1138265766</c:v>
                </c:pt>
                <c:pt idx="20">
                  <c:v>5870409.3516009059</c:v>
                </c:pt>
                <c:pt idx="21">
                  <c:v>6124971.589375237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3D-497B-B5BA-631575529C1C}"/>
            </c:ext>
          </c:extLst>
        </c:ser>
        <c:ser>
          <c:idx val="2"/>
          <c:order val="2"/>
          <c:tx>
            <c:strRef>
              <c:f>'Cost Analysis'!$V$31</c:f>
              <c:strCache>
                <c:ptCount val="1"/>
                <c:pt idx="0">
                  <c:v> $800,000.00 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'Cost Analysis'!$S$32:$S$53</c:f>
              <c:numCache>
                <c:formatCode>General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</c:numCache>
            </c:numRef>
          </c:xVal>
          <c:yVal>
            <c:numRef>
              <c:f>'Cost Analysis'!$V$32:$V$53</c:f>
              <c:numCache>
                <c:formatCode>_("$"* #,##0.00_);_("$"* \(#,##0.00\);_("$"* "-"??_);_(@_)</c:formatCode>
                <c:ptCount val="22"/>
                <c:pt idx="0">
                  <c:v>0</c:v>
                </c:pt>
                <c:pt idx="1">
                  <c:v>400000</c:v>
                </c:pt>
                <c:pt idx="2">
                  <c:v>800000</c:v>
                </c:pt>
                <c:pt idx="3">
                  <c:v>1200000</c:v>
                </c:pt>
                <c:pt idx="4">
                  <c:v>1600000</c:v>
                </c:pt>
                <c:pt idx="5">
                  <c:v>2000000</c:v>
                </c:pt>
                <c:pt idx="6">
                  <c:v>2400000</c:v>
                </c:pt>
                <c:pt idx="7">
                  <c:v>2800000</c:v>
                </c:pt>
                <c:pt idx="8">
                  <c:v>3200000</c:v>
                </c:pt>
                <c:pt idx="9">
                  <c:v>3600000</c:v>
                </c:pt>
                <c:pt idx="10">
                  <c:v>4000000</c:v>
                </c:pt>
                <c:pt idx="11">
                  <c:v>4400000</c:v>
                </c:pt>
                <c:pt idx="12">
                  <c:v>4800000</c:v>
                </c:pt>
                <c:pt idx="13">
                  <c:v>5200000</c:v>
                </c:pt>
                <c:pt idx="14">
                  <c:v>5600000</c:v>
                </c:pt>
                <c:pt idx="15">
                  <c:v>6000000</c:v>
                </c:pt>
                <c:pt idx="16">
                  <c:v>6400000</c:v>
                </c:pt>
                <c:pt idx="17">
                  <c:v>6800000</c:v>
                </c:pt>
                <c:pt idx="18">
                  <c:v>7200000</c:v>
                </c:pt>
                <c:pt idx="19">
                  <c:v>7600000</c:v>
                </c:pt>
                <c:pt idx="20">
                  <c:v>8000000</c:v>
                </c:pt>
                <c:pt idx="21">
                  <c:v>8400000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3D-497B-B5BA-631575529C1C}"/>
            </c:ext>
          </c:extLst>
        </c:ser>
        <c:ser>
          <c:idx val="3"/>
          <c:order val="3"/>
          <c:tx>
            <c:strRef>
              <c:f>'Cost Analysis'!$W$31</c:f>
              <c:strCache>
                <c:ptCount val="1"/>
                <c:pt idx="0">
                  <c:v> $1,200,000.00 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'Cost Analysis'!$S$32:$S$53</c:f>
              <c:numCache>
                <c:formatCode>General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</c:numCache>
            </c:numRef>
          </c:xVal>
          <c:yVal>
            <c:numRef>
              <c:f>'Cost Analysis'!$W$32:$W$53</c:f>
              <c:numCache>
                <c:formatCode>_("$"* #,##0.00_);_("$"* \(#,##0.00\);_("$"* "-"??_);_(@_)</c:formatCode>
                <c:ptCount val="22"/>
                <c:pt idx="0">
                  <c:v>0</c:v>
                </c:pt>
                <c:pt idx="1">
                  <c:v>600000</c:v>
                </c:pt>
                <c:pt idx="2">
                  <c:v>1200000</c:v>
                </c:pt>
                <c:pt idx="3">
                  <c:v>1800000</c:v>
                </c:pt>
                <c:pt idx="4">
                  <c:v>2400000</c:v>
                </c:pt>
                <c:pt idx="5">
                  <c:v>3000000</c:v>
                </c:pt>
                <c:pt idx="6">
                  <c:v>3600000</c:v>
                </c:pt>
                <c:pt idx="7">
                  <c:v>4200000</c:v>
                </c:pt>
                <c:pt idx="8">
                  <c:v>4800000</c:v>
                </c:pt>
                <c:pt idx="9">
                  <c:v>5400000</c:v>
                </c:pt>
                <c:pt idx="10">
                  <c:v>6000000</c:v>
                </c:pt>
                <c:pt idx="11">
                  <c:v>6600000</c:v>
                </c:pt>
                <c:pt idx="12">
                  <c:v>7200000</c:v>
                </c:pt>
                <c:pt idx="13">
                  <c:v>7800000</c:v>
                </c:pt>
                <c:pt idx="14">
                  <c:v>8400000</c:v>
                </c:pt>
                <c:pt idx="15">
                  <c:v>9000000</c:v>
                </c:pt>
                <c:pt idx="16">
                  <c:v>9600000</c:v>
                </c:pt>
                <c:pt idx="17">
                  <c:v>10200000</c:v>
                </c:pt>
                <c:pt idx="18">
                  <c:v>10800000</c:v>
                </c:pt>
                <c:pt idx="19">
                  <c:v>11400000</c:v>
                </c:pt>
                <c:pt idx="20">
                  <c:v>12000000</c:v>
                </c:pt>
                <c:pt idx="21">
                  <c:v>12600000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3D-497B-B5BA-631575529C1C}"/>
            </c:ext>
          </c:extLst>
        </c:ser>
        <c:ser>
          <c:idx val="4"/>
          <c:order val="4"/>
          <c:tx>
            <c:strRef>
              <c:f>'Cost Analysis'!$X$31</c:f>
              <c:strCache>
                <c:ptCount val="1"/>
                <c:pt idx="0">
                  <c:v> $1,300,000.00 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xVal>
            <c:numRef>
              <c:f>'Cost Analysis'!$S$32:$S$53</c:f>
              <c:numCache>
                <c:formatCode>General</c:formatCode>
                <c:ptCount val="2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</c:numCache>
            </c:numRef>
          </c:xVal>
          <c:yVal>
            <c:numRef>
              <c:f>'Cost Analysis'!$X$32:$X$53</c:f>
              <c:numCache>
                <c:formatCode>_("$"* #,##0.00_);_("$"* \(#,##0.00\);_("$"* "-"??_);_(@_)</c:formatCode>
                <c:ptCount val="22"/>
                <c:pt idx="0">
                  <c:v>0</c:v>
                </c:pt>
                <c:pt idx="1">
                  <c:v>650000</c:v>
                </c:pt>
                <c:pt idx="2">
                  <c:v>1300000</c:v>
                </c:pt>
                <c:pt idx="3">
                  <c:v>1950000</c:v>
                </c:pt>
                <c:pt idx="4">
                  <c:v>2600000</c:v>
                </c:pt>
                <c:pt idx="5">
                  <c:v>3250000</c:v>
                </c:pt>
                <c:pt idx="6">
                  <c:v>3900000</c:v>
                </c:pt>
                <c:pt idx="7">
                  <c:v>4550000</c:v>
                </c:pt>
                <c:pt idx="8">
                  <c:v>5200000</c:v>
                </c:pt>
                <c:pt idx="9">
                  <c:v>5850000</c:v>
                </c:pt>
                <c:pt idx="10">
                  <c:v>6500000</c:v>
                </c:pt>
                <c:pt idx="11">
                  <c:v>7150000</c:v>
                </c:pt>
                <c:pt idx="12">
                  <c:v>7800000</c:v>
                </c:pt>
                <c:pt idx="13">
                  <c:v>8450000</c:v>
                </c:pt>
                <c:pt idx="14">
                  <c:v>9100000</c:v>
                </c:pt>
                <c:pt idx="15">
                  <c:v>9750000</c:v>
                </c:pt>
                <c:pt idx="16">
                  <c:v>10400000</c:v>
                </c:pt>
                <c:pt idx="17">
                  <c:v>11050000</c:v>
                </c:pt>
                <c:pt idx="18">
                  <c:v>11700000</c:v>
                </c:pt>
                <c:pt idx="19">
                  <c:v>12350000</c:v>
                </c:pt>
                <c:pt idx="20">
                  <c:v>13000000</c:v>
                </c:pt>
                <c:pt idx="21">
                  <c:v>13650000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3D-497B-B5BA-631575529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02896"/>
        <c:axId val="345914320"/>
      </c:scatterChart>
      <c:valAx>
        <c:axId val="34590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Units Produced,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14320"/>
        <c:crosses val="autoZero"/>
        <c:crossBetween val="midCat"/>
      </c:valAx>
      <c:valAx>
        <c:axId val="34591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Total Production</a:t>
                </a:r>
                <a:r>
                  <a:rPr lang="en-US" sz="1300" baseline="0"/>
                  <a:t> Cost and Revenue, in </a:t>
                </a:r>
                <a:r>
                  <a:rPr lang="en-US" sz="1400" baseline="0"/>
                  <a:t>millions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9650356205474312E-2"/>
              <c:y val="0.14477784652047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02896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0843726565429321"/>
          <c:y val="0.21879119008825848"/>
          <c:w val="0.17713694932027052"/>
          <c:h val="0.296760703986452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MTOW SIZING GRAPH</a:t>
            </a:r>
          </a:p>
          <a:p>
            <a:pPr>
              <a:defRPr/>
            </a:pPr>
            <a:r>
              <a:rPr lang="en-US"/>
              <a:t>Variations of different</a:t>
            </a:r>
            <a:r>
              <a:rPr lang="en-US" baseline="0"/>
              <a:t> fuel fraction estimations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709545099927389"/>
          <c:y val="4.4757784566537171E-3"/>
        </c:manualLayout>
      </c:layout>
      <c:overlay val="0"/>
      <c:spPr>
        <a:solidFill>
          <a:schemeClr val="accent5">
            <a:lumMod val="20000"/>
            <a:lumOff val="80000"/>
          </a:schemeClr>
        </a:solidFill>
        <a:ln w="3175" cap="flat" cmpd="sng" algn="ctr">
          <a:noFill/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687597071588641E-2"/>
          <c:y val="0.10989443989184158"/>
          <c:w val="0.86005767882932849"/>
          <c:h val="0.8155730206628623"/>
        </c:manualLayout>
      </c:layout>
      <c:scatterChart>
        <c:scatterStyle val="smoothMarker"/>
        <c:varyColors val="0"/>
        <c:ser>
          <c:idx val="0"/>
          <c:order val="0"/>
          <c:tx>
            <c:v>wto guess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'MTOW &amp; WEIGHTS'!$O$4:$O$22</c:f>
              <c:numCache>
                <c:formatCode>General</c:formatCode>
                <c:ptCount val="19"/>
                <c:pt idx="0">
                  <c:v>2500</c:v>
                </c:pt>
                <c:pt idx="1">
                  <c:v>2750</c:v>
                </c:pt>
                <c:pt idx="2">
                  <c:v>3000</c:v>
                </c:pt>
                <c:pt idx="3">
                  <c:v>3250</c:v>
                </c:pt>
                <c:pt idx="4">
                  <c:v>3500</c:v>
                </c:pt>
                <c:pt idx="5">
                  <c:v>3750</c:v>
                </c:pt>
                <c:pt idx="6">
                  <c:v>4000</c:v>
                </c:pt>
                <c:pt idx="7">
                  <c:v>4250</c:v>
                </c:pt>
                <c:pt idx="8">
                  <c:v>4500</c:v>
                </c:pt>
                <c:pt idx="9">
                  <c:v>4750</c:v>
                </c:pt>
                <c:pt idx="10">
                  <c:v>5000</c:v>
                </c:pt>
                <c:pt idx="11">
                  <c:v>5250</c:v>
                </c:pt>
                <c:pt idx="12">
                  <c:v>5500</c:v>
                </c:pt>
                <c:pt idx="13">
                  <c:v>5750</c:v>
                </c:pt>
                <c:pt idx="14">
                  <c:v>6000</c:v>
                </c:pt>
                <c:pt idx="15">
                  <c:v>6250</c:v>
                </c:pt>
                <c:pt idx="16">
                  <c:v>6500</c:v>
                </c:pt>
                <c:pt idx="17">
                  <c:v>6750</c:v>
                </c:pt>
                <c:pt idx="18">
                  <c:v>7000</c:v>
                </c:pt>
              </c:numCache>
            </c:numRef>
          </c:xVal>
          <c:yVal>
            <c:numRef>
              <c:f>'MTOW &amp; WEIGHTS'!$O$4:$O$22</c:f>
              <c:numCache>
                <c:formatCode>General</c:formatCode>
                <c:ptCount val="19"/>
                <c:pt idx="0">
                  <c:v>2500</c:v>
                </c:pt>
                <c:pt idx="1">
                  <c:v>2750</c:v>
                </c:pt>
                <c:pt idx="2">
                  <c:v>3000</c:v>
                </c:pt>
                <c:pt idx="3">
                  <c:v>3250</c:v>
                </c:pt>
                <c:pt idx="4">
                  <c:v>3500</c:v>
                </c:pt>
                <c:pt idx="5">
                  <c:v>3750</c:v>
                </c:pt>
                <c:pt idx="6">
                  <c:v>4000</c:v>
                </c:pt>
                <c:pt idx="7">
                  <c:v>4250</c:v>
                </c:pt>
                <c:pt idx="8">
                  <c:v>4500</c:v>
                </c:pt>
                <c:pt idx="9">
                  <c:v>4750</c:v>
                </c:pt>
                <c:pt idx="10">
                  <c:v>5000</c:v>
                </c:pt>
                <c:pt idx="11">
                  <c:v>5250</c:v>
                </c:pt>
                <c:pt idx="12">
                  <c:v>5500</c:v>
                </c:pt>
                <c:pt idx="13">
                  <c:v>5750</c:v>
                </c:pt>
                <c:pt idx="14">
                  <c:v>6000</c:v>
                </c:pt>
                <c:pt idx="15">
                  <c:v>6250</c:v>
                </c:pt>
                <c:pt idx="16">
                  <c:v>6500</c:v>
                </c:pt>
                <c:pt idx="17">
                  <c:v>6750</c:v>
                </c:pt>
                <c:pt idx="18">
                  <c:v>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14-4104-8C34-6992170434C1}"/>
            </c:ext>
          </c:extLst>
        </c:ser>
        <c:ser>
          <c:idx val="1"/>
          <c:order val="1"/>
          <c:tx>
            <c:v>Sadraey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'MTOW &amp; WEIGHTS'!$O$4:$O$22</c:f>
              <c:numCache>
                <c:formatCode>General</c:formatCode>
                <c:ptCount val="19"/>
                <c:pt idx="0">
                  <c:v>2500</c:v>
                </c:pt>
                <c:pt idx="1">
                  <c:v>2750</c:v>
                </c:pt>
                <c:pt idx="2">
                  <c:v>3000</c:v>
                </c:pt>
                <c:pt idx="3">
                  <c:v>3250</c:v>
                </c:pt>
                <c:pt idx="4">
                  <c:v>3500</c:v>
                </c:pt>
                <c:pt idx="5">
                  <c:v>3750</c:v>
                </c:pt>
                <c:pt idx="6">
                  <c:v>4000</c:v>
                </c:pt>
                <c:pt idx="7">
                  <c:v>4250</c:v>
                </c:pt>
                <c:pt idx="8">
                  <c:v>4500</c:v>
                </c:pt>
                <c:pt idx="9">
                  <c:v>4750</c:v>
                </c:pt>
                <c:pt idx="10">
                  <c:v>5000</c:v>
                </c:pt>
                <c:pt idx="11">
                  <c:v>5250</c:v>
                </c:pt>
                <c:pt idx="12">
                  <c:v>5500</c:v>
                </c:pt>
                <c:pt idx="13">
                  <c:v>5750</c:v>
                </c:pt>
                <c:pt idx="14">
                  <c:v>6000</c:v>
                </c:pt>
                <c:pt idx="15">
                  <c:v>6250</c:v>
                </c:pt>
                <c:pt idx="16">
                  <c:v>6500</c:v>
                </c:pt>
                <c:pt idx="17">
                  <c:v>6750</c:v>
                </c:pt>
                <c:pt idx="18">
                  <c:v>7000</c:v>
                </c:pt>
              </c:numCache>
            </c:numRef>
          </c:xVal>
          <c:yVal>
            <c:numRef>
              <c:f>'MTOW &amp; WEIGHTS'!$Q$4:$Q$22</c:f>
              <c:numCache>
                <c:formatCode>General</c:formatCode>
                <c:ptCount val="19"/>
                <c:pt idx="0">
                  <c:v>7975.7042268798878</c:v>
                </c:pt>
                <c:pt idx="1">
                  <c:v>7672.0624776901905</c:v>
                </c:pt>
                <c:pt idx="2">
                  <c:v>7416.6297961065911</c:v>
                </c:pt>
                <c:pt idx="3">
                  <c:v>7198.0074211885621</c:v>
                </c:pt>
                <c:pt idx="4">
                  <c:v>7008.2098046978144</c:v>
                </c:pt>
                <c:pt idx="5">
                  <c:v>6841.4623667753158</c:v>
                </c:pt>
                <c:pt idx="6">
                  <c:v>6693.4769463300454</c:v>
                </c:pt>
                <c:pt idx="7">
                  <c:v>6560.9964781871049</c:v>
                </c:pt>
                <c:pt idx="8">
                  <c:v>6441.498537600246</c:v>
                </c:pt>
                <c:pt idx="9">
                  <c:v>6332.9963635718104</c:v>
                </c:pt>
                <c:pt idx="10">
                  <c:v>6233.901739190881</c:v>
                </c:pt>
                <c:pt idx="11">
                  <c:v>6142.9282904138418</c:v>
                </c:pt>
                <c:pt idx="12">
                  <c:v>6059.0218829604601</c:v>
                </c:pt>
                <c:pt idx="13">
                  <c:v>5981.3096054571233</c:v>
                </c:pt>
                <c:pt idx="14">
                  <c:v>5909.0617623578191</c:v>
                </c:pt>
                <c:pt idx="15">
                  <c:v>5841.6631409486581</c:v>
                </c:pt>
                <c:pt idx="16">
                  <c:v>5778.5909992131819</c:v>
                </c:pt>
                <c:pt idx="17">
                  <c:v>5719.3979975891416</c:v>
                </c:pt>
                <c:pt idx="18">
                  <c:v>5663.6988173490818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14-4104-8C34-6992170434C1}"/>
            </c:ext>
          </c:extLst>
        </c:ser>
        <c:ser>
          <c:idx val="2"/>
          <c:order val="2"/>
          <c:tx>
            <c:v>Gudmundsson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'MTOW &amp; WEIGHTS'!$O$4:$O$22</c:f>
              <c:numCache>
                <c:formatCode>General</c:formatCode>
                <c:ptCount val="19"/>
                <c:pt idx="0">
                  <c:v>2500</c:v>
                </c:pt>
                <c:pt idx="1">
                  <c:v>2750</c:v>
                </c:pt>
                <c:pt idx="2">
                  <c:v>3000</c:v>
                </c:pt>
                <c:pt idx="3">
                  <c:v>3250</c:v>
                </c:pt>
                <c:pt idx="4">
                  <c:v>3500</c:v>
                </c:pt>
                <c:pt idx="5">
                  <c:v>3750</c:v>
                </c:pt>
                <c:pt idx="6">
                  <c:v>4000</c:v>
                </c:pt>
                <c:pt idx="7">
                  <c:v>4250</c:v>
                </c:pt>
                <c:pt idx="8">
                  <c:v>4500</c:v>
                </c:pt>
                <c:pt idx="9">
                  <c:v>4750</c:v>
                </c:pt>
                <c:pt idx="10">
                  <c:v>5000</c:v>
                </c:pt>
                <c:pt idx="11">
                  <c:v>5250</c:v>
                </c:pt>
                <c:pt idx="12">
                  <c:v>5500</c:v>
                </c:pt>
                <c:pt idx="13">
                  <c:v>5750</c:v>
                </c:pt>
                <c:pt idx="14">
                  <c:v>6000</c:v>
                </c:pt>
                <c:pt idx="15">
                  <c:v>6250</c:v>
                </c:pt>
                <c:pt idx="16">
                  <c:v>6500</c:v>
                </c:pt>
                <c:pt idx="17">
                  <c:v>6750</c:v>
                </c:pt>
                <c:pt idx="18">
                  <c:v>7000</c:v>
                </c:pt>
              </c:numCache>
            </c:numRef>
          </c:xVal>
          <c:yVal>
            <c:numRef>
              <c:f>'MTOW &amp; WEIGHTS'!$S$4:$S$22</c:f>
              <c:numCache>
                <c:formatCode>General</c:formatCode>
                <c:ptCount val="19"/>
                <c:pt idx="0">
                  <c:v>6778.8749733796549</c:v>
                </c:pt>
                <c:pt idx="1">
                  <c:v>6558.2641366895241</c:v>
                </c:pt>
                <c:pt idx="2">
                  <c:v>6370.7067181362172</c:v>
                </c:pt>
                <c:pt idx="3">
                  <c:v>6208.7250903068252</c:v>
                </c:pt>
                <c:pt idx="4">
                  <c:v>6066.9996643952545</c:v>
                </c:pt>
                <c:pt idx="5">
                  <c:v>5941.6327581185969</c:v>
                </c:pt>
                <c:pt idx="6">
                  <c:v>5829.6967067702917</c:v>
                </c:pt>
                <c:pt idx="7">
                  <c:v>5728.9453466734849</c:v>
                </c:pt>
                <c:pt idx="8">
                  <c:v>5637.6235483075152</c:v>
                </c:pt>
                <c:pt idx="9">
                  <c:v>5554.3378079050763</c:v>
                </c:pt>
                <c:pt idx="10">
                  <c:v>5477.9660945231653</c:v>
                </c:pt>
                <c:pt idx="11">
                  <c:v>5407.5936479480624</c:v>
                </c:pt>
                <c:pt idx="12">
                  <c:v>5342.4663582228914</c:v>
                </c:pt>
                <c:pt idx="13">
                  <c:v>5281.9563190143854</c:v>
                </c:pt>
                <c:pt idx="14">
                  <c:v>5225.535976127926</c:v>
                </c:pt>
                <c:pt idx="15">
                  <c:v>5172.7584517085297</c:v>
                </c:pt>
                <c:pt idx="16">
                  <c:v>5123.2423765549174</c:v>
                </c:pt>
                <c:pt idx="17">
                  <c:v>5076.6600609548295</c:v>
                </c:pt>
                <c:pt idx="18">
                  <c:v>5032.7281705784217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14-4104-8C34-6992170434C1}"/>
            </c:ext>
          </c:extLst>
        </c:ser>
        <c:ser>
          <c:idx val="3"/>
          <c:order val="3"/>
          <c:tx>
            <c:v>Roskam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'MTOW &amp; WEIGHTS'!$O$4:$O$22</c:f>
              <c:numCache>
                <c:formatCode>General</c:formatCode>
                <c:ptCount val="19"/>
                <c:pt idx="0">
                  <c:v>2500</c:v>
                </c:pt>
                <c:pt idx="1">
                  <c:v>2750</c:v>
                </c:pt>
                <c:pt idx="2">
                  <c:v>3000</c:v>
                </c:pt>
                <c:pt idx="3">
                  <c:v>3250</c:v>
                </c:pt>
                <c:pt idx="4">
                  <c:v>3500</c:v>
                </c:pt>
                <c:pt idx="5">
                  <c:v>3750</c:v>
                </c:pt>
                <c:pt idx="6">
                  <c:v>4000</c:v>
                </c:pt>
                <c:pt idx="7">
                  <c:v>4250</c:v>
                </c:pt>
                <c:pt idx="8">
                  <c:v>4500</c:v>
                </c:pt>
                <c:pt idx="9">
                  <c:v>4750</c:v>
                </c:pt>
                <c:pt idx="10">
                  <c:v>5000</c:v>
                </c:pt>
                <c:pt idx="11">
                  <c:v>5250</c:v>
                </c:pt>
                <c:pt idx="12">
                  <c:v>5500</c:v>
                </c:pt>
                <c:pt idx="13">
                  <c:v>5750</c:v>
                </c:pt>
                <c:pt idx="14">
                  <c:v>6000</c:v>
                </c:pt>
                <c:pt idx="15">
                  <c:v>6250</c:v>
                </c:pt>
                <c:pt idx="16">
                  <c:v>6500</c:v>
                </c:pt>
                <c:pt idx="17">
                  <c:v>6750</c:v>
                </c:pt>
                <c:pt idx="18">
                  <c:v>7000</c:v>
                </c:pt>
              </c:numCache>
            </c:numRef>
          </c:xVal>
          <c:yVal>
            <c:numRef>
              <c:f>'MTOW &amp; WEIGHTS'!$U$4:$U$22</c:f>
              <c:numCache>
                <c:formatCode>General</c:formatCode>
                <c:ptCount val="19"/>
                <c:pt idx="0">
                  <c:v>7307.3134570346883</c:v>
                </c:pt>
                <c:pt idx="1">
                  <c:v>7051.6158314717732</c:v>
                </c:pt>
                <c:pt idx="2">
                  <c:v>6835.2441566791622</c:v>
                </c:pt>
                <c:pt idx="3">
                  <c:v>6649.1236785068886</c:v>
                </c:pt>
                <c:pt idx="4">
                  <c:v>6486.8421423870814</c:v>
                </c:pt>
                <c:pt idx="5">
                  <c:v>6343.7284952942882</c:v>
                </c:pt>
                <c:pt idx="6">
                  <c:v>6216.2918875227306</c:v>
                </c:pt>
                <c:pt idx="7">
                  <c:v>6101.8659863800931</c:v>
                </c:pt>
                <c:pt idx="8">
                  <c:v>5998.3755960619183</c:v>
                </c:pt>
                <c:pt idx="9">
                  <c:v>5904.17894627027</c:v>
                </c:pt>
                <c:pt idx="10">
                  <c:v>5817.9583495394882</c:v>
                </c:pt>
                <c:pt idx="11">
                  <c:v>5738.6426695430482</c:v>
                </c:pt>
                <c:pt idx="12">
                  <c:v>5665.3512414994975</c:v>
                </c:pt>
                <c:pt idx="13">
                  <c:v>5597.352584085781</c:v>
                </c:pt>
                <c:pt idx="14">
                  <c:v>5534.0335147100432</c:v>
                </c:pt>
                <c:pt idx="15">
                  <c:v>5474.8757134729794</c:v>
                </c:pt>
                <c:pt idx="16">
                  <c:v>5419.4377069458806</c:v>
                </c:pt>
                <c:pt idx="17">
                  <c:v>5367.3408536516981</c:v>
                </c:pt>
                <c:pt idx="18">
                  <c:v>5318.2583238963189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14-4104-8C34-6992170434C1}"/>
            </c:ext>
          </c:extLst>
        </c:ser>
        <c:ser>
          <c:idx val="4"/>
          <c:order val="4"/>
          <c:tx>
            <c:v>Raymer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'MTOW &amp; WEIGHTS'!$O$4:$O$22</c:f>
              <c:numCache>
                <c:formatCode>General</c:formatCode>
                <c:ptCount val="19"/>
                <c:pt idx="0">
                  <c:v>2500</c:v>
                </c:pt>
                <c:pt idx="1">
                  <c:v>2750</c:v>
                </c:pt>
                <c:pt idx="2">
                  <c:v>3000</c:v>
                </c:pt>
                <c:pt idx="3">
                  <c:v>3250</c:v>
                </c:pt>
                <c:pt idx="4">
                  <c:v>3500</c:v>
                </c:pt>
                <c:pt idx="5">
                  <c:v>3750</c:v>
                </c:pt>
                <c:pt idx="6">
                  <c:v>4000</c:v>
                </c:pt>
                <c:pt idx="7">
                  <c:v>4250</c:v>
                </c:pt>
                <c:pt idx="8">
                  <c:v>4500</c:v>
                </c:pt>
                <c:pt idx="9">
                  <c:v>4750</c:v>
                </c:pt>
                <c:pt idx="10">
                  <c:v>5000</c:v>
                </c:pt>
                <c:pt idx="11">
                  <c:v>5250</c:v>
                </c:pt>
                <c:pt idx="12">
                  <c:v>5500</c:v>
                </c:pt>
                <c:pt idx="13">
                  <c:v>5750</c:v>
                </c:pt>
                <c:pt idx="14">
                  <c:v>6000</c:v>
                </c:pt>
                <c:pt idx="15">
                  <c:v>6250</c:v>
                </c:pt>
                <c:pt idx="16">
                  <c:v>6500</c:v>
                </c:pt>
                <c:pt idx="17">
                  <c:v>6750</c:v>
                </c:pt>
                <c:pt idx="18">
                  <c:v>7000</c:v>
                </c:pt>
              </c:numCache>
            </c:numRef>
          </c:xVal>
          <c:yVal>
            <c:numRef>
              <c:f>'MTOW &amp; WEIGHTS'!$W$4:$W$22</c:f>
              <c:numCache>
                <c:formatCode>General</c:formatCode>
                <c:ptCount val="19"/>
                <c:pt idx="0">
                  <c:v>7465.3182243348811</c:v>
                </c:pt>
                <c:pt idx="1">
                  <c:v>7198.6450096483404</c:v>
                </c:pt>
                <c:pt idx="2">
                  <c:v>6973.3005567275168</c:v>
                </c:pt>
                <c:pt idx="3">
                  <c:v>6779.6922092511904</c:v>
                </c:pt>
                <c:pt idx="4">
                  <c:v>6611.0554881403214</c:v>
                </c:pt>
                <c:pt idx="5">
                  <c:v>6462.4713111747305</c:v>
                </c:pt>
                <c:pt idx="6">
                  <c:v>6330.2690112097207</c:v>
                </c:pt>
                <c:pt idx="7">
                  <c:v>6211.648627412219</c:v>
                </c:pt>
                <c:pt idx="8">
                  <c:v>6104.4335277250202</c:v>
                </c:pt>
                <c:pt idx="9">
                  <c:v>6006.9035076533855</c:v>
                </c:pt>
                <c:pt idx="10">
                  <c:v>5917.6792421349646</c:v>
                </c:pt>
                <c:pt idx="11">
                  <c:v>5835.6404592159543</c:v>
                </c:pt>
                <c:pt idx="12">
                  <c:v>5759.86682298713</c:v>
                </c:pt>
                <c:pt idx="13">
                  <c:v>5689.5944552735155</c:v>
                </c:pt>
                <c:pt idx="14">
                  <c:v>5624.1834440550174</c:v>
                </c:pt>
                <c:pt idx="15">
                  <c:v>5563.0932100631198</c:v>
                </c:pt>
                <c:pt idx="16">
                  <c:v>5505.86358566328</c:v>
                </c:pt>
                <c:pt idx="17">
                  <c:v>5452.1001076479033</c:v>
                </c:pt>
                <c:pt idx="18">
                  <c:v>5401.4624605775898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14-4104-8C34-699217043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03440"/>
        <c:axId val="345910512"/>
      </c:scatterChart>
      <c:valAx>
        <c:axId val="34590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10512"/>
        <c:crosses val="autoZero"/>
        <c:crossBetween val="midCat"/>
        <c:majorUnit val="1000"/>
      </c:valAx>
      <c:valAx>
        <c:axId val="3459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CALCULATED WEIGHT</a:t>
                </a:r>
              </a:p>
            </c:rich>
          </c:tx>
          <c:layout>
            <c:manualLayout>
              <c:xMode val="edge"/>
              <c:yMode val="edge"/>
              <c:x val="2.1185638931106449E-2"/>
              <c:y val="0.372919500615724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03440"/>
        <c:crosses val="autoZero"/>
        <c:crossBetween val="midCat"/>
        <c:majorUnit val="500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15422589761685"/>
          <c:y val="0.48961387899847814"/>
          <c:w val="0.14615625453470449"/>
          <c:h val="0.23535724412584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2">
            <a:lumMod val="110000"/>
            <a:satMod val="105000"/>
            <a:tint val="67000"/>
          </a:schemeClr>
        </a:gs>
        <a:gs pos="50000">
          <a:schemeClr val="accent2">
            <a:lumMod val="105000"/>
            <a:satMod val="103000"/>
            <a:tint val="73000"/>
          </a:schemeClr>
        </a:gs>
        <a:gs pos="100000">
          <a:schemeClr val="accent2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	Analytical</a:t>
            </a:r>
            <a:r>
              <a:rPr lang="en-US" baseline="0"/>
              <a:t> Method of Solving for MTOW</a:t>
            </a:r>
            <a:endParaRPr lang="en-US"/>
          </a:p>
        </c:rich>
      </c:tx>
      <c:layout>
        <c:manualLayout>
          <c:xMode val="edge"/>
          <c:yMode val="edge"/>
          <c:x val="8.9176717404321024E-2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'MTOW &amp; WEIGHTS'!$N$52:$N$64</c:f>
              <c:numCache>
                <c:formatCode>General</c:formatCode>
                <c:ptCount val="13"/>
                <c:pt idx="0">
                  <c:v>2000</c:v>
                </c:pt>
                <c:pt idx="1">
                  <c:v>2500</c:v>
                </c:pt>
                <c:pt idx="2">
                  <c:v>3000</c:v>
                </c:pt>
                <c:pt idx="3">
                  <c:v>3500</c:v>
                </c:pt>
                <c:pt idx="4">
                  <c:v>4000</c:v>
                </c:pt>
                <c:pt idx="5">
                  <c:v>4500</c:v>
                </c:pt>
                <c:pt idx="6">
                  <c:v>5000</c:v>
                </c:pt>
                <c:pt idx="7">
                  <c:v>5500</c:v>
                </c:pt>
                <c:pt idx="8">
                  <c:v>6000</c:v>
                </c:pt>
                <c:pt idx="9">
                  <c:v>6500</c:v>
                </c:pt>
                <c:pt idx="10">
                  <c:v>7000</c:v>
                </c:pt>
                <c:pt idx="11">
                  <c:v>7500</c:v>
                </c:pt>
                <c:pt idx="12">
                  <c:v>8000</c:v>
                </c:pt>
              </c:numCache>
            </c:numRef>
          </c:xVal>
          <c:yVal>
            <c:numRef>
              <c:f>'MTOW &amp; WEIGHTS'!$O$52:$O$64</c:f>
              <c:numCache>
                <c:formatCode>General</c:formatCode>
                <c:ptCount val="13"/>
                <c:pt idx="0">
                  <c:v>0.53490679990990708</c:v>
                </c:pt>
                <c:pt idx="1">
                  <c:v>0.30183193304756006</c:v>
                </c:pt>
                <c:pt idx="2">
                  <c:v>0.19322297377106779</c:v>
                </c:pt>
                <c:pt idx="3">
                  <c:v>0.12832446711095136</c:v>
                </c:pt>
                <c:pt idx="4">
                  <c:v>8.4623832918829578E-2</c:v>
                </c:pt>
                <c:pt idx="5">
                  <c:v>5.2979859843008459E-2</c:v>
                </c:pt>
                <c:pt idx="6">
                  <c:v>2.8902941013055905E-2</c:v>
                </c:pt>
                <c:pt idx="7">
                  <c:v>9.9088241118256981E-3</c:v>
                </c:pt>
                <c:pt idx="8">
                  <c:v>-5.4961032483200611E-3</c:v>
                </c:pt>
                <c:pt idx="9">
                  <c:v>-1.8266943690001369E-2</c:v>
                </c:pt>
                <c:pt idx="10">
                  <c:v>-2.9044357032208534E-2</c:v>
                </c:pt>
                <c:pt idx="11">
                  <c:v>-3.8274857099794612E-2</c:v>
                </c:pt>
                <c:pt idx="12">
                  <c:v>-4.6279580278134169E-2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7-4520-8281-F20597A6A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12688"/>
        <c:axId val="345908880"/>
      </c:scatterChart>
      <c:valAx>
        <c:axId val="34591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MTOW , lbs</a:t>
                </a:r>
              </a:p>
            </c:rich>
          </c:tx>
          <c:layout>
            <c:manualLayout>
              <c:xMode val="edge"/>
              <c:yMode val="edge"/>
              <c:x val="0.4490670484371270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08880"/>
        <c:crosses val="autoZero"/>
        <c:crossBetween val="midCat"/>
        <c:majorUnit val="500"/>
      </c:valAx>
      <c:valAx>
        <c:axId val="3459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12688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28575" cap="flat" cmpd="sng" algn="ctr">
      <a:solidFill>
        <a:schemeClr val="accent6">
          <a:lumMod val="75000"/>
        </a:schemeClr>
      </a:solidFill>
      <a:round/>
    </a:ln>
    <a:effectLst>
      <a:innerShdw blurRad="63500" dist="50800" dir="162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 w="152400" h="50800" prst="softRound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+mj-lt"/>
              </a:rPr>
              <a:t>POWER LOADING vs WING LOADING 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65030290968167E-2"/>
          <c:y val="8.9713203021986362E-2"/>
          <c:w val="0.88273429062381581"/>
          <c:h val="0.79894706068966415"/>
        </c:manualLayout>
      </c:layout>
      <c:scatterChart>
        <c:scatterStyle val="smoothMarker"/>
        <c:varyColors val="0"/>
        <c:ser>
          <c:idx val="0"/>
          <c:order val="0"/>
          <c:tx>
            <c:v>Vs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'Sref and POWER SIZING'!$K$3:$K$21</c:f>
              <c:numCache>
                <c:formatCode>General</c:formatCode>
                <c:ptCount val="19"/>
                <c:pt idx="0">
                  <c:v>22.691275793164802</c:v>
                </c:pt>
                <c:pt idx="1">
                  <c:v>22.691275793164802</c:v>
                </c:pt>
                <c:pt idx="2">
                  <c:v>22.691275793164802</c:v>
                </c:pt>
                <c:pt idx="3">
                  <c:v>22.691275793164802</c:v>
                </c:pt>
                <c:pt idx="4">
                  <c:v>22.691275793164802</c:v>
                </c:pt>
                <c:pt idx="5">
                  <c:v>22.691275793164802</c:v>
                </c:pt>
                <c:pt idx="6">
                  <c:v>22.691275793164802</c:v>
                </c:pt>
                <c:pt idx="7">
                  <c:v>22.691275793164802</c:v>
                </c:pt>
                <c:pt idx="8">
                  <c:v>22.691275793164802</c:v>
                </c:pt>
                <c:pt idx="9">
                  <c:v>22.691275793164802</c:v>
                </c:pt>
                <c:pt idx="10">
                  <c:v>22.691275793164802</c:v>
                </c:pt>
                <c:pt idx="11">
                  <c:v>22.691275793164802</c:v>
                </c:pt>
                <c:pt idx="12">
                  <c:v>22.691275793164802</c:v>
                </c:pt>
                <c:pt idx="13">
                  <c:v>22.691275793164802</c:v>
                </c:pt>
                <c:pt idx="14">
                  <c:v>22.691275793164802</c:v>
                </c:pt>
                <c:pt idx="15">
                  <c:v>22.691275793164802</c:v>
                </c:pt>
                <c:pt idx="16">
                  <c:v>22.691275793164802</c:v>
                </c:pt>
                <c:pt idx="17">
                  <c:v>22.691275793164802</c:v>
                </c:pt>
                <c:pt idx="18">
                  <c:v>22.691275793164802</c:v>
                </c:pt>
              </c:numCache>
            </c:numRef>
          </c:xVal>
          <c:yVal>
            <c:numRef>
              <c:f>'Sref and POWER SIZING'!$L$3:$L$21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EA-4E02-8F3B-A256548DEFA7}"/>
            </c:ext>
          </c:extLst>
        </c:ser>
        <c:ser>
          <c:idx val="1"/>
          <c:order val="1"/>
          <c:tx>
            <c:v>Vmax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'Sref and POWER SIZING'!$J$3:$J$21</c:f>
              <c:numCache>
                <c:formatCode>General</c:formatCode>
                <c:ptCount val="1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</c:numCache>
            </c:numRef>
          </c:xVal>
          <c:yVal>
            <c:numRef>
              <c:f>'Sref and POWER SIZING'!$M$3:$M$21</c:f>
              <c:numCache>
                <c:formatCode>General</c:formatCode>
                <c:ptCount val="19"/>
                <c:pt idx="0">
                  <c:v>5.9652303733228687</c:v>
                </c:pt>
                <c:pt idx="1">
                  <c:v>7.0364434975735852</c:v>
                </c:pt>
                <c:pt idx="2">
                  <c:v>8.0473171688317677</c:v>
                </c:pt>
                <c:pt idx="3">
                  <c:v>8.9923464411419616</c:v>
                </c:pt>
                <c:pt idx="4">
                  <c:v>9.8676152655226055</c:v>
                </c:pt>
                <c:pt idx="5">
                  <c:v>10.670738984542657</c:v>
                </c:pt>
                <c:pt idx="6">
                  <c:v>11.400751554038822</c:v>
                </c:pt>
                <c:pt idx="7">
                  <c:v>12.057952491453994</c:v>
                </c:pt>
                <c:pt idx="8">
                  <c:v>12.643728672674166</c:v>
                </c:pt>
                <c:pt idx="9">
                  <c:v>13.160364845350191</c:v>
                </c:pt>
                <c:pt idx="10">
                  <c:v>13.610854561143658</c:v>
                </c:pt>
                <c:pt idx="11">
                  <c:v>13.998720608628165</c:v>
                </c:pt>
                <c:pt idx="12">
                  <c:v>14.327851336452301</c:v>
                </c:pt>
                <c:pt idx="13">
                  <c:v>14.6023567720315</c:v>
                </c:pt>
                <c:pt idx="14">
                  <c:v>14.826446334779522</c:v>
                </c:pt>
                <c:pt idx="15">
                  <c:v>15.004328290078879</c:v>
                </c:pt>
                <c:pt idx="16">
                  <c:v>15.140129894295233</c:v>
                </c:pt>
                <c:pt idx="17">
                  <c:v>15.237836398554945</c:v>
                </c:pt>
                <c:pt idx="18">
                  <c:v>15.301246640950101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EA-4E02-8F3B-A256548DEFA7}"/>
            </c:ext>
          </c:extLst>
        </c:ser>
        <c:ser>
          <c:idx val="2"/>
          <c:order val="2"/>
          <c:tx>
            <c:v>take-off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'Sref and POWER SIZING'!$J$3:$J$21</c:f>
              <c:numCache>
                <c:formatCode>General</c:formatCode>
                <c:ptCount val="1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</c:numCache>
            </c:numRef>
          </c:xVal>
          <c:yVal>
            <c:numRef>
              <c:f>'Sref and POWER SIZING'!$N$3:$N$21</c:f>
              <c:numCache>
                <c:formatCode>General</c:formatCode>
                <c:ptCount val="19"/>
                <c:pt idx="0">
                  <c:v>16.541215279703749</c:v>
                </c:pt>
                <c:pt idx="1">
                  <c:v>14.886334728245359</c:v>
                </c:pt>
                <c:pt idx="2">
                  <c:v>13.523077484133704</c:v>
                </c:pt>
                <c:pt idx="3">
                  <c:v>12.383603535730115</c:v>
                </c:pt>
                <c:pt idx="4">
                  <c:v>11.418410977207985</c:v>
                </c:pt>
                <c:pt idx="5">
                  <c:v>10.591090504674812</c:v>
                </c:pt>
                <c:pt idx="6">
                  <c:v>9.8744767383028762</c:v>
                </c:pt>
                <c:pt idx="7">
                  <c:v>9.2479801233750756</c:v>
                </c:pt>
                <c:pt idx="8">
                  <c:v>8.6957531647252182</c:v>
                </c:pt>
                <c:pt idx="9">
                  <c:v>8.2054209241285285</c:v>
                </c:pt>
                <c:pt idx="10">
                  <c:v>7.7671906829473611</c:v>
                </c:pt>
                <c:pt idx="11">
                  <c:v>7.373218206833914</c:v>
                </c:pt>
                <c:pt idx="12">
                  <c:v>7.0171498255612255</c:v>
                </c:pt>
                <c:pt idx="13">
                  <c:v>6.6937867018182562</c:v>
                </c:pt>
                <c:pt idx="14">
                  <c:v>6.3988352691898882</c:v>
                </c:pt>
                <c:pt idx="15">
                  <c:v>6.128719312797041</c:v>
                </c:pt>
                <c:pt idx="16">
                  <c:v>5.8804367542617344</c:v>
                </c:pt>
                <c:pt idx="17">
                  <c:v>5.6514492787417785</c:v>
                </c:pt>
                <c:pt idx="18">
                  <c:v>5.4395963840909678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EA-4E02-8F3B-A256548DEFA7}"/>
            </c:ext>
          </c:extLst>
        </c:ser>
        <c:ser>
          <c:idx val="3"/>
          <c:order val="3"/>
          <c:tx>
            <c:v>Rate of Climb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'Sref and POWER SIZING'!$J$3:$J$21</c:f>
              <c:numCache>
                <c:formatCode>General</c:formatCode>
                <c:ptCount val="1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</c:numCache>
            </c:numRef>
          </c:xVal>
          <c:yVal>
            <c:numRef>
              <c:f>'Sref and POWER SIZING'!$O$3:$O$21</c:f>
              <c:numCache>
                <c:formatCode>General</c:formatCode>
                <c:ptCount val="19"/>
                <c:pt idx="0">
                  <c:v>11.372662139759335</c:v>
                </c:pt>
                <c:pt idx="1">
                  <c:v>11.146812242070345</c:v>
                </c:pt>
                <c:pt idx="2">
                  <c:v>10.946897251967165</c:v>
                </c:pt>
                <c:pt idx="3">
                  <c:v>10.767158563544241</c:v>
                </c:pt>
                <c:pt idx="4">
                  <c:v>10.603637768998745</c:v>
                </c:pt>
                <c:pt idx="5">
                  <c:v>10.453481679267414</c:v>
                </c:pt>
                <c:pt idx="6">
                  <c:v>10.314557294808642</c:v>
                </c:pt>
                <c:pt idx="7">
                  <c:v>10.185223123211664</c:v>
                </c:pt>
                <c:pt idx="8">
                  <c:v>10.064185756262871</c:v>
                </c:pt>
                <c:pt idx="9">
                  <c:v>9.950405886181537</c:v>
                </c:pt>
                <c:pt idx="10">
                  <c:v>9.8430344527299312</c:v>
                </c:pt>
                <c:pt idx="11">
                  <c:v>9.7413679261082731</c:v>
                </c:pt>
                <c:pt idx="12">
                  <c:v>9.6448161720576824</c:v>
                </c:pt>
                <c:pt idx="13">
                  <c:v>9.5528788391841069</c:v>
                </c:pt>
                <c:pt idx="14">
                  <c:v>9.4651276686453283</c:v>
                </c:pt>
                <c:pt idx="15">
                  <c:v>9.3811930128354675</c:v>
                </c:pt>
                <c:pt idx="16">
                  <c:v>9.3007534051353691</c:v>
                </c:pt>
                <c:pt idx="17">
                  <c:v>9.2235273805659528</c:v>
                </c:pt>
                <c:pt idx="18">
                  <c:v>9.1492669833446509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EA-4E02-8F3B-A256548DEFA7}"/>
            </c:ext>
          </c:extLst>
        </c:ser>
        <c:ser>
          <c:idx val="4"/>
          <c:order val="4"/>
          <c:tx>
            <c:v>service ceiling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'Sref and POWER SIZING'!$J$3:$J$21</c:f>
              <c:numCache>
                <c:formatCode>General</c:formatCode>
                <c:ptCount val="19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</c:numCache>
            </c:numRef>
          </c:xVal>
          <c:yVal>
            <c:numRef>
              <c:f>'Sref and POWER SIZING'!$P$3:$P$21</c:f>
              <c:numCache>
                <c:formatCode>General</c:formatCode>
                <c:ptCount val="19"/>
                <c:pt idx="0">
                  <c:v>19.614367928784159</c:v>
                </c:pt>
                <c:pt idx="1">
                  <c:v>18.140884424406934</c:v>
                </c:pt>
                <c:pt idx="2">
                  <c:v>16.968649144764299</c:v>
                </c:pt>
                <c:pt idx="3">
                  <c:v>16.005964663954312</c:v>
                </c:pt>
                <c:pt idx="4">
                  <c:v>15.196234591244123</c:v>
                </c:pt>
                <c:pt idx="5">
                  <c:v>14.50232001975658</c:v>
                </c:pt>
                <c:pt idx="6">
                  <c:v>13.898672845219135</c:v>
                </c:pt>
                <c:pt idx="7">
                  <c:v>13.367046651179882</c:v>
                </c:pt>
                <c:pt idx="8">
                  <c:v>12.894005397703371</c:v>
                </c:pt>
                <c:pt idx="9">
                  <c:v>12.469400646682477</c:v>
                </c:pt>
                <c:pt idx="10">
                  <c:v>12.085400830020811</c:v>
                </c:pt>
                <c:pt idx="11">
                  <c:v>11.735850207133192</c:v>
                </c:pt>
                <c:pt idx="12">
                  <c:v>11.415832620154129</c:v>
                </c:pt>
                <c:pt idx="13">
                  <c:v>11.121366818975361</c:v>
                </c:pt>
                <c:pt idx="14">
                  <c:v>10.849188808898075</c:v>
                </c:pt>
                <c:pt idx="15">
                  <c:v>10.596593240646582</c:v>
                </c:pt>
                <c:pt idx="16">
                  <c:v>10.361315768674528</c:v>
                </c:pt>
                <c:pt idx="17">
                  <c:v>10.14144440971473</c:v>
                </c:pt>
                <c:pt idx="18">
                  <c:v>9.9353517998216496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EA-4E02-8F3B-A256548DE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11600"/>
        <c:axId val="345913776"/>
      </c:scatterChart>
      <c:valAx>
        <c:axId val="34591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+mj-lt"/>
                  </a:rPr>
                  <a:t>WING LOADING,</a:t>
                </a:r>
                <a:r>
                  <a:rPr lang="en-US" sz="1100" baseline="0">
                    <a:latin typeface="+mj-lt"/>
                  </a:rPr>
                  <a:t> lb/ft</a:t>
                </a:r>
                <a:r>
                  <a:rPr lang="en-US" sz="1100" baseline="30000">
                    <a:latin typeface="+mj-lt"/>
                  </a:rPr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13776"/>
        <c:crosses val="autoZero"/>
        <c:crossBetween val="midCat"/>
      </c:valAx>
      <c:valAx>
        <c:axId val="3459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latin typeface="+mj-lt"/>
                  </a:rPr>
                  <a:t>POWER LOADING, lb/hp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11600"/>
        <c:crosses val="autoZero"/>
        <c:crossBetween val="midCat"/>
        <c:majorUnit val="1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74212700859194"/>
          <c:y val="0.18192129901672741"/>
          <c:w val="0.13489032867581255"/>
          <c:h val="0.22866008820176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6">
          <a:lumMod val="60000"/>
          <a:lumOff val="40000"/>
        </a:schemeClr>
      </a:solidFill>
      <a:round/>
    </a:ln>
    <a:effectLst>
      <a:glow rad="101600">
        <a:schemeClr val="accent6">
          <a:satMod val="175000"/>
          <a:alpha val="40000"/>
        </a:schemeClr>
      </a:glow>
      <a:outerShdw blurRad="50800" dist="38100" dir="16200000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 prst="angle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Constraint</a:t>
            </a:r>
            <a:r>
              <a:rPr lang="en-US" baseline="0"/>
              <a:t> Diagram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3094726795515"/>
          <c:y val="8.5018562601340483E-2"/>
          <c:w val="0.83146027201145301"/>
          <c:h val="0.78140175800282918"/>
        </c:manualLayout>
      </c:layout>
      <c:scatterChart>
        <c:scatterStyle val="smoothMarker"/>
        <c:varyColors val="0"/>
        <c:ser>
          <c:idx val="1"/>
          <c:order val="0"/>
          <c:tx>
            <c:v>climb requiremnt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'PERFORMANCE SIZING '!$J$44:$J$57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'PERFORMANCE SIZING '!$N$44:$N$57</c:f>
              <c:numCache>
                <c:formatCode>General</c:formatCode>
                <c:ptCount val="14"/>
                <c:pt idx="0">
                  <c:v>0.29311047760535158</c:v>
                </c:pt>
                <c:pt idx="1">
                  <c:v>0.27817990977052898</c:v>
                </c:pt>
                <c:pt idx="2">
                  <c:v>0.27130765964645892</c:v>
                </c:pt>
                <c:pt idx="3">
                  <c:v>0.26846456837776511</c:v>
                </c:pt>
                <c:pt idx="4">
                  <c:v>0.26792385359785764</c:v>
                </c:pt>
                <c:pt idx="5">
                  <c:v>0.26882212412344175</c:v>
                </c:pt>
                <c:pt idx="6">
                  <c:v>0.27067971818602021</c:v>
                </c:pt>
                <c:pt idx="7">
                  <c:v>0.2732088387244947</c:v>
                </c:pt>
                <c:pt idx="8">
                  <c:v>0.2762263421545299</c:v>
                </c:pt>
                <c:pt idx="9">
                  <c:v>0.27961013275323571</c:v>
                </c:pt>
                <c:pt idx="10">
                  <c:v>0.28327568271245729</c:v>
                </c:pt>
                <c:pt idx="11">
                  <c:v>0.28716261502636997</c:v>
                </c:pt>
                <c:pt idx="12">
                  <c:v>0.29122665322403535</c:v>
                </c:pt>
                <c:pt idx="13">
                  <c:v>0.29543458995224992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44-4394-BD3A-C9A86E213EF5}"/>
            </c:ext>
          </c:extLst>
        </c:ser>
        <c:ser>
          <c:idx val="2"/>
          <c:order val="1"/>
          <c:tx>
            <c:v>T-O Requirement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'PERFORMANCE SIZING '!$J$44:$J$57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'PERFORMANCE SIZING '!$P$44:$P$57</c:f>
              <c:numCache>
                <c:formatCode>General</c:formatCode>
                <c:ptCount val="14"/>
                <c:pt idx="0">
                  <c:v>0.37626656394620062</c:v>
                </c:pt>
                <c:pt idx="1">
                  <c:v>0.34760589694927596</c:v>
                </c:pt>
                <c:pt idx="2">
                  <c:v>0.33040949675112113</c:v>
                </c:pt>
                <c:pt idx="3">
                  <c:v>0.31894522995235125</c:v>
                </c:pt>
                <c:pt idx="4">
                  <c:v>0.31075646795322992</c:v>
                </c:pt>
                <c:pt idx="5">
                  <c:v>0.30461489645388889</c:v>
                </c:pt>
                <c:pt idx="6">
                  <c:v>0.29983811862106818</c:v>
                </c:pt>
                <c:pt idx="7">
                  <c:v>0.29601669635481148</c:v>
                </c:pt>
                <c:pt idx="8">
                  <c:v>0.29289007813696516</c:v>
                </c:pt>
                <c:pt idx="9">
                  <c:v>0.29028456295542654</c:v>
                </c:pt>
                <c:pt idx="10">
                  <c:v>0.2880798962633554</c:v>
                </c:pt>
                <c:pt idx="11">
                  <c:v>0.28619018195586587</c:v>
                </c:pt>
                <c:pt idx="12">
                  <c:v>0.2845524295560416</c:v>
                </c:pt>
                <c:pt idx="13">
                  <c:v>0.28311939620619536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44-4394-BD3A-C9A86E213EF5}"/>
            </c:ext>
          </c:extLst>
        </c:ser>
        <c:ser>
          <c:idx val="3"/>
          <c:order val="2"/>
          <c:tx>
            <c:v>Airspeed Requirement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'PERFORMANCE SIZING '!$J$44:$J$57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'PERFORMANCE SIZING '!$R$44:$R$57</c:f>
              <c:numCache>
                <c:formatCode>General</c:formatCode>
                <c:ptCount val="14"/>
                <c:pt idx="0">
                  <c:v>0.21223057505197496</c:v>
                </c:pt>
                <c:pt idx="1">
                  <c:v>0.16274112823251796</c:v>
                </c:pt>
                <c:pt idx="2">
                  <c:v>0.13386304801365217</c:v>
                </c:pt>
                <c:pt idx="3">
                  <c:v>0.11529065109508199</c:v>
                </c:pt>
                <c:pt idx="4">
                  <c:v>0.10260721606239499</c:v>
                </c:pt>
                <c:pt idx="5">
                  <c:v>9.3604382208385004E-2</c:v>
                </c:pt>
                <c:pt idx="6">
                  <c:v>8.7055282473493006E-2</c:v>
                </c:pt>
                <c:pt idx="7">
                  <c:v>8.2223796621983619E-2</c:v>
                </c:pt>
                <c:pt idx="8">
                  <c:v>7.8641484503843381E-2</c:v>
                </c:pt>
                <c:pt idx="9">
                  <c:v>7.5996052685730023E-2</c:v>
                </c:pt>
                <c:pt idx="10">
                  <c:v>7.4071298021483489E-2</c:v>
                </c:pt>
                <c:pt idx="11">
                  <c:v>7.2712789692418026E-2</c:v>
                </c:pt>
                <c:pt idx="12">
                  <c:v>7.1807278431497437E-2</c:v>
                </c:pt>
                <c:pt idx="13">
                  <c:v>7.126982728844454E-2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44-4394-BD3A-C9A86E213EF5}"/>
            </c:ext>
          </c:extLst>
        </c:ser>
        <c:ser>
          <c:idx val="4"/>
          <c:order val="3"/>
          <c:tx>
            <c:v>Service Ceiling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'PERFORMANCE SIZING '!$J$44:$J$57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'PERFORMANCE SIZING '!$S$44:$S$57</c:f>
              <c:numCache>
                <c:formatCode>General</c:formatCode>
                <c:ptCount val="14"/>
                <c:pt idx="0">
                  <c:v>9.9424243944484875E-2</c:v>
                </c:pt>
                <c:pt idx="1">
                  <c:v>9.7089962278138944E-2</c:v>
                </c:pt>
                <c:pt idx="2">
                  <c:v>9.5496970585315005E-2</c:v>
                </c:pt>
                <c:pt idx="3">
                  <c:v>9.4321072968897496E-2</c:v>
                </c:pt>
                <c:pt idx="4">
                  <c:v>9.3407165873137771E-2</c:v>
                </c:pt>
                <c:pt idx="5">
                  <c:v>9.2670486573424846E-2</c:v>
                </c:pt>
                <c:pt idx="6">
                  <c:v>9.2060284314934529E-2</c:v>
                </c:pt>
                <c:pt idx="7">
                  <c:v>9.1544071345055211E-2</c:v>
                </c:pt>
                <c:pt idx="8">
                  <c:v>9.1099958181399168E-2</c:v>
                </c:pt>
                <c:pt idx="9">
                  <c:v>9.0712586166505293E-2</c:v>
                </c:pt>
                <c:pt idx="10">
                  <c:v>9.0370818447943299E-2</c:v>
                </c:pt>
                <c:pt idx="11">
                  <c:v>9.0066356261719091E-2</c:v>
                </c:pt>
                <c:pt idx="12">
                  <c:v>8.979287198383655E-2</c:v>
                </c:pt>
                <c:pt idx="13">
                  <c:v>8.9545445333332321E-2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44-4394-BD3A-C9A86E213EF5}"/>
            </c:ext>
          </c:extLst>
        </c:ser>
        <c:ser>
          <c:idx val="5"/>
          <c:order val="4"/>
          <c:tx>
            <c:v>desired w/s</c:v>
          </c:tx>
          <c:spPr>
            <a:ln w="28575" cap="rnd">
              <a:solidFill>
                <a:schemeClr val="accent6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'PERFORMANCE SIZING '!$T$44:$T$57</c:f>
              <c:numCache>
                <c:formatCode>General</c:formatCode>
                <c:ptCount val="14"/>
                <c:pt idx="0">
                  <c:v>22.691275793164802</c:v>
                </c:pt>
                <c:pt idx="1">
                  <c:v>22.691275793164802</c:v>
                </c:pt>
                <c:pt idx="2">
                  <c:v>22.691275793164802</c:v>
                </c:pt>
                <c:pt idx="3">
                  <c:v>22.691275793164802</c:v>
                </c:pt>
                <c:pt idx="4">
                  <c:v>22.691275793164802</c:v>
                </c:pt>
                <c:pt idx="5">
                  <c:v>22.691275793164802</c:v>
                </c:pt>
                <c:pt idx="6">
                  <c:v>22.691275793164802</c:v>
                </c:pt>
                <c:pt idx="7">
                  <c:v>22.691275793164802</c:v>
                </c:pt>
                <c:pt idx="8">
                  <c:v>22.691275793164802</c:v>
                </c:pt>
                <c:pt idx="9">
                  <c:v>22.691275793164802</c:v>
                </c:pt>
                <c:pt idx="10">
                  <c:v>22.691275793164802</c:v>
                </c:pt>
                <c:pt idx="11">
                  <c:v>22.691275793164802</c:v>
                </c:pt>
                <c:pt idx="12">
                  <c:v>22.691275793164802</c:v>
                </c:pt>
                <c:pt idx="13">
                  <c:v>22.691275793164802</c:v>
                </c:pt>
              </c:numCache>
            </c:numRef>
          </c:xVal>
          <c:yVal>
            <c:numRef>
              <c:f>'PERFORMANCE SIZING '!$U$44:$U$57</c:f>
              <c:numCache>
                <c:formatCode>General</c:formatCode>
                <c:ptCount val="14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0.30000000000000004</c:v>
                </c:pt>
                <c:pt idx="11">
                  <c:v>0.33000000000000007</c:v>
                </c:pt>
                <c:pt idx="12">
                  <c:v>0.3600000000000001</c:v>
                </c:pt>
                <c:pt idx="13">
                  <c:v>0.39000000000000012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44-4394-BD3A-C9A86E213EF5}"/>
            </c:ext>
          </c:extLst>
        </c:ser>
        <c:ser>
          <c:idx val="0"/>
          <c:order val="5"/>
          <c:tx>
            <c:v>turn requirment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'PERFORMANCE SIZING '!$J$44:$J$57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'PERFORMANCE SIZING '!$L$44:$L$57</c:f>
              <c:numCache>
                <c:formatCode>General</c:formatCode>
                <c:ptCount val="14"/>
                <c:pt idx="0">
                  <c:v>0.21810280773619545</c:v>
                </c:pt>
                <c:pt idx="1">
                  <c:v>0.17057077181147862</c:v>
                </c:pt>
                <c:pt idx="2">
                  <c:v>0.14365010248735299</c:v>
                </c:pt>
                <c:pt idx="3">
                  <c:v>0.12703511646352297</c:v>
                </c:pt>
                <c:pt idx="4">
                  <c:v>0.11630909232557614</c:v>
                </c:pt>
                <c:pt idx="5">
                  <c:v>0.1092636693663063</c:v>
                </c:pt>
                <c:pt idx="6">
                  <c:v>0.10467198052615447</c:v>
                </c:pt>
                <c:pt idx="7">
                  <c:v>0.10179790556938524</c:v>
                </c:pt>
                <c:pt idx="8">
                  <c:v>0.10017300434598517</c:v>
                </c:pt>
                <c:pt idx="9">
                  <c:v>9.9484983422611958E-2</c:v>
                </c:pt>
                <c:pt idx="10">
                  <c:v>9.9517639653105602E-2</c:v>
                </c:pt>
                <c:pt idx="11">
                  <c:v>0.10011654221878032</c:v>
                </c:pt>
                <c:pt idx="12">
                  <c:v>0.10116844185259988</c:v>
                </c:pt>
                <c:pt idx="13">
                  <c:v>0.10258840160428714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44-4394-BD3A-C9A86E213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06704"/>
        <c:axId val="345907248"/>
      </c:scatterChart>
      <c:valAx>
        <c:axId val="34590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Wing</a:t>
                </a:r>
                <a:r>
                  <a:rPr lang="en-US" baseline="0"/>
                  <a:t> Loading, W/S in lbf/ft</a:t>
                </a:r>
                <a:r>
                  <a:rPr lang="en-US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07248"/>
        <c:crosses val="autoZero"/>
        <c:crossBetween val="midCat"/>
      </c:valAx>
      <c:valAx>
        <c:axId val="34590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</a:t>
                </a:r>
                <a:r>
                  <a:rPr lang="en-US" baseline="0"/>
                  <a:t> Loading, T/W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906704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102223017577346"/>
          <c:y val="3.9448849900593795E-2"/>
          <c:w val="0.30256362841008511"/>
          <c:h val="0.373446542955454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BHP and Stall Speed</a:t>
            </a:r>
            <a:r>
              <a:rPr lang="en-US" baseline="0"/>
              <a:t> Requirements - Normalised to S-L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6956633132355"/>
          <c:y val="7.1378211445395898E-2"/>
          <c:w val="0.7929331306471723"/>
          <c:h val="0.81876918872494397"/>
        </c:manualLayout>
      </c:layout>
      <c:scatterChart>
        <c:scatterStyle val="smoothMarker"/>
        <c:varyColors val="0"/>
        <c:ser>
          <c:idx val="0"/>
          <c:order val="0"/>
          <c:tx>
            <c:v>Turn Requirement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'PERFORMANCE SIZING '!$J$44:$J$57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'PERFORMANCE SIZING '!$W$44:$W$57</c:f>
              <c:numCache>
                <c:formatCode>General</c:formatCode>
                <c:ptCount val="14"/>
                <c:pt idx="0">
                  <c:v>1038.377140268921</c:v>
                </c:pt>
                <c:pt idx="1">
                  <c:v>812.07936791577708</c:v>
                </c:pt>
                <c:pt idx="2">
                  <c:v>683.91133598139641</c:v>
                </c:pt>
                <c:pt idx="3">
                  <c:v>604.80817425639691</c:v>
                </c:pt>
                <c:pt idx="4">
                  <c:v>553.74208122247262</c:v>
                </c:pt>
                <c:pt idx="5">
                  <c:v>520.19915612047032</c:v>
                </c:pt>
                <c:pt idx="6">
                  <c:v>498.33834297308277</c:v>
                </c:pt>
                <c:pt idx="7">
                  <c:v>484.65500819392537</c:v>
                </c:pt>
                <c:pt idx="8">
                  <c:v>476.91893040984456</c:v>
                </c:pt>
                <c:pt idx="9">
                  <c:v>473.64329537207107</c:v>
                </c:pt>
                <c:pt idx="10">
                  <c:v>473.7987701391495</c:v>
                </c:pt>
                <c:pt idx="11">
                  <c:v>476.65011689575442</c:v>
                </c:pt>
                <c:pt idx="12">
                  <c:v>481.65816124398054</c:v>
                </c:pt>
                <c:pt idx="13">
                  <c:v>488.41852238539877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BD-4F26-9961-D9AF7FC3B2EB}"/>
            </c:ext>
          </c:extLst>
        </c:ser>
        <c:ser>
          <c:idx val="1"/>
          <c:order val="1"/>
          <c:tx>
            <c:v>Climb Requirement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'PERFORMANCE SIZING '!$J$44:$J$57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'PERFORMANCE SIZING '!$Y$44:$Y$57</c:f>
              <c:numCache>
                <c:formatCode>General</c:formatCode>
                <c:ptCount val="14"/>
                <c:pt idx="0">
                  <c:v>527.83488319623984</c:v>
                </c:pt>
                <c:pt idx="1">
                  <c:v>500.94783844256142</c:v>
                </c:pt>
                <c:pt idx="2">
                  <c:v>488.57225442670148</c:v>
                </c:pt>
                <c:pt idx="3">
                  <c:v>483.45240077975069</c:v>
                </c:pt>
                <c:pt idx="4">
                  <c:v>482.47867877217652</c:v>
                </c:pt>
                <c:pt idx="5">
                  <c:v>484.09628903921271</c:v>
                </c:pt>
                <c:pt idx="6">
                  <c:v>487.44145415598922</c:v>
                </c:pt>
                <c:pt idx="7">
                  <c:v>491.99590766758388</c:v>
                </c:pt>
                <c:pt idx="8">
                  <c:v>497.42984364813731</c:v>
                </c:pt>
                <c:pt idx="9">
                  <c:v>503.5233914804096</c:v>
                </c:pt>
                <c:pt idx="10">
                  <c:v>510.12433304477349</c:v>
                </c:pt>
                <c:pt idx="11">
                  <c:v>517.12394111292372</c:v>
                </c:pt>
                <c:pt idx="12">
                  <c:v>524.44248238410273</c:v>
                </c:pt>
                <c:pt idx="13">
                  <c:v>532.02015688274298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BD-4F26-9961-D9AF7FC3B2EB}"/>
            </c:ext>
          </c:extLst>
        </c:ser>
        <c:ser>
          <c:idx val="2"/>
          <c:order val="2"/>
          <c:tx>
            <c:v>T-O Requirement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'PERFORMANCE SIZING '!$J$44:$J$57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'PERFORMANCE SIZING '!$AA$44:$AA$57</c:f>
              <c:numCache>
                <c:formatCode>General</c:formatCode>
                <c:ptCount val="14"/>
                <c:pt idx="0">
                  <c:v>604.53940538966685</c:v>
                </c:pt>
                <c:pt idx="1">
                  <c:v>558.49092740991875</c:v>
                </c:pt>
                <c:pt idx="2">
                  <c:v>530.86184062206996</c:v>
                </c:pt>
                <c:pt idx="3">
                  <c:v>512.44244943017065</c:v>
                </c:pt>
                <c:pt idx="4">
                  <c:v>499.28574143595688</c:v>
                </c:pt>
                <c:pt idx="5">
                  <c:v>489.4182104402966</c:v>
                </c:pt>
                <c:pt idx="6">
                  <c:v>481.74346411033866</c:v>
                </c:pt>
                <c:pt idx="7">
                  <c:v>475.6036670463721</c:v>
                </c:pt>
                <c:pt idx="8">
                  <c:v>470.58019672130871</c:v>
                </c:pt>
                <c:pt idx="9">
                  <c:v>466.3939714504225</c:v>
                </c:pt>
                <c:pt idx="10">
                  <c:v>462.85178083659571</c:v>
                </c:pt>
                <c:pt idx="11">
                  <c:v>459.81561745331567</c:v>
                </c:pt>
                <c:pt idx="12">
                  <c:v>457.1842758544729</c:v>
                </c:pt>
                <c:pt idx="13">
                  <c:v>454.88185195548544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BD-4F26-9961-D9AF7FC3B2EB}"/>
            </c:ext>
          </c:extLst>
        </c:ser>
        <c:ser>
          <c:idx val="3"/>
          <c:order val="3"/>
          <c:tx>
            <c:v>Airspeed Requirement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'PERFORMANCE SIZING '!$J$44:$J$57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'PERFORMANCE SIZING '!$AC$44:$AC$57</c:f>
              <c:numCache>
                <c:formatCode>General</c:formatCode>
                <c:ptCount val="14"/>
                <c:pt idx="0">
                  <c:v>1010.4197185148194</c:v>
                </c:pt>
                <c:pt idx="1">
                  <c:v>774.80280557697483</c:v>
                </c:pt>
                <c:pt idx="2">
                  <c:v>637.31563305789348</c:v>
                </c:pt>
                <c:pt idx="3">
                  <c:v>548.89333074819365</c:v>
                </c:pt>
                <c:pt idx="4">
                  <c:v>488.5080971295688</c:v>
                </c:pt>
                <c:pt idx="5">
                  <c:v>445.64603144286599</c:v>
                </c:pt>
                <c:pt idx="6">
                  <c:v>414.46607771077777</c:v>
                </c:pt>
                <c:pt idx="7">
                  <c:v>391.46360234691986</c:v>
                </c:pt>
                <c:pt idx="8">
                  <c:v>374.40838397813843</c:v>
                </c:pt>
                <c:pt idx="9">
                  <c:v>361.81360835566454</c:v>
                </c:pt>
                <c:pt idx="10">
                  <c:v>352.64994253804235</c:v>
                </c:pt>
                <c:pt idx="11">
                  <c:v>346.18214870994666</c:v>
                </c:pt>
                <c:pt idx="12">
                  <c:v>341.87105247347222</c:v>
                </c:pt>
                <c:pt idx="13">
                  <c:v>339.31227303018989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BD-4F26-9961-D9AF7FC3B2EB}"/>
            </c:ext>
          </c:extLst>
        </c:ser>
        <c:ser>
          <c:idx val="4"/>
          <c:order val="4"/>
          <c:tx>
            <c:v>service ceiling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'PERFORMANCE SIZING '!$J$44:$J$57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</c:numCache>
            </c:numRef>
          </c:xVal>
          <c:yVal>
            <c:numRef>
              <c:f>'PERFORMANCE SIZING '!$AE$44:$AE$57</c:f>
              <c:numCache>
                <c:formatCode>General</c:formatCode>
                <c:ptCount val="14"/>
                <c:pt idx="0">
                  <c:v>477.13351175036479</c:v>
                </c:pt>
                <c:pt idx="1">
                  <c:v>465.93137467904836</c:v>
                </c:pt>
                <c:pt idx="2">
                  <c:v>458.28666258035094</c:v>
                </c:pt>
                <c:pt idx="3">
                  <c:v>452.64357054443428</c:v>
                </c:pt>
                <c:pt idx="4">
                  <c:v>448.25776196582541</c:v>
                </c:pt>
                <c:pt idx="5">
                  <c:v>444.72246345752507</c:v>
                </c:pt>
                <c:pt idx="6">
                  <c:v>441.79412390048446</c:v>
                </c:pt>
                <c:pt idx="7">
                  <c:v>439.31683569231734</c:v>
                </c:pt>
                <c:pt idx="8">
                  <c:v>437.18555196328953</c:v>
                </c:pt>
                <c:pt idx="9">
                  <c:v>435.32656704686082</c:v>
                </c:pt>
                <c:pt idx="10">
                  <c:v>433.68643557297753</c:v>
                </c:pt>
                <c:pt idx="11">
                  <c:v>432.2253320599404</c:v>
                </c:pt>
                <c:pt idx="12">
                  <c:v>430.91289045880058</c:v>
                </c:pt>
                <c:pt idx="13">
                  <c:v>429.72549851120243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BD-4F26-9961-D9AF7FC3B2EB}"/>
            </c:ext>
          </c:extLst>
        </c:ser>
        <c:ser>
          <c:idx val="5"/>
          <c:order val="5"/>
          <c:tx>
            <c:v>desired w/s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'PERFORMANCE SIZING '!$AF$44:$AF$57</c:f>
              <c:numCache>
                <c:formatCode>General</c:formatCode>
                <c:ptCount val="14"/>
                <c:pt idx="0">
                  <c:v>22.691275793164802</c:v>
                </c:pt>
                <c:pt idx="1">
                  <c:v>22.691275793164802</c:v>
                </c:pt>
                <c:pt idx="2">
                  <c:v>22.691275793164802</c:v>
                </c:pt>
                <c:pt idx="3">
                  <c:v>22.691275793164802</c:v>
                </c:pt>
                <c:pt idx="4">
                  <c:v>22.691275793164802</c:v>
                </c:pt>
                <c:pt idx="5">
                  <c:v>22.691275793164802</c:v>
                </c:pt>
                <c:pt idx="6">
                  <c:v>22.691275793164802</c:v>
                </c:pt>
                <c:pt idx="7">
                  <c:v>22.691275793164802</c:v>
                </c:pt>
                <c:pt idx="8">
                  <c:v>22.691275793164802</c:v>
                </c:pt>
                <c:pt idx="9">
                  <c:v>22.691275793164802</c:v>
                </c:pt>
                <c:pt idx="10">
                  <c:v>22.691275793164802</c:v>
                </c:pt>
                <c:pt idx="11">
                  <c:v>22.691275793164802</c:v>
                </c:pt>
                <c:pt idx="12">
                  <c:v>22.691275793164802</c:v>
                </c:pt>
                <c:pt idx="13">
                  <c:v>22.691275793164802</c:v>
                </c:pt>
              </c:numCache>
            </c:numRef>
          </c:xVal>
          <c:yVal>
            <c:numRef>
              <c:f>'PERFORMANCE SIZING '!$AG$44:$AG$57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BBD-4F26-9961-D9AF7FC3B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59056"/>
        <c:axId val="546446544"/>
      </c:scatterChart>
      <c:valAx>
        <c:axId val="54645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WING</a:t>
                </a:r>
                <a:r>
                  <a:rPr lang="en-US" sz="1400" baseline="0"/>
                  <a:t> lOADING, W/S in lbf/ft</a:t>
                </a:r>
                <a:r>
                  <a:rPr lang="en-US" sz="1400" baseline="30000"/>
                  <a:t>2</a:t>
                </a:r>
              </a:p>
            </c:rich>
          </c:tx>
          <c:layout>
            <c:manualLayout>
              <c:xMode val="edge"/>
              <c:yMode val="edge"/>
              <c:x val="0.37385166382457385"/>
              <c:y val="0.93148362043463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46544"/>
        <c:crosses val="autoZero"/>
        <c:crossBetween val="midCat"/>
      </c:valAx>
      <c:valAx>
        <c:axId val="5464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Brake-horsepower</a:t>
                </a:r>
                <a:r>
                  <a:rPr lang="en-US" sz="1600" baseline="0"/>
                  <a:t> Required, BHP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4056535774676757E-2"/>
              <c:y val="0.22990406017048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59056"/>
        <c:crosses val="autoZero"/>
        <c:crossBetween val="midCat"/>
        <c:majorUnit val="50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3868686696155"/>
          <c:y val="4.5012682796392131E-2"/>
          <c:w val="0.20031905990059268"/>
          <c:h val="0.55939618044981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+mj-lt"/>
              </a:rPr>
              <a:t>V-n</a:t>
            </a:r>
            <a:r>
              <a:rPr lang="en-US" sz="1800" b="1" baseline="0">
                <a:latin typeface="+mj-lt"/>
              </a:rPr>
              <a:t> Diagram</a:t>
            </a:r>
            <a:endParaRPr lang="en-US" sz="1800" b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087844951584449E-2"/>
          <c:y val="0.11703697715564904"/>
          <c:w val="0.87739593991429032"/>
          <c:h val="0.79148141955868256"/>
        </c:manualLayout>
      </c:layout>
      <c:scatterChart>
        <c:scatterStyle val="smoothMarker"/>
        <c:varyColors val="0"/>
        <c:ser>
          <c:idx val="0"/>
          <c:order val="0"/>
          <c:tx>
            <c:v>upper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'V-n'!$E$36:$E$49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61</c:v>
                </c:pt>
                <c:pt idx="4">
                  <c:v>66.822183055558398</c:v>
                </c:pt>
                <c:pt idx="5">
                  <c:v>82.383920187328101</c:v>
                </c:pt>
                <c:pt idx="6">
                  <c:v>118.91094624262631</c:v>
                </c:pt>
                <c:pt idx="7">
                  <c:v>120</c:v>
                </c:pt>
                <c:pt idx="8">
                  <c:v>140</c:v>
                </c:pt>
                <c:pt idx="9">
                  <c:v>170</c:v>
                </c:pt>
                <c:pt idx="10">
                  <c:v>175</c:v>
                </c:pt>
                <c:pt idx="11">
                  <c:v>180</c:v>
                </c:pt>
                <c:pt idx="12">
                  <c:v>190</c:v>
                </c:pt>
                <c:pt idx="13">
                  <c:v>196</c:v>
                </c:pt>
              </c:numCache>
            </c:numRef>
          </c:xVal>
          <c:yVal>
            <c:numRef>
              <c:f>'V-n'!$H$36:$H$42</c:f>
              <c:numCache>
                <c:formatCode>General</c:formatCode>
                <c:ptCount val="7"/>
                <c:pt idx="0">
                  <c:v>0</c:v>
                </c:pt>
                <c:pt idx="1">
                  <c:v>0.1074978845438929</c:v>
                </c:pt>
                <c:pt idx="2">
                  <c:v>0.42999153817557162</c:v>
                </c:pt>
                <c:pt idx="3">
                  <c:v>0.99999907096956386</c:v>
                </c:pt>
                <c:pt idx="4">
                  <c:v>1.1999999999999995</c:v>
                </c:pt>
                <c:pt idx="5">
                  <c:v>1.8239999999999998</c:v>
                </c:pt>
                <c:pt idx="6">
                  <c:v>3.8000000000000003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2-4CBF-AF03-CFDFF744D13B}"/>
            </c:ext>
          </c:extLst>
        </c:ser>
        <c:ser>
          <c:idx val="1"/>
          <c:order val="1"/>
          <c:tx>
            <c:v>upper staright 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'V-n'!$E$42:$E$49</c:f>
              <c:numCache>
                <c:formatCode>General</c:formatCode>
                <c:ptCount val="8"/>
                <c:pt idx="0">
                  <c:v>118.91094624262631</c:v>
                </c:pt>
                <c:pt idx="1">
                  <c:v>120</c:v>
                </c:pt>
                <c:pt idx="2">
                  <c:v>140</c:v>
                </c:pt>
                <c:pt idx="3">
                  <c:v>170</c:v>
                </c:pt>
                <c:pt idx="4">
                  <c:v>175</c:v>
                </c:pt>
                <c:pt idx="5">
                  <c:v>180</c:v>
                </c:pt>
                <c:pt idx="6">
                  <c:v>190</c:v>
                </c:pt>
                <c:pt idx="7">
                  <c:v>196</c:v>
                </c:pt>
              </c:numCache>
            </c:numRef>
          </c:xVal>
          <c:yVal>
            <c:numRef>
              <c:f>'V-n'!$H$42:$H$49</c:f>
              <c:numCache>
                <c:formatCode>General</c:formatCode>
                <c:ptCount val="8"/>
                <c:pt idx="0">
                  <c:v>3.8000000000000003</c:v>
                </c:pt>
                <c:pt idx="1">
                  <c:v>3.8000000000000003</c:v>
                </c:pt>
                <c:pt idx="2">
                  <c:v>3.8000000000000003</c:v>
                </c:pt>
                <c:pt idx="3">
                  <c:v>3.8000000000000003</c:v>
                </c:pt>
                <c:pt idx="4">
                  <c:v>3.8000000000000003</c:v>
                </c:pt>
                <c:pt idx="5">
                  <c:v>3.8000000000000003</c:v>
                </c:pt>
                <c:pt idx="6">
                  <c:v>3.8000000000000003</c:v>
                </c:pt>
                <c:pt idx="7">
                  <c:v>3.8000000000000003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2-4CBF-AF03-CFDFF744D13B}"/>
            </c:ext>
          </c:extLst>
        </c:ser>
        <c:ser>
          <c:idx val="2"/>
          <c:order val="2"/>
          <c:tx>
            <c:v>lower curve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'V-n'!$E$36:$E$49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61</c:v>
                </c:pt>
                <c:pt idx="4">
                  <c:v>66.822183055558398</c:v>
                </c:pt>
                <c:pt idx="5">
                  <c:v>82.383920187328101</c:v>
                </c:pt>
                <c:pt idx="6">
                  <c:v>118.91094624262631</c:v>
                </c:pt>
                <c:pt idx="7">
                  <c:v>120</c:v>
                </c:pt>
                <c:pt idx="8">
                  <c:v>140</c:v>
                </c:pt>
                <c:pt idx="9">
                  <c:v>170</c:v>
                </c:pt>
                <c:pt idx="10">
                  <c:v>175</c:v>
                </c:pt>
                <c:pt idx="11">
                  <c:v>180</c:v>
                </c:pt>
                <c:pt idx="12">
                  <c:v>190</c:v>
                </c:pt>
                <c:pt idx="13">
                  <c:v>196</c:v>
                </c:pt>
              </c:numCache>
            </c:numRef>
          </c:xVal>
          <c:yVal>
            <c:numRef>
              <c:f>'V-n'!$J$36:$J$41</c:f>
              <c:numCache>
                <c:formatCode>General</c:formatCode>
                <c:ptCount val="6"/>
                <c:pt idx="0">
                  <c:v>0</c:v>
                </c:pt>
                <c:pt idx="1">
                  <c:v>-8.9581570453244094E-2</c:v>
                </c:pt>
                <c:pt idx="2">
                  <c:v>-0.35832628181297638</c:v>
                </c:pt>
                <c:pt idx="3">
                  <c:v>-0.83333255914130333</c:v>
                </c:pt>
                <c:pt idx="4">
                  <c:v>-0.99999999999999967</c:v>
                </c:pt>
                <c:pt idx="5">
                  <c:v>-1.52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52-4CBF-AF03-CFDFF744D13B}"/>
            </c:ext>
          </c:extLst>
        </c:ser>
        <c:ser>
          <c:idx val="3"/>
          <c:order val="3"/>
          <c:tx>
            <c:v>lower straight line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'V-n'!$E$41:$E$49</c:f>
              <c:numCache>
                <c:formatCode>General</c:formatCode>
                <c:ptCount val="9"/>
                <c:pt idx="0">
                  <c:v>82.383920187328101</c:v>
                </c:pt>
                <c:pt idx="1">
                  <c:v>118.91094624262631</c:v>
                </c:pt>
                <c:pt idx="2">
                  <c:v>120</c:v>
                </c:pt>
                <c:pt idx="3">
                  <c:v>140</c:v>
                </c:pt>
                <c:pt idx="4">
                  <c:v>170</c:v>
                </c:pt>
                <c:pt idx="5">
                  <c:v>175</c:v>
                </c:pt>
                <c:pt idx="6">
                  <c:v>180</c:v>
                </c:pt>
                <c:pt idx="7">
                  <c:v>190</c:v>
                </c:pt>
                <c:pt idx="8">
                  <c:v>196</c:v>
                </c:pt>
              </c:numCache>
            </c:numRef>
          </c:xVal>
          <c:yVal>
            <c:numRef>
              <c:f>'V-n'!$J$41:$J$49</c:f>
              <c:numCache>
                <c:formatCode>General</c:formatCode>
                <c:ptCount val="9"/>
                <c:pt idx="0">
                  <c:v>-1.52</c:v>
                </c:pt>
                <c:pt idx="1">
                  <c:v>-1.52</c:v>
                </c:pt>
                <c:pt idx="2">
                  <c:v>-1.52</c:v>
                </c:pt>
                <c:pt idx="3">
                  <c:v>-1.52</c:v>
                </c:pt>
                <c:pt idx="4">
                  <c:v>-1.52</c:v>
                </c:pt>
                <c:pt idx="5">
                  <c:v>-1.52</c:v>
                </c:pt>
                <c:pt idx="6">
                  <c:v>-1.52</c:v>
                </c:pt>
                <c:pt idx="7">
                  <c:v>-1.52</c:v>
                </c:pt>
                <c:pt idx="8">
                  <c:v>-1.52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52-4CBF-AF03-CFDFF744D13B}"/>
            </c:ext>
          </c:extLst>
        </c:ser>
        <c:ser>
          <c:idx val="4"/>
          <c:order val="4"/>
          <c:tx>
            <c:v>dive speed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'V-n'!$K$36:$K$49</c:f>
              <c:numCache>
                <c:formatCode>General</c:formatCode>
                <c:ptCount val="14"/>
                <c:pt idx="0">
                  <c:v>196</c:v>
                </c:pt>
                <c:pt idx="1">
                  <c:v>196</c:v>
                </c:pt>
                <c:pt idx="2">
                  <c:v>196</c:v>
                </c:pt>
                <c:pt idx="3">
                  <c:v>196</c:v>
                </c:pt>
                <c:pt idx="4">
                  <c:v>196</c:v>
                </c:pt>
                <c:pt idx="5">
                  <c:v>196</c:v>
                </c:pt>
                <c:pt idx="6">
                  <c:v>196</c:v>
                </c:pt>
                <c:pt idx="7">
                  <c:v>196</c:v>
                </c:pt>
                <c:pt idx="8">
                  <c:v>196</c:v>
                </c:pt>
                <c:pt idx="9">
                  <c:v>196</c:v>
                </c:pt>
                <c:pt idx="10">
                  <c:v>196</c:v>
                </c:pt>
                <c:pt idx="11">
                  <c:v>196</c:v>
                </c:pt>
                <c:pt idx="12">
                  <c:v>196</c:v>
                </c:pt>
                <c:pt idx="13">
                  <c:v>196</c:v>
                </c:pt>
              </c:numCache>
            </c:numRef>
          </c:xVal>
          <c:yVal>
            <c:numRef>
              <c:f>'V-n'!$L$36:$L$49</c:f>
              <c:numCache>
                <c:formatCode>General</c:formatCode>
                <c:ptCount val="14"/>
                <c:pt idx="0">
                  <c:v>-1.52</c:v>
                </c:pt>
                <c:pt idx="1">
                  <c:v>-1.02</c:v>
                </c:pt>
                <c:pt idx="2">
                  <c:v>-0.52</c:v>
                </c:pt>
                <c:pt idx="3">
                  <c:v>-2.0000000000000018E-2</c:v>
                </c:pt>
                <c:pt idx="4">
                  <c:v>0.48</c:v>
                </c:pt>
                <c:pt idx="5">
                  <c:v>0.98</c:v>
                </c:pt>
                <c:pt idx="6">
                  <c:v>1</c:v>
                </c:pt>
                <c:pt idx="7">
                  <c:v>1.2</c:v>
                </c:pt>
                <c:pt idx="8">
                  <c:v>1.7</c:v>
                </c:pt>
                <c:pt idx="9">
                  <c:v>2.2000000000000002</c:v>
                </c:pt>
                <c:pt idx="10">
                  <c:v>2.7</c:v>
                </c:pt>
                <c:pt idx="11">
                  <c:v>3.2</c:v>
                </c:pt>
                <c:pt idx="12">
                  <c:v>3.5</c:v>
                </c:pt>
                <c:pt idx="13">
                  <c:v>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52-4CBF-AF03-CFDFF744D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50352"/>
        <c:axId val="546457424"/>
      </c:scatterChart>
      <c:valAx>
        <c:axId val="54645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V,</a:t>
                </a:r>
                <a:r>
                  <a:rPr lang="en-US" sz="1400" baseline="0"/>
                  <a:t> KEAS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7762385633999138"/>
              <c:y val="0.92185172654810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57424"/>
        <c:crosses val="autoZero"/>
        <c:crossBetween val="midCat"/>
        <c:majorUnit val="20"/>
      </c:valAx>
      <c:valAx>
        <c:axId val="5464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LOAD</a:t>
                </a:r>
                <a:r>
                  <a:rPr lang="en-US" sz="1400" baseline="0"/>
                  <a:t> FACTOR, n 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2279609116657028E-2"/>
              <c:y val="0.30767760953343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5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19050" cap="flat" cmpd="sng" algn="ctr">
      <a:solidFill>
        <a:schemeClr val="accent6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V-n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Vc 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'V-n'!$E$36:$E$44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61</c:v>
                </c:pt>
                <c:pt idx="4">
                  <c:v>66.822183055558398</c:v>
                </c:pt>
                <c:pt idx="5">
                  <c:v>82.383920187328101</c:v>
                </c:pt>
                <c:pt idx="6">
                  <c:v>118.91094624262631</c:v>
                </c:pt>
                <c:pt idx="7">
                  <c:v>120</c:v>
                </c:pt>
                <c:pt idx="8">
                  <c:v>140</c:v>
                </c:pt>
              </c:numCache>
            </c:numRef>
          </c:xVal>
          <c:yVal>
            <c:numRef>
              <c:f>'V-n'!$O$36:$O$44</c:f>
              <c:numCache>
                <c:formatCode>General</c:formatCode>
                <c:ptCount val="9"/>
                <c:pt idx="0">
                  <c:v>1</c:v>
                </c:pt>
                <c:pt idx="1">
                  <c:v>1.5004288230008807</c:v>
                </c:pt>
                <c:pt idx="2">
                  <c:v>2.0008576460017613</c:v>
                </c:pt>
                <c:pt idx="3">
                  <c:v>2.5263079101526857</c:v>
                </c:pt>
                <c:pt idx="4">
                  <c:v>2.6719873208421236</c:v>
                </c:pt>
                <c:pt idx="5">
                  <c:v>3.0613644106771543</c:v>
                </c:pt>
                <c:pt idx="6">
                  <c:v>3.9753232435059229</c:v>
                </c:pt>
                <c:pt idx="7">
                  <c:v>4.0025729380052839</c:v>
                </c:pt>
                <c:pt idx="8">
                  <c:v>4.5030017610061641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8A-43AF-A02E-3DBCE3069DAB}"/>
            </c:ext>
          </c:extLst>
        </c:ser>
        <c:ser>
          <c:idx val="1"/>
          <c:order val="1"/>
          <c:tx>
            <c:v>Vd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'V-n'!$E$36:$E$49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61</c:v>
                </c:pt>
                <c:pt idx="4">
                  <c:v>66.822183055558398</c:v>
                </c:pt>
                <c:pt idx="5">
                  <c:v>82.383920187328101</c:v>
                </c:pt>
                <c:pt idx="6">
                  <c:v>118.91094624262631</c:v>
                </c:pt>
                <c:pt idx="7">
                  <c:v>120</c:v>
                </c:pt>
                <c:pt idx="8">
                  <c:v>140</c:v>
                </c:pt>
                <c:pt idx="9">
                  <c:v>170</c:v>
                </c:pt>
                <c:pt idx="10">
                  <c:v>175</c:v>
                </c:pt>
                <c:pt idx="11">
                  <c:v>180</c:v>
                </c:pt>
                <c:pt idx="12">
                  <c:v>190</c:v>
                </c:pt>
                <c:pt idx="13">
                  <c:v>196</c:v>
                </c:pt>
              </c:numCache>
            </c:numRef>
          </c:xVal>
          <c:yVal>
            <c:numRef>
              <c:f>'V-n'!$P$36:$P$49</c:f>
              <c:numCache>
                <c:formatCode>General</c:formatCode>
                <c:ptCount val="14"/>
                <c:pt idx="0">
                  <c:v>1</c:v>
                </c:pt>
                <c:pt idx="1">
                  <c:v>1.2502144115004403</c:v>
                </c:pt>
                <c:pt idx="2">
                  <c:v>1.5004288230008807</c:v>
                </c:pt>
                <c:pt idx="3">
                  <c:v>1.7631539550763429</c:v>
                </c:pt>
                <c:pt idx="4">
                  <c:v>1.8359936604210618</c:v>
                </c:pt>
                <c:pt idx="5">
                  <c:v>2.0306822053385769</c:v>
                </c:pt>
                <c:pt idx="6">
                  <c:v>2.4876616217529612</c:v>
                </c:pt>
                <c:pt idx="7">
                  <c:v>2.501286469002642</c:v>
                </c:pt>
                <c:pt idx="8">
                  <c:v>2.7515008805030821</c:v>
                </c:pt>
                <c:pt idx="9">
                  <c:v>3.126822497753742</c:v>
                </c:pt>
                <c:pt idx="10">
                  <c:v>3.1893761006288521</c:v>
                </c:pt>
                <c:pt idx="11">
                  <c:v>3.2519297035039627</c:v>
                </c:pt>
                <c:pt idx="12">
                  <c:v>3.3770369092541825</c:v>
                </c:pt>
                <c:pt idx="13">
                  <c:v>3.4521012327043148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8A-43AF-A02E-3DBCE3069DAB}"/>
            </c:ext>
          </c:extLst>
        </c:ser>
        <c:ser>
          <c:idx val="2"/>
          <c:order val="2"/>
          <c:tx>
            <c:v>upper curve</c:v>
          </c:tx>
          <c:spPr>
            <a:ln w="19050" cap="rnd">
              <a:solidFill>
                <a:schemeClr val="accent3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'V-n'!$E$36:$E$39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61</c:v>
                </c:pt>
              </c:numCache>
            </c:numRef>
          </c:xVal>
          <c:yVal>
            <c:numRef>
              <c:f>'V-n'!$H$36:$H$39</c:f>
              <c:numCache>
                <c:formatCode>General</c:formatCode>
                <c:ptCount val="4"/>
                <c:pt idx="0">
                  <c:v>0</c:v>
                </c:pt>
                <c:pt idx="1">
                  <c:v>0.1074978845438929</c:v>
                </c:pt>
                <c:pt idx="2">
                  <c:v>0.42999153817557162</c:v>
                </c:pt>
                <c:pt idx="3">
                  <c:v>0.99999907096956386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8A-43AF-A02E-3DBCE3069DAB}"/>
            </c:ext>
          </c:extLst>
        </c:ser>
        <c:ser>
          <c:idx val="3"/>
          <c:order val="3"/>
          <c:tx>
            <c:v>upper curve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'V-n'!$E$39:$E$42</c:f>
              <c:numCache>
                <c:formatCode>General</c:formatCode>
                <c:ptCount val="4"/>
                <c:pt idx="0">
                  <c:v>61</c:v>
                </c:pt>
                <c:pt idx="1">
                  <c:v>66.822183055558398</c:v>
                </c:pt>
                <c:pt idx="2">
                  <c:v>82.383920187328101</c:v>
                </c:pt>
                <c:pt idx="3">
                  <c:v>118.91094624262631</c:v>
                </c:pt>
              </c:numCache>
            </c:numRef>
          </c:xVal>
          <c:yVal>
            <c:numRef>
              <c:f>'V-n'!$H$39:$H$42</c:f>
              <c:numCache>
                <c:formatCode>General</c:formatCode>
                <c:ptCount val="4"/>
                <c:pt idx="0">
                  <c:v>0.99999907096956386</c:v>
                </c:pt>
                <c:pt idx="1">
                  <c:v>1.1999999999999995</c:v>
                </c:pt>
                <c:pt idx="2">
                  <c:v>1.8239999999999998</c:v>
                </c:pt>
                <c:pt idx="3">
                  <c:v>3.8000000000000003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8A-43AF-A02E-3DBCE3069DAB}"/>
            </c:ext>
          </c:extLst>
        </c:ser>
        <c:ser>
          <c:idx val="4"/>
          <c:order val="4"/>
          <c:tx>
            <c:v>upper line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'V-n'!$E$42:$E$49</c:f>
              <c:numCache>
                <c:formatCode>General</c:formatCode>
                <c:ptCount val="8"/>
                <c:pt idx="0">
                  <c:v>118.91094624262631</c:v>
                </c:pt>
                <c:pt idx="1">
                  <c:v>120</c:v>
                </c:pt>
                <c:pt idx="2">
                  <c:v>140</c:v>
                </c:pt>
                <c:pt idx="3">
                  <c:v>170</c:v>
                </c:pt>
                <c:pt idx="4">
                  <c:v>175</c:v>
                </c:pt>
                <c:pt idx="5">
                  <c:v>180</c:v>
                </c:pt>
                <c:pt idx="6">
                  <c:v>190</c:v>
                </c:pt>
                <c:pt idx="7">
                  <c:v>196</c:v>
                </c:pt>
              </c:numCache>
            </c:numRef>
          </c:xVal>
          <c:yVal>
            <c:numRef>
              <c:f>'V-n'!$H$42:$H$49</c:f>
              <c:numCache>
                <c:formatCode>General</c:formatCode>
                <c:ptCount val="8"/>
                <c:pt idx="0">
                  <c:v>3.8000000000000003</c:v>
                </c:pt>
                <c:pt idx="1">
                  <c:v>3.8000000000000003</c:v>
                </c:pt>
                <c:pt idx="2">
                  <c:v>3.8000000000000003</c:v>
                </c:pt>
                <c:pt idx="3">
                  <c:v>3.8000000000000003</c:v>
                </c:pt>
                <c:pt idx="4">
                  <c:v>3.8000000000000003</c:v>
                </c:pt>
                <c:pt idx="5">
                  <c:v>3.8000000000000003</c:v>
                </c:pt>
                <c:pt idx="6">
                  <c:v>3.8000000000000003</c:v>
                </c:pt>
                <c:pt idx="7">
                  <c:v>3.8000000000000003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8A-43AF-A02E-3DBCE3069DAB}"/>
            </c:ext>
          </c:extLst>
        </c:ser>
        <c:ser>
          <c:idx val="5"/>
          <c:order val="5"/>
          <c:tx>
            <c:v>lower curve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'V-n'!$E$36:$E$40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61</c:v>
                </c:pt>
                <c:pt idx="4">
                  <c:v>66.822183055558398</c:v>
                </c:pt>
              </c:numCache>
            </c:numRef>
          </c:xVal>
          <c:yVal>
            <c:numRef>
              <c:f>'V-n'!$J$36:$J$40</c:f>
              <c:numCache>
                <c:formatCode>General</c:formatCode>
                <c:ptCount val="5"/>
                <c:pt idx="0">
                  <c:v>0</c:v>
                </c:pt>
                <c:pt idx="1">
                  <c:v>-8.9581570453244094E-2</c:v>
                </c:pt>
                <c:pt idx="2">
                  <c:v>-0.35832628181297638</c:v>
                </c:pt>
                <c:pt idx="3">
                  <c:v>-0.83333255914130333</c:v>
                </c:pt>
                <c:pt idx="4">
                  <c:v>-0.99999999999999967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8A-43AF-A02E-3DBCE3069DAB}"/>
            </c:ext>
          </c:extLst>
        </c:ser>
        <c:ser>
          <c:idx val="6"/>
          <c:order val="6"/>
          <c:tx>
            <c:v>lower curve 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'V-n'!$E$40:$E$41</c:f>
              <c:numCache>
                <c:formatCode>General</c:formatCode>
                <c:ptCount val="2"/>
                <c:pt idx="0">
                  <c:v>66.822183055558398</c:v>
                </c:pt>
                <c:pt idx="1">
                  <c:v>82.383920187328101</c:v>
                </c:pt>
              </c:numCache>
            </c:numRef>
          </c:xVal>
          <c:yVal>
            <c:numRef>
              <c:f>'V-n'!$J$40:$J$41</c:f>
              <c:numCache>
                <c:formatCode>General</c:formatCode>
                <c:ptCount val="2"/>
                <c:pt idx="0">
                  <c:v>-0.99999999999999967</c:v>
                </c:pt>
                <c:pt idx="1">
                  <c:v>-1.52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58A-43AF-A02E-3DBCE3069DAB}"/>
            </c:ext>
          </c:extLst>
        </c:ser>
        <c:ser>
          <c:idx val="7"/>
          <c:order val="7"/>
          <c:tx>
            <c:v>lower line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'V-n'!$E$41:$E$49</c:f>
              <c:numCache>
                <c:formatCode>General</c:formatCode>
                <c:ptCount val="9"/>
                <c:pt idx="0">
                  <c:v>82.383920187328101</c:v>
                </c:pt>
                <c:pt idx="1">
                  <c:v>118.91094624262631</c:v>
                </c:pt>
                <c:pt idx="2">
                  <c:v>120</c:v>
                </c:pt>
                <c:pt idx="3">
                  <c:v>140</c:v>
                </c:pt>
                <c:pt idx="4">
                  <c:v>170</c:v>
                </c:pt>
                <c:pt idx="5">
                  <c:v>175</c:v>
                </c:pt>
                <c:pt idx="6">
                  <c:v>180</c:v>
                </c:pt>
                <c:pt idx="7">
                  <c:v>190</c:v>
                </c:pt>
                <c:pt idx="8">
                  <c:v>196</c:v>
                </c:pt>
              </c:numCache>
            </c:numRef>
          </c:xVal>
          <c:yVal>
            <c:numRef>
              <c:f>'V-n'!$J$41:$J$49</c:f>
              <c:numCache>
                <c:formatCode>General</c:formatCode>
                <c:ptCount val="9"/>
                <c:pt idx="0">
                  <c:v>-1.52</c:v>
                </c:pt>
                <c:pt idx="1">
                  <c:v>-1.52</c:v>
                </c:pt>
                <c:pt idx="2">
                  <c:v>-1.52</c:v>
                </c:pt>
                <c:pt idx="3">
                  <c:v>-1.52</c:v>
                </c:pt>
                <c:pt idx="4">
                  <c:v>-1.52</c:v>
                </c:pt>
                <c:pt idx="5">
                  <c:v>-1.52</c:v>
                </c:pt>
                <c:pt idx="6">
                  <c:v>-1.52</c:v>
                </c:pt>
                <c:pt idx="7">
                  <c:v>-1.52</c:v>
                </c:pt>
                <c:pt idx="8">
                  <c:v>-1.52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58A-43AF-A02E-3DBCE3069DAB}"/>
            </c:ext>
          </c:extLst>
        </c:ser>
        <c:ser>
          <c:idx val="8"/>
          <c:order val="8"/>
          <c:tx>
            <c:v>vd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'V-n'!$K$36:$K$49</c:f>
              <c:numCache>
                <c:formatCode>General</c:formatCode>
                <c:ptCount val="14"/>
                <c:pt idx="0">
                  <c:v>196</c:v>
                </c:pt>
                <c:pt idx="1">
                  <c:v>196</c:v>
                </c:pt>
                <c:pt idx="2">
                  <c:v>196</c:v>
                </c:pt>
                <c:pt idx="3">
                  <c:v>196</c:v>
                </c:pt>
                <c:pt idx="4">
                  <c:v>196</c:v>
                </c:pt>
                <c:pt idx="5">
                  <c:v>196</c:v>
                </c:pt>
                <c:pt idx="6">
                  <c:v>196</c:v>
                </c:pt>
                <c:pt idx="7">
                  <c:v>196</c:v>
                </c:pt>
                <c:pt idx="8">
                  <c:v>196</c:v>
                </c:pt>
                <c:pt idx="9">
                  <c:v>196</c:v>
                </c:pt>
                <c:pt idx="10">
                  <c:v>196</c:v>
                </c:pt>
                <c:pt idx="11">
                  <c:v>196</c:v>
                </c:pt>
                <c:pt idx="12">
                  <c:v>196</c:v>
                </c:pt>
                <c:pt idx="13">
                  <c:v>196</c:v>
                </c:pt>
              </c:numCache>
            </c:numRef>
          </c:xVal>
          <c:yVal>
            <c:numRef>
              <c:f>'V-n'!$L$36:$L$49</c:f>
              <c:numCache>
                <c:formatCode>General</c:formatCode>
                <c:ptCount val="14"/>
                <c:pt idx="0">
                  <c:v>-1.52</c:v>
                </c:pt>
                <c:pt idx="1">
                  <c:v>-1.02</c:v>
                </c:pt>
                <c:pt idx="2">
                  <c:v>-0.52</c:v>
                </c:pt>
                <c:pt idx="3">
                  <c:v>-2.0000000000000018E-2</c:v>
                </c:pt>
                <c:pt idx="4">
                  <c:v>0.48</c:v>
                </c:pt>
                <c:pt idx="5">
                  <c:v>0.98</c:v>
                </c:pt>
                <c:pt idx="6">
                  <c:v>1</c:v>
                </c:pt>
                <c:pt idx="7">
                  <c:v>1.2</c:v>
                </c:pt>
                <c:pt idx="8">
                  <c:v>1.7</c:v>
                </c:pt>
                <c:pt idx="9">
                  <c:v>2.2000000000000002</c:v>
                </c:pt>
                <c:pt idx="10">
                  <c:v>2.7</c:v>
                </c:pt>
                <c:pt idx="11">
                  <c:v>3.2</c:v>
                </c:pt>
                <c:pt idx="12">
                  <c:v>3.5</c:v>
                </c:pt>
                <c:pt idx="13">
                  <c:v>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58A-43AF-A02E-3DBCE3069DAB}"/>
            </c:ext>
          </c:extLst>
        </c:ser>
        <c:ser>
          <c:idx val="9"/>
          <c:order val="9"/>
          <c:tx>
            <c:v>stall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'V-n'!$R$37:$R$39</c:f>
              <c:numCache>
                <c:formatCode>General</c:formatCode>
                <c:ptCount val="3"/>
                <c:pt idx="0">
                  <c:v>61</c:v>
                </c:pt>
                <c:pt idx="1">
                  <c:v>61</c:v>
                </c:pt>
                <c:pt idx="2">
                  <c:v>61</c:v>
                </c:pt>
              </c:numCache>
            </c:numRef>
          </c:xVal>
          <c:yVal>
            <c:numRef>
              <c:f>'V-n'!$S$37:$S$39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0.99999907096956386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58A-43AF-A02E-3DBCE3069DAB}"/>
            </c:ext>
          </c:extLst>
        </c:ser>
        <c:ser>
          <c:idx val="10"/>
          <c:order val="10"/>
          <c:tx>
            <c:v>Vs1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'V-n'!$T$36:$T$40</c:f>
              <c:numCache>
                <c:formatCode>General</c:formatCode>
                <c:ptCount val="5"/>
                <c:pt idx="0">
                  <c:v>66.822183055558398</c:v>
                </c:pt>
                <c:pt idx="1">
                  <c:v>66.822183055558398</c:v>
                </c:pt>
                <c:pt idx="2">
                  <c:v>66.822183055558398</c:v>
                </c:pt>
                <c:pt idx="3">
                  <c:v>66.822183055558398</c:v>
                </c:pt>
                <c:pt idx="4">
                  <c:v>66.822183055558398</c:v>
                </c:pt>
              </c:numCache>
            </c:numRef>
          </c:xVal>
          <c:yVal>
            <c:numRef>
              <c:f>'V-n'!$J$36:$J$40</c:f>
              <c:numCache>
                <c:formatCode>General</c:formatCode>
                <c:ptCount val="5"/>
                <c:pt idx="0">
                  <c:v>0</c:v>
                </c:pt>
                <c:pt idx="1">
                  <c:v>-8.9581570453244094E-2</c:v>
                </c:pt>
                <c:pt idx="2">
                  <c:v>-0.35832628181297638</c:v>
                </c:pt>
                <c:pt idx="3">
                  <c:v>-0.83333255914130333</c:v>
                </c:pt>
                <c:pt idx="4">
                  <c:v>-0.99999999999999967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58A-43AF-A02E-3DBCE3069DAB}"/>
            </c:ext>
          </c:extLst>
        </c:ser>
        <c:ser>
          <c:idx val="11"/>
          <c:order val="11"/>
          <c:tx>
            <c:v>Vb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'V-n'!$E$36:$E$43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61</c:v>
                </c:pt>
                <c:pt idx="4">
                  <c:v>66.822183055558398</c:v>
                </c:pt>
                <c:pt idx="5">
                  <c:v>82.383920187328101</c:v>
                </c:pt>
                <c:pt idx="6">
                  <c:v>118.91094624262631</c:v>
                </c:pt>
                <c:pt idx="7">
                  <c:v>120</c:v>
                </c:pt>
              </c:numCache>
            </c:numRef>
          </c:xVal>
          <c:yVal>
            <c:numRef>
              <c:f>'V-n'!$Q$36:$Q$43</c:f>
              <c:numCache>
                <c:formatCode>General</c:formatCode>
                <c:ptCount val="8"/>
                <c:pt idx="0">
                  <c:v>1</c:v>
                </c:pt>
                <c:pt idx="1">
                  <c:v>1.6605660463611622</c:v>
                </c:pt>
                <c:pt idx="2">
                  <c:v>2.3211320927223245</c:v>
                </c:pt>
                <c:pt idx="3">
                  <c:v>3.0147264414015451</c:v>
                </c:pt>
                <c:pt idx="4">
                  <c:v>3.2070232635116032</c:v>
                </c:pt>
                <c:pt idx="5">
                  <c:v>3.7210010220938434</c:v>
                </c:pt>
                <c:pt idx="6">
                  <c:v>4.9274266814278187</c:v>
                </c:pt>
                <c:pt idx="7">
                  <c:v>4.9633962781669734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58A-43AF-A02E-3DBCE3069DAB}"/>
            </c:ext>
          </c:extLst>
        </c:ser>
        <c:ser>
          <c:idx val="12"/>
          <c:order val="12"/>
          <c:tx>
            <c:v>-VD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'V-n'!$E$36:$E$49</c:f>
              <c:numCache>
                <c:formatCode>General</c:formatCode>
                <c:ptCount val="14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61</c:v>
                </c:pt>
                <c:pt idx="4">
                  <c:v>66.822183055558398</c:v>
                </c:pt>
                <c:pt idx="5">
                  <c:v>82.383920187328101</c:v>
                </c:pt>
                <c:pt idx="6">
                  <c:v>118.91094624262631</c:v>
                </c:pt>
                <c:pt idx="7">
                  <c:v>120</c:v>
                </c:pt>
                <c:pt idx="8">
                  <c:v>140</c:v>
                </c:pt>
                <c:pt idx="9">
                  <c:v>170</c:v>
                </c:pt>
                <c:pt idx="10">
                  <c:v>175</c:v>
                </c:pt>
                <c:pt idx="11">
                  <c:v>180</c:v>
                </c:pt>
                <c:pt idx="12">
                  <c:v>190</c:v>
                </c:pt>
                <c:pt idx="13">
                  <c:v>196</c:v>
                </c:pt>
              </c:numCache>
            </c:numRef>
          </c:xVal>
          <c:yVal>
            <c:numRef>
              <c:f>'V-n'!$U$36:$U$49</c:f>
              <c:numCache>
                <c:formatCode>General</c:formatCode>
                <c:ptCount val="14"/>
                <c:pt idx="0">
                  <c:v>1</c:v>
                </c:pt>
                <c:pt idx="1">
                  <c:v>0.74978558849955967</c:v>
                </c:pt>
                <c:pt idx="2">
                  <c:v>0.49957117699911946</c:v>
                </c:pt>
                <c:pt idx="3">
                  <c:v>0.23684604492365702</c:v>
                </c:pt>
                <c:pt idx="4">
                  <c:v>0.16400633957893818</c:v>
                </c:pt>
                <c:pt idx="5">
                  <c:v>-3.0682205338577129E-2</c:v>
                </c:pt>
                <c:pt idx="6">
                  <c:v>-0.48766162175296146</c:v>
                </c:pt>
                <c:pt idx="7">
                  <c:v>-0.50128646900264195</c:v>
                </c:pt>
                <c:pt idx="8">
                  <c:v>-0.75150088050308206</c:v>
                </c:pt>
                <c:pt idx="9">
                  <c:v>-1.126822497753742</c:v>
                </c:pt>
                <c:pt idx="10">
                  <c:v>-1.1893761006288521</c:v>
                </c:pt>
                <c:pt idx="11">
                  <c:v>-1.2519297035039627</c:v>
                </c:pt>
                <c:pt idx="12">
                  <c:v>-1.3770369092541825</c:v>
                </c:pt>
                <c:pt idx="13">
                  <c:v>-1.4521012327043148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58A-43AF-A02E-3DBCE3069DAB}"/>
            </c:ext>
          </c:extLst>
        </c:ser>
        <c:ser>
          <c:idx val="13"/>
          <c:order val="13"/>
          <c:tx>
            <c:v>-VC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'V-n'!$E$36:$E$44</c:f>
              <c:numCache>
                <c:formatCode>General</c:formatCode>
                <c:ptCount val="9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61</c:v>
                </c:pt>
                <c:pt idx="4">
                  <c:v>66.822183055558398</c:v>
                </c:pt>
                <c:pt idx="5">
                  <c:v>82.383920187328101</c:v>
                </c:pt>
                <c:pt idx="6">
                  <c:v>118.91094624262631</c:v>
                </c:pt>
                <c:pt idx="7">
                  <c:v>120</c:v>
                </c:pt>
                <c:pt idx="8">
                  <c:v>140</c:v>
                </c:pt>
              </c:numCache>
            </c:numRef>
          </c:xVal>
          <c:yVal>
            <c:numRef>
              <c:f>'V-n'!$V$36:$V$44</c:f>
              <c:numCache>
                <c:formatCode>General</c:formatCode>
                <c:ptCount val="9"/>
                <c:pt idx="0">
                  <c:v>1</c:v>
                </c:pt>
                <c:pt idx="1">
                  <c:v>0.49957117699911946</c:v>
                </c:pt>
                <c:pt idx="2">
                  <c:v>-8.5764600176108097E-4</c:v>
                </c:pt>
                <c:pt idx="3">
                  <c:v>-0.52630791015268596</c:v>
                </c:pt>
                <c:pt idx="4">
                  <c:v>-0.67198732084212365</c:v>
                </c:pt>
                <c:pt idx="5">
                  <c:v>-1.0613644106771543</c:v>
                </c:pt>
                <c:pt idx="6">
                  <c:v>-1.9753232435059229</c:v>
                </c:pt>
                <c:pt idx="7">
                  <c:v>-2.0025729380052839</c:v>
                </c:pt>
                <c:pt idx="8">
                  <c:v>-2.5030017610061641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58A-43AF-A02E-3DBCE3069DAB}"/>
            </c:ext>
          </c:extLst>
        </c:ser>
        <c:ser>
          <c:idx val="14"/>
          <c:order val="14"/>
          <c:tx>
            <c:v>-VB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'V-n'!$E$36:$E$43</c:f>
              <c:numCache>
                <c:formatCode>General</c:formatCode>
                <c:ptCount val="8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61</c:v>
                </c:pt>
                <c:pt idx="4">
                  <c:v>66.822183055558398</c:v>
                </c:pt>
                <c:pt idx="5">
                  <c:v>82.383920187328101</c:v>
                </c:pt>
                <c:pt idx="6">
                  <c:v>118.91094624262631</c:v>
                </c:pt>
                <c:pt idx="7">
                  <c:v>120</c:v>
                </c:pt>
              </c:numCache>
            </c:numRef>
          </c:xVal>
          <c:yVal>
            <c:numRef>
              <c:f>'V-n'!$W$36:$W$43</c:f>
              <c:numCache>
                <c:formatCode>General</c:formatCode>
                <c:ptCount val="8"/>
                <c:pt idx="0">
                  <c:v>1</c:v>
                </c:pt>
                <c:pt idx="1">
                  <c:v>0.33943395363883766</c:v>
                </c:pt>
                <c:pt idx="2">
                  <c:v>-0.32113209272232468</c:v>
                </c:pt>
                <c:pt idx="3">
                  <c:v>-1.0147264414015451</c:v>
                </c:pt>
                <c:pt idx="4">
                  <c:v>-1.2070232635116032</c:v>
                </c:pt>
                <c:pt idx="5">
                  <c:v>-1.7210010220938434</c:v>
                </c:pt>
                <c:pt idx="6">
                  <c:v>-2.9274266814278187</c:v>
                </c:pt>
                <c:pt idx="7">
                  <c:v>-2.9633962781669734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58A-43AF-A02E-3DBCE3069DAB}"/>
            </c:ext>
          </c:extLst>
        </c:ser>
        <c:ser>
          <c:idx val="15"/>
          <c:order val="15"/>
          <c:tx>
            <c:v>joiner vb vc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'V-n'!$E$43:$E$44</c:f>
              <c:numCache>
                <c:formatCode>General</c:formatCode>
                <c:ptCount val="2"/>
                <c:pt idx="0">
                  <c:v>120</c:v>
                </c:pt>
                <c:pt idx="1">
                  <c:v>140</c:v>
                </c:pt>
              </c:numCache>
            </c:numRef>
          </c:xVal>
          <c:yVal>
            <c:numRef>
              <c:f>'V-n'!$Z$43:$Z$44</c:f>
              <c:numCache>
                <c:formatCode>General</c:formatCode>
                <c:ptCount val="2"/>
                <c:pt idx="0">
                  <c:v>4.9633962781669734</c:v>
                </c:pt>
                <c:pt idx="1">
                  <c:v>4.5030017610061641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58A-43AF-A02E-3DBCE3069DAB}"/>
            </c:ext>
          </c:extLst>
        </c:ser>
        <c:ser>
          <c:idx val="16"/>
          <c:order val="16"/>
          <c:tx>
            <c:v>vc-vd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'V-n'!$E$44:$E$49</c:f>
              <c:numCache>
                <c:formatCode>General</c:formatCode>
                <c:ptCount val="6"/>
                <c:pt idx="0">
                  <c:v>140</c:v>
                </c:pt>
                <c:pt idx="1">
                  <c:v>170</c:v>
                </c:pt>
                <c:pt idx="2">
                  <c:v>175</c:v>
                </c:pt>
                <c:pt idx="3">
                  <c:v>180</c:v>
                </c:pt>
                <c:pt idx="4">
                  <c:v>190</c:v>
                </c:pt>
                <c:pt idx="5">
                  <c:v>196</c:v>
                </c:pt>
              </c:numCache>
            </c:numRef>
          </c:xVal>
          <c:yVal>
            <c:numRef>
              <c:f>'V-n'!$AC$44:$AC$49</c:f>
              <c:numCache>
                <c:formatCode>General</c:formatCode>
                <c:ptCount val="6"/>
                <c:pt idx="0">
                  <c:v>4.5030017610061641</c:v>
                </c:pt>
                <c:pt idx="1">
                  <c:v>3.9400193351301738</c:v>
                </c:pt>
                <c:pt idx="2">
                  <c:v>3.8461889308175086</c:v>
                </c:pt>
                <c:pt idx="3">
                  <c:v>3.7523585265048434</c:v>
                </c:pt>
                <c:pt idx="4">
                  <c:v>3.5646977178795134</c:v>
                </c:pt>
                <c:pt idx="5">
                  <c:v>3.4521012327043152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58A-43AF-A02E-3DBCE3069DAB}"/>
            </c:ext>
          </c:extLst>
        </c:ser>
        <c:ser>
          <c:idx val="17"/>
          <c:order val="17"/>
          <c:tx>
            <c:v>neg vb &amp; vc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'V-n'!$E$43:$E$44</c:f>
              <c:numCache>
                <c:formatCode>General</c:formatCode>
                <c:ptCount val="2"/>
                <c:pt idx="0">
                  <c:v>120</c:v>
                </c:pt>
                <c:pt idx="1">
                  <c:v>140</c:v>
                </c:pt>
              </c:numCache>
            </c:numRef>
          </c:xVal>
          <c:yVal>
            <c:numRef>
              <c:f>'V-n'!$AF$43:$AF$44</c:f>
              <c:numCache>
                <c:formatCode>General</c:formatCode>
                <c:ptCount val="2"/>
                <c:pt idx="0">
                  <c:v>-2.9633962781669734</c:v>
                </c:pt>
                <c:pt idx="1">
                  <c:v>-2.5030017610061641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58A-43AF-A02E-3DBCE3069DAB}"/>
            </c:ext>
          </c:extLst>
        </c:ser>
        <c:ser>
          <c:idx val="18"/>
          <c:order val="18"/>
          <c:tx>
            <c:v>-ve vc &amp;vd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'V-n'!$E$44:$E$49</c:f>
              <c:numCache>
                <c:formatCode>General</c:formatCode>
                <c:ptCount val="6"/>
                <c:pt idx="0">
                  <c:v>140</c:v>
                </c:pt>
                <c:pt idx="1">
                  <c:v>170</c:v>
                </c:pt>
                <c:pt idx="2">
                  <c:v>175</c:v>
                </c:pt>
                <c:pt idx="3">
                  <c:v>180</c:v>
                </c:pt>
                <c:pt idx="4">
                  <c:v>190</c:v>
                </c:pt>
                <c:pt idx="5">
                  <c:v>196</c:v>
                </c:pt>
              </c:numCache>
            </c:numRef>
          </c:xVal>
          <c:yVal>
            <c:numRef>
              <c:f>'V-n'!$AI$44:$AI$49</c:f>
              <c:numCache>
                <c:formatCode>General</c:formatCode>
                <c:ptCount val="6"/>
                <c:pt idx="0">
                  <c:v>-2.5030017610061646</c:v>
                </c:pt>
                <c:pt idx="1">
                  <c:v>-1.9400193351301738</c:v>
                </c:pt>
                <c:pt idx="2">
                  <c:v>-1.8461889308175086</c:v>
                </c:pt>
                <c:pt idx="3">
                  <c:v>-1.7523585265048434</c:v>
                </c:pt>
                <c:pt idx="4">
                  <c:v>-1.5646977178795134</c:v>
                </c:pt>
                <c:pt idx="5">
                  <c:v>-1.4521012327043152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58A-43AF-A02E-3DBCE3069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45456"/>
        <c:axId val="546447632"/>
      </c:scatterChart>
      <c:valAx>
        <c:axId val="54644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V, KEAS</a:t>
                </a:r>
              </a:p>
            </c:rich>
          </c:tx>
          <c:layout>
            <c:manualLayout>
              <c:xMode val="edge"/>
              <c:yMode val="edge"/>
              <c:x val="0.47866798974187152"/>
              <c:y val="0.91465986394557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47632"/>
        <c:crosses val="autoZero"/>
        <c:crossBetween val="midCat"/>
        <c:majorUnit val="20"/>
      </c:valAx>
      <c:valAx>
        <c:axId val="5464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LOAD FACTOR,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4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19050" cap="flat" cmpd="sng" algn="ctr">
      <a:solidFill>
        <a:srgbClr val="92D05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60327</xdr:colOff>
      <xdr:row>33</xdr:row>
      <xdr:rowOff>51859</xdr:rowOff>
    </xdr:from>
    <xdr:to>
      <xdr:col>3</xdr:col>
      <xdr:colOff>469901</xdr:colOff>
      <xdr:row>35</xdr:row>
      <xdr:rowOff>185209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277660" y="7618942"/>
          <a:ext cx="409574" cy="514350"/>
        </a:xfrm>
        <a:prstGeom prst="rightBrac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29</xdr:row>
      <xdr:rowOff>22752</xdr:rowOff>
    </xdr:from>
    <xdr:to>
      <xdr:col>13</xdr:col>
      <xdr:colOff>878417</xdr:colOff>
      <xdr:row>49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85725</xdr:rowOff>
    </xdr:from>
    <xdr:to>
      <xdr:col>3</xdr:col>
      <xdr:colOff>9525</xdr:colOff>
      <xdr:row>3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9525" y="85725"/>
          <a:ext cx="2057400" cy="752475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ONLY</a:t>
          </a:r>
          <a:r>
            <a:rPr lang="en-US" sz="1100" baseline="0"/>
            <a:t> INPUT VALUES IN ORANGE</a:t>
          </a:r>
        </a:p>
        <a:p>
          <a:endParaRPr lang="en-US" sz="1100" baseline="0"/>
        </a:p>
        <a:p>
          <a:r>
            <a:rPr lang="en-US" sz="1100" baseline="0"/>
            <a:t>GREEN= IMPORTANT OUTPUTS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61911</xdr:colOff>
      <xdr:row>4</xdr:row>
      <xdr:rowOff>152400</xdr:rowOff>
    </xdr:from>
    <xdr:to>
      <xdr:col>13</xdr:col>
      <xdr:colOff>514350</xdr:colOff>
      <xdr:row>28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38100</xdr:rowOff>
    </xdr:from>
    <xdr:to>
      <xdr:col>5</xdr:col>
      <xdr:colOff>171450</xdr:colOff>
      <xdr:row>2</xdr:row>
      <xdr:rowOff>142875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525" y="38100"/>
          <a:ext cx="3619500" cy="485775"/>
        </a:xfrm>
        <a:prstGeom prst="rect">
          <a:avLst/>
        </a:prstGeom>
        <a:solidFill>
          <a:schemeClr val="bg1">
            <a:lumMod val="85000"/>
          </a:schemeClr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INITIAL</a:t>
          </a:r>
          <a:r>
            <a:rPr lang="en-US" sz="1600" baseline="0"/>
            <a:t> SIZING: MTOW DETERMINATION</a:t>
          </a:r>
        </a:p>
        <a:p>
          <a:r>
            <a:rPr lang="en-US" sz="1600" baseline="0"/>
            <a:t>                            </a:t>
          </a:r>
          <a:endParaRPr lang="en-US" sz="1600"/>
        </a:p>
      </xdr:txBody>
    </xdr:sp>
    <xdr:clientData/>
  </xdr:twoCellAnchor>
  <xdr:twoCellAnchor>
    <xdr:from>
      <xdr:col>0</xdr:col>
      <xdr:colOff>123825</xdr:colOff>
      <xdr:row>45</xdr:row>
      <xdr:rowOff>85724</xdr:rowOff>
    </xdr:from>
    <xdr:to>
      <xdr:col>10</xdr:col>
      <xdr:colOff>571500</xdr:colOff>
      <xdr:row>61</xdr:row>
      <xdr:rowOff>114299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21</xdr:row>
      <xdr:rowOff>133351</xdr:rowOff>
    </xdr:from>
    <xdr:to>
      <xdr:col>15</xdr:col>
      <xdr:colOff>523874</xdr:colOff>
      <xdr:row>46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752475</xdr:colOff>
      <xdr:row>50</xdr:row>
      <xdr:rowOff>76200</xdr:rowOff>
    </xdr:from>
    <xdr:to>
      <xdr:col>15</xdr:col>
      <xdr:colOff>552350</xdr:colOff>
      <xdr:row>75</xdr:row>
      <xdr:rowOff>8027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57725" y="10306050"/>
          <a:ext cx="7638950" cy="4694327"/>
        </a:xfrm>
        <a:prstGeom prst="rect">
          <a:avLst/>
        </a:prstGeom>
      </xdr:spPr>
    </xdr:pic>
    <xdr:clientData/>
  </xdr:twoCellAnchor>
  <xdr:twoCellAnchor>
    <xdr:from>
      <xdr:col>10</xdr:col>
      <xdr:colOff>314325</xdr:colOff>
      <xdr:row>70</xdr:row>
      <xdr:rowOff>114300</xdr:rowOff>
    </xdr:from>
    <xdr:to>
      <xdr:col>11</xdr:col>
      <xdr:colOff>571500</xdr:colOff>
      <xdr:row>70</xdr:row>
      <xdr:rowOff>114301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CxnSpPr/>
      </xdr:nvCxnSpPr>
      <xdr:spPr>
        <a:xfrm flipH="1">
          <a:off x="7305675" y="14039850"/>
          <a:ext cx="9906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314325</xdr:colOff>
      <xdr:row>64</xdr:row>
      <xdr:rowOff>161925</xdr:rowOff>
    </xdr:from>
    <xdr:to>
      <xdr:col>11</xdr:col>
      <xdr:colOff>571500</xdr:colOff>
      <xdr:row>64</xdr:row>
      <xdr:rowOff>161926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CxnSpPr/>
      </xdr:nvCxnSpPr>
      <xdr:spPr>
        <a:xfrm flipH="1">
          <a:off x="7305675" y="12944475"/>
          <a:ext cx="9906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62</xdr:row>
      <xdr:rowOff>57150</xdr:rowOff>
    </xdr:from>
    <xdr:to>
      <xdr:col>11</xdr:col>
      <xdr:colOff>561975</xdr:colOff>
      <xdr:row>62</xdr:row>
      <xdr:rowOff>57151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CxnSpPr/>
      </xdr:nvCxnSpPr>
      <xdr:spPr>
        <a:xfrm flipH="1">
          <a:off x="7296150" y="12458700"/>
          <a:ext cx="9906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59</xdr:row>
      <xdr:rowOff>9525</xdr:rowOff>
    </xdr:from>
    <xdr:to>
      <xdr:col>11</xdr:col>
      <xdr:colOff>590550</xdr:colOff>
      <xdr:row>59</xdr:row>
      <xdr:rowOff>9526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CxnSpPr/>
      </xdr:nvCxnSpPr>
      <xdr:spPr>
        <a:xfrm flipH="1">
          <a:off x="7324725" y="11839575"/>
          <a:ext cx="9906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314325</xdr:colOff>
      <xdr:row>60</xdr:row>
      <xdr:rowOff>180975</xdr:rowOff>
    </xdr:from>
    <xdr:to>
      <xdr:col>11</xdr:col>
      <xdr:colOff>571500</xdr:colOff>
      <xdr:row>60</xdr:row>
      <xdr:rowOff>180976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CxnSpPr/>
      </xdr:nvCxnSpPr>
      <xdr:spPr>
        <a:xfrm flipH="1">
          <a:off x="7305675" y="12201525"/>
          <a:ext cx="9906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57</xdr:row>
      <xdr:rowOff>85725</xdr:rowOff>
    </xdr:from>
    <xdr:to>
      <xdr:col>11</xdr:col>
      <xdr:colOff>561975</xdr:colOff>
      <xdr:row>57</xdr:row>
      <xdr:rowOff>85726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CxnSpPr/>
      </xdr:nvCxnSpPr>
      <xdr:spPr>
        <a:xfrm flipH="1">
          <a:off x="7296150" y="11534775"/>
          <a:ext cx="9906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333375</xdr:colOff>
      <xdr:row>55</xdr:row>
      <xdr:rowOff>38100</xdr:rowOff>
    </xdr:from>
    <xdr:to>
      <xdr:col>11</xdr:col>
      <xdr:colOff>590550</xdr:colOff>
      <xdr:row>55</xdr:row>
      <xdr:rowOff>38101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CxnSpPr/>
      </xdr:nvCxnSpPr>
      <xdr:spPr>
        <a:xfrm flipH="1">
          <a:off x="7324725" y="11106150"/>
          <a:ext cx="9906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314325</xdr:colOff>
      <xdr:row>66</xdr:row>
      <xdr:rowOff>57150</xdr:rowOff>
    </xdr:from>
    <xdr:to>
      <xdr:col>11</xdr:col>
      <xdr:colOff>571500</xdr:colOff>
      <xdr:row>66</xdr:row>
      <xdr:rowOff>57151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CxnSpPr/>
      </xdr:nvCxnSpPr>
      <xdr:spPr>
        <a:xfrm flipH="1">
          <a:off x="7305675" y="13220700"/>
          <a:ext cx="9906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304800</xdr:colOff>
      <xdr:row>67</xdr:row>
      <xdr:rowOff>123825</xdr:rowOff>
    </xdr:from>
    <xdr:to>
      <xdr:col>11</xdr:col>
      <xdr:colOff>561975</xdr:colOff>
      <xdr:row>67</xdr:row>
      <xdr:rowOff>123826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CxnSpPr/>
      </xdr:nvCxnSpPr>
      <xdr:spPr>
        <a:xfrm flipH="1">
          <a:off x="7296150" y="13477875"/>
          <a:ext cx="9906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69</xdr:row>
      <xdr:rowOff>9525</xdr:rowOff>
    </xdr:from>
    <xdr:to>
      <xdr:col>11</xdr:col>
      <xdr:colOff>581025</xdr:colOff>
      <xdr:row>69</xdr:row>
      <xdr:rowOff>9526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CxnSpPr/>
      </xdr:nvCxnSpPr>
      <xdr:spPr>
        <a:xfrm flipH="1">
          <a:off x="7315200" y="13744575"/>
          <a:ext cx="9906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65</xdr:row>
      <xdr:rowOff>123825</xdr:rowOff>
    </xdr:from>
    <xdr:to>
      <xdr:col>9</xdr:col>
      <xdr:colOff>76200</xdr:colOff>
      <xdr:row>68</xdr:row>
      <xdr:rowOff>152400</xdr:rowOff>
    </xdr:to>
    <xdr:cxnSp macro="">
      <xdr:nvCxnSpPr>
        <xdr:cNvPr id="65" name="Straight Connector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CxnSpPr/>
      </xdr:nvCxnSpPr>
      <xdr:spPr>
        <a:xfrm flipH="1" flipV="1">
          <a:off x="6029325" y="13096875"/>
          <a:ext cx="304800" cy="600075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466725</xdr:colOff>
      <xdr:row>64</xdr:row>
      <xdr:rowOff>38100</xdr:rowOff>
    </xdr:from>
    <xdr:to>
      <xdr:col>10</xdr:col>
      <xdr:colOff>38100</xdr:colOff>
      <xdr:row>67</xdr:row>
      <xdr:rowOff>66675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CxnSpPr/>
      </xdr:nvCxnSpPr>
      <xdr:spPr>
        <a:xfrm flipH="1" flipV="1">
          <a:off x="6724650" y="12820650"/>
          <a:ext cx="304800" cy="600075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64</xdr:row>
      <xdr:rowOff>123825</xdr:rowOff>
    </xdr:from>
    <xdr:to>
      <xdr:col>9</xdr:col>
      <xdr:colOff>542925</xdr:colOff>
      <xdr:row>67</xdr:row>
      <xdr:rowOff>152400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CxnSpPr/>
      </xdr:nvCxnSpPr>
      <xdr:spPr>
        <a:xfrm flipH="1" flipV="1">
          <a:off x="6496050" y="12906375"/>
          <a:ext cx="304800" cy="600075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638175</xdr:colOff>
      <xdr:row>63</xdr:row>
      <xdr:rowOff>171450</xdr:rowOff>
    </xdr:from>
    <xdr:to>
      <xdr:col>10</xdr:col>
      <xdr:colOff>209550</xdr:colOff>
      <xdr:row>67</xdr:row>
      <xdr:rowOff>9525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CxnSpPr/>
      </xdr:nvCxnSpPr>
      <xdr:spPr>
        <a:xfrm flipH="1" flipV="1">
          <a:off x="6896100" y="12763500"/>
          <a:ext cx="304800" cy="600075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</xdr:colOff>
      <xdr:row>63</xdr:row>
      <xdr:rowOff>133350</xdr:rowOff>
    </xdr:from>
    <xdr:to>
      <xdr:col>10</xdr:col>
      <xdr:colOff>419100</xdr:colOff>
      <xdr:row>66</xdr:row>
      <xdr:rowOff>161925</xdr:rowOff>
    </xdr:to>
    <xdr:cxnSp macro="">
      <xdr:nvCxnSpPr>
        <xdr:cNvPr id="69" name="Straight Connector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CxnSpPr/>
      </xdr:nvCxnSpPr>
      <xdr:spPr>
        <a:xfrm flipH="1" flipV="1">
          <a:off x="7105650" y="12725400"/>
          <a:ext cx="304800" cy="600075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476250</xdr:colOff>
      <xdr:row>63</xdr:row>
      <xdr:rowOff>19050</xdr:rowOff>
    </xdr:from>
    <xdr:to>
      <xdr:col>11</xdr:col>
      <xdr:colOff>47625</xdr:colOff>
      <xdr:row>66</xdr:row>
      <xdr:rowOff>47625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CxnSpPr/>
      </xdr:nvCxnSpPr>
      <xdr:spPr>
        <a:xfrm flipH="1" flipV="1">
          <a:off x="7467600" y="12611100"/>
          <a:ext cx="304800" cy="600075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65</xdr:row>
      <xdr:rowOff>19050</xdr:rowOff>
    </xdr:from>
    <xdr:to>
      <xdr:col>9</xdr:col>
      <xdr:colOff>342900</xdr:colOff>
      <xdr:row>68</xdr:row>
      <xdr:rowOff>47625</xdr:rowOff>
    </xdr:to>
    <xdr:cxnSp macro="">
      <xdr:nvCxnSpPr>
        <xdr:cNvPr id="71" name="Straight Connector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CxnSpPr/>
      </xdr:nvCxnSpPr>
      <xdr:spPr>
        <a:xfrm flipH="1" flipV="1">
          <a:off x="6296025" y="12992100"/>
          <a:ext cx="304800" cy="600075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63</xdr:row>
      <xdr:rowOff>57150</xdr:rowOff>
    </xdr:from>
    <xdr:to>
      <xdr:col>10</xdr:col>
      <xdr:colOff>590550</xdr:colOff>
      <xdr:row>66</xdr:row>
      <xdr:rowOff>85725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CxnSpPr/>
      </xdr:nvCxnSpPr>
      <xdr:spPr>
        <a:xfrm flipH="1" flipV="1">
          <a:off x="7277100" y="12649200"/>
          <a:ext cx="304800" cy="600075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190500</xdr:colOff>
      <xdr:row>62</xdr:row>
      <xdr:rowOff>95250</xdr:rowOff>
    </xdr:from>
    <xdr:to>
      <xdr:col>11</xdr:col>
      <xdr:colOff>495300</xdr:colOff>
      <xdr:row>65</xdr:row>
      <xdr:rowOff>123825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CxnSpPr/>
      </xdr:nvCxnSpPr>
      <xdr:spPr>
        <a:xfrm flipH="1" flipV="1">
          <a:off x="7915275" y="12496800"/>
          <a:ext cx="304800" cy="600075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714375</xdr:colOff>
      <xdr:row>62</xdr:row>
      <xdr:rowOff>161925</xdr:rowOff>
    </xdr:from>
    <xdr:to>
      <xdr:col>11</xdr:col>
      <xdr:colOff>285750</xdr:colOff>
      <xdr:row>66</xdr:row>
      <xdr:rowOff>0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CxnSpPr/>
      </xdr:nvCxnSpPr>
      <xdr:spPr>
        <a:xfrm flipH="1" flipV="1">
          <a:off x="7705725" y="12563475"/>
          <a:ext cx="304800" cy="600075"/>
        </a:xfrm>
        <a:prstGeom prst="line">
          <a:avLst/>
        </a:prstGeom>
        <a:ln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52</xdr:row>
      <xdr:rowOff>85724</xdr:rowOff>
    </xdr:from>
    <xdr:to>
      <xdr:col>10</xdr:col>
      <xdr:colOff>190500</xdr:colOff>
      <xdr:row>58</xdr:row>
      <xdr:rowOff>152399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 txBox="1"/>
      </xdr:nvSpPr>
      <xdr:spPr>
        <a:xfrm>
          <a:off x="4648200" y="10582274"/>
          <a:ext cx="2533650" cy="1209675"/>
        </a:xfrm>
        <a:prstGeom prst="rect">
          <a:avLst/>
        </a:prstGeom>
        <a:solidFill>
          <a:schemeClr val="bg1">
            <a:lumMod val="85000"/>
          </a:schemeClr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NOTE:- this is just</a:t>
          </a:r>
          <a:r>
            <a:rPr lang="en-US" sz="1100" baseline="0"/>
            <a:t> a </a:t>
          </a:r>
          <a:r>
            <a:rPr lang="en-US" sz="1100"/>
            <a:t>picture (not a real graph) of an example to help with the shading. please copy</a:t>
          </a:r>
          <a:r>
            <a:rPr lang="en-US" sz="1100" baseline="0"/>
            <a:t> the graph above and paste it as a picture anywhere on this worksheet or even delete this one and use that for shading</a:t>
          </a:r>
          <a:endParaRPr lang="en-US" sz="1100"/>
        </a:p>
      </xdr:txBody>
    </xdr:sp>
    <xdr:clientData/>
  </xdr:twoCellAnchor>
  <xdr:twoCellAnchor>
    <xdr:from>
      <xdr:col>8</xdr:col>
      <xdr:colOff>457200</xdr:colOff>
      <xdr:row>61</xdr:row>
      <xdr:rowOff>152400</xdr:rowOff>
    </xdr:from>
    <xdr:to>
      <xdr:col>9</xdr:col>
      <xdr:colOff>247650</xdr:colOff>
      <xdr:row>64</xdr:row>
      <xdr:rowOff>57150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CxnSpPr/>
      </xdr:nvCxnSpPr>
      <xdr:spPr>
        <a:xfrm flipV="1">
          <a:off x="6105525" y="12363450"/>
          <a:ext cx="400050" cy="47625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63</xdr:row>
      <xdr:rowOff>0</xdr:rowOff>
    </xdr:from>
    <xdr:to>
      <xdr:col>9</xdr:col>
      <xdr:colOff>638175</xdr:colOff>
      <xdr:row>65</xdr:row>
      <xdr:rowOff>95250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CxnSpPr/>
      </xdr:nvCxnSpPr>
      <xdr:spPr>
        <a:xfrm flipV="1">
          <a:off x="6496050" y="12592050"/>
          <a:ext cx="400050" cy="47625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63</xdr:row>
      <xdr:rowOff>123825</xdr:rowOff>
    </xdr:from>
    <xdr:to>
      <xdr:col>10</xdr:col>
      <xdr:colOff>152400</xdr:colOff>
      <xdr:row>66</xdr:row>
      <xdr:rowOff>28575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CxnSpPr/>
      </xdr:nvCxnSpPr>
      <xdr:spPr>
        <a:xfrm flipV="1">
          <a:off x="6743700" y="12715875"/>
          <a:ext cx="400050" cy="47625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64</xdr:row>
      <xdr:rowOff>66675</xdr:rowOff>
    </xdr:from>
    <xdr:to>
      <xdr:col>10</xdr:col>
      <xdr:colOff>466725</xdr:colOff>
      <xdr:row>66</xdr:row>
      <xdr:rowOff>161925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CxnSpPr/>
      </xdr:nvCxnSpPr>
      <xdr:spPr>
        <a:xfrm flipV="1">
          <a:off x="7058025" y="12849225"/>
          <a:ext cx="400050" cy="47625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466725</xdr:colOff>
      <xdr:row>64</xdr:row>
      <xdr:rowOff>180975</xdr:rowOff>
    </xdr:from>
    <xdr:to>
      <xdr:col>11</xdr:col>
      <xdr:colOff>133350</xdr:colOff>
      <xdr:row>67</xdr:row>
      <xdr:rowOff>85725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CxnSpPr/>
      </xdr:nvCxnSpPr>
      <xdr:spPr>
        <a:xfrm flipV="1">
          <a:off x="7458075" y="12963525"/>
          <a:ext cx="400050" cy="47625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</xdr:colOff>
      <xdr:row>65</xdr:row>
      <xdr:rowOff>57150</xdr:rowOff>
    </xdr:from>
    <xdr:to>
      <xdr:col>11</xdr:col>
      <xdr:colOff>485775</xdr:colOff>
      <xdr:row>67</xdr:row>
      <xdr:rowOff>152400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CxnSpPr/>
      </xdr:nvCxnSpPr>
      <xdr:spPr>
        <a:xfrm flipV="1">
          <a:off x="7810500" y="13030200"/>
          <a:ext cx="400050" cy="47625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457200</xdr:colOff>
      <xdr:row>65</xdr:row>
      <xdr:rowOff>133350</xdr:rowOff>
    </xdr:from>
    <xdr:to>
      <xdr:col>12</xdr:col>
      <xdr:colOff>123825</xdr:colOff>
      <xdr:row>68</xdr:row>
      <xdr:rowOff>38100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CxnSpPr/>
      </xdr:nvCxnSpPr>
      <xdr:spPr>
        <a:xfrm flipV="1">
          <a:off x="8181975" y="13106400"/>
          <a:ext cx="400050" cy="47625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114300</xdr:colOff>
      <xdr:row>66</xdr:row>
      <xdr:rowOff>38100</xdr:rowOff>
    </xdr:from>
    <xdr:to>
      <xdr:col>12</xdr:col>
      <xdr:colOff>514350</xdr:colOff>
      <xdr:row>68</xdr:row>
      <xdr:rowOff>133350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CxnSpPr/>
      </xdr:nvCxnSpPr>
      <xdr:spPr>
        <a:xfrm flipV="1">
          <a:off x="8572500" y="13201650"/>
          <a:ext cx="400050" cy="47625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342900</xdr:colOff>
      <xdr:row>67</xdr:row>
      <xdr:rowOff>114300</xdr:rowOff>
    </xdr:from>
    <xdr:to>
      <xdr:col>8</xdr:col>
      <xdr:colOff>390525</xdr:colOff>
      <xdr:row>71</xdr:row>
      <xdr:rowOff>95250</xdr:rowOff>
    </xdr:to>
    <xdr:cxnSp macro="">
      <xdr:nvCxnSpPr>
        <xdr:cNvPr id="86" name="Straight Connector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CxnSpPr/>
      </xdr:nvCxnSpPr>
      <xdr:spPr>
        <a:xfrm flipH="1">
          <a:off x="5991225" y="13468350"/>
          <a:ext cx="47625" cy="742950"/>
        </a:xfrm>
        <a:prstGeom prst="line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142875</xdr:colOff>
      <xdr:row>67</xdr:row>
      <xdr:rowOff>142875</xdr:rowOff>
    </xdr:from>
    <xdr:to>
      <xdr:col>9</xdr:col>
      <xdr:colOff>190500</xdr:colOff>
      <xdr:row>71</xdr:row>
      <xdr:rowOff>123825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CxnSpPr/>
      </xdr:nvCxnSpPr>
      <xdr:spPr>
        <a:xfrm flipH="1">
          <a:off x="6400800" y="13496925"/>
          <a:ext cx="47625" cy="742950"/>
        </a:xfrm>
        <a:prstGeom prst="line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495300</xdr:colOff>
      <xdr:row>68</xdr:row>
      <xdr:rowOff>0</xdr:rowOff>
    </xdr:from>
    <xdr:to>
      <xdr:col>10</xdr:col>
      <xdr:colOff>542925</xdr:colOff>
      <xdr:row>71</xdr:row>
      <xdr:rowOff>171450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CxnSpPr/>
      </xdr:nvCxnSpPr>
      <xdr:spPr>
        <a:xfrm flipH="1">
          <a:off x="7486650" y="13544550"/>
          <a:ext cx="47625" cy="742950"/>
        </a:xfrm>
        <a:prstGeom prst="line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68</xdr:row>
      <xdr:rowOff>0</xdr:rowOff>
    </xdr:from>
    <xdr:to>
      <xdr:col>11</xdr:col>
      <xdr:colOff>266700</xdr:colOff>
      <xdr:row>71</xdr:row>
      <xdr:rowOff>171450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CxnSpPr/>
      </xdr:nvCxnSpPr>
      <xdr:spPr>
        <a:xfrm flipH="1">
          <a:off x="7943850" y="13544550"/>
          <a:ext cx="47625" cy="742950"/>
        </a:xfrm>
        <a:prstGeom prst="line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638175</xdr:colOff>
      <xdr:row>68</xdr:row>
      <xdr:rowOff>19050</xdr:rowOff>
    </xdr:from>
    <xdr:to>
      <xdr:col>11</xdr:col>
      <xdr:colOff>685800</xdr:colOff>
      <xdr:row>72</xdr:row>
      <xdr:rowOff>0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CxnSpPr/>
      </xdr:nvCxnSpPr>
      <xdr:spPr>
        <a:xfrm flipH="1">
          <a:off x="8362950" y="13563600"/>
          <a:ext cx="47625" cy="742950"/>
        </a:xfrm>
        <a:prstGeom prst="line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485775</xdr:colOff>
      <xdr:row>68</xdr:row>
      <xdr:rowOff>19050</xdr:rowOff>
    </xdr:from>
    <xdr:to>
      <xdr:col>12</xdr:col>
      <xdr:colOff>533400</xdr:colOff>
      <xdr:row>72</xdr:row>
      <xdr:rowOff>0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CxnSpPr/>
      </xdr:nvCxnSpPr>
      <xdr:spPr>
        <a:xfrm flipH="1">
          <a:off x="8943975" y="13563600"/>
          <a:ext cx="47625" cy="742950"/>
        </a:xfrm>
        <a:prstGeom prst="line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67</xdr:row>
      <xdr:rowOff>161925</xdr:rowOff>
    </xdr:from>
    <xdr:to>
      <xdr:col>9</xdr:col>
      <xdr:colOff>438150</xdr:colOff>
      <xdr:row>71</xdr:row>
      <xdr:rowOff>142875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/>
      </xdr:nvCxnSpPr>
      <xdr:spPr>
        <a:xfrm flipH="1">
          <a:off x="6648450" y="13515975"/>
          <a:ext cx="47625" cy="742950"/>
        </a:xfrm>
        <a:prstGeom prst="line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68</xdr:row>
      <xdr:rowOff>0</xdr:rowOff>
    </xdr:from>
    <xdr:to>
      <xdr:col>10</xdr:col>
      <xdr:colOff>47625</xdr:colOff>
      <xdr:row>71</xdr:row>
      <xdr:rowOff>171450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CxnSpPr/>
      </xdr:nvCxnSpPr>
      <xdr:spPr>
        <a:xfrm flipH="1">
          <a:off x="6991350" y="13544550"/>
          <a:ext cx="47625" cy="742950"/>
        </a:xfrm>
        <a:prstGeom prst="line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67</xdr:row>
      <xdr:rowOff>180975</xdr:rowOff>
    </xdr:from>
    <xdr:to>
      <xdr:col>10</xdr:col>
      <xdr:colOff>314325</xdr:colOff>
      <xdr:row>71</xdr:row>
      <xdr:rowOff>161925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CxnSpPr/>
      </xdr:nvCxnSpPr>
      <xdr:spPr>
        <a:xfrm flipH="1">
          <a:off x="7258050" y="13535025"/>
          <a:ext cx="47625" cy="742950"/>
        </a:xfrm>
        <a:prstGeom prst="line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276225</xdr:colOff>
      <xdr:row>57</xdr:row>
      <xdr:rowOff>171450</xdr:rowOff>
    </xdr:from>
    <xdr:to>
      <xdr:col>11</xdr:col>
      <xdr:colOff>47625</xdr:colOff>
      <xdr:row>62</xdr:row>
      <xdr:rowOff>95252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CxnSpPr/>
      </xdr:nvCxnSpPr>
      <xdr:spPr>
        <a:xfrm flipV="1">
          <a:off x="7267575" y="11620500"/>
          <a:ext cx="504825" cy="876302"/>
        </a:xfrm>
        <a:prstGeom prst="lin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628650</xdr:colOff>
      <xdr:row>58</xdr:row>
      <xdr:rowOff>85725</xdr:rowOff>
    </xdr:from>
    <xdr:to>
      <xdr:col>11</xdr:col>
      <xdr:colOff>400050</xdr:colOff>
      <xdr:row>63</xdr:row>
      <xdr:rowOff>9527</xdr:rowOff>
    </xdr:to>
    <xdr:cxnSp macro="">
      <xdr:nvCxnSpPr>
        <xdr:cNvPr id="100" name="Straight Connector 99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CxnSpPr/>
      </xdr:nvCxnSpPr>
      <xdr:spPr>
        <a:xfrm flipV="1">
          <a:off x="7620000" y="11725275"/>
          <a:ext cx="504825" cy="876302"/>
        </a:xfrm>
        <a:prstGeom prst="lin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342900</xdr:colOff>
      <xdr:row>59</xdr:row>
      <xdr:rowOff>19050</xdr:rowOff>
    </xdr:from>
    <xdr:to>
      <xdr:col>12</xdr:col>
      <xdr:colOff>114300</xdr:colOff>
      <xdr:row>63</xdr:row>
      <xdr:rowOff>133352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CxnSpPr/>
      </xdr:nvCxnSpPr>
      <xdr:spPr>
        <a:xfrm flipV="1">
          <a:off x="8067675" y="11849100"/>
          <a:ext cx="504825" cy="876302"/>
        </a:xfrm>
        <a:prstGeom prst="lin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76200</xdr:colOff>
      <xdr:row>59</xdr:row>
      <xdr:rowOff>114300</xdr:rowOff>
    </xdr:from>
    <xdr:to>
      <xdr:col>12</xdr:col>
      <xdr:colOff>581025</xdr:colOff>
      <xdr:row>64</xdr:row>
      <xdr:rowOff>38102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CxnSpPr/>
      </xdr:nvCxnSpPr>
      <xdr:spPr>
        <a:xfrm flipV="1">
          <a:off x="8534400" y="11944350"/>
          <a:ext cx="504825" cy="876302"/>
        </a:xfrm>
        <a:prstGeom prst="lin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485775</xdr:colOff>
      <xdr:row>59</xdr:row>
      <xdr:rowOff>180975</xdr:rowOff>
    </xdr:from>
    <xdr:to>
      <xdr:col>13</xdr:col>
      <xdr:colOff>257175</xdr:colOff>
      <xdr:row>64</xdr:row>
      <xdr:rowOff>104777</xdr:rowOff>
    </xdr:to>
    <xdr:cxnSp macro="">
      <xdr:nvCxnSpPr>
        <xdr:cNvPr id="103" name="Straight Connector 102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CxnSpPr/>
      </xdr:nvCxnSpPr>
      <xdr:spPr>
        <a:xfrm flipV="1">
          <a:off x="8943975" y="12011025"/>
          <a:ext cx="504825" cy="876302"/>
        </a:xfrm>
        <a:prstGeom prst="lin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114300</xdr:colOff>
      <xdr:row>60</xdr:row>
      <xdr:rowOff>47625</xdr:rowOff>
    </xdr:from>
    <xdr:to>
      <xdr:col>13</xdr:col>
      <xdr:colOff>619125</xdr:colOff>
      <xdr:row>64</xdr:row>
      <xdr:rowOff>161927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CxnSpPr/>
      </xdr:nvCxnSpPr>
      <xdr:spPr>
        <a:xfrm flipV="1">
          <a:off x="9305925" y="12068175"/>
          <a:ext cx="504825" cy="876302"/>
        </a:xfrm>
        <a:prstGeom prst="lin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619125</xdr:colOff>
      <xdr:row>60</xdr:row>
      <xdr:rowOff>123825</xdr:rowOff>
    </xdr:from>
    <xdr:to>
      <xdr:col>14</xdr:col>
      <xdr:colOff>390525</xdr:colOff>
      <xdr:row>65</xdr:row>
      <xdr:rowOff>47627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CxnSpPr/>
      </xdr:nvCxnSpPr>
      <xdr:spPr>
        <a:xfrm flipV="1">
          <a:off x="9810750" y="12144375"/>
          <a:ext cx="504825" cy="876302"/>
        </a:xfrm>
        <a:prstGeom prst="lin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628650</xdr:colOff>
      <xdr:row>57</xdr:row>
      <xdr:rowOff>57150</xdr:rowOff>
    </xdr:from>
    <xdr:to>
      <xdr:col>10</xdr:col>
      <xdr:colOff>400050</xdr:colOff>
      <xdr:row>61</xdr:row>
      <xdr:rowOff>171452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CxnSpPr/>
      </xdr:nvCxnSpPr>
      <xdr:spPr>
        <a:xfrm flipV="1">
          <a:off x="6886575" y="11506200"/>
          <a:ext cx="504825" cy="876302"/>
        </a:xfrm>
        <a:prstGeom prst="line">
          <a:avLst/>
        </a:prstGeom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66</xdr:row>
      <xdr:rowOff>154306</xdr:rowOff>
    </xdr:from>
    <xdr:to>
      <xdr:col>10</xdr:col>
      <xdr:colOff>342900</xdr:colOff>
      <xdr:row>67</xdr:row>
      <xdr:rowOff>28575</xdr:rowOff>
    </xdr:to>
    <xdr:sp macro="" textlink="">
      <xdr:nvSpPr>
        <xdr:cNvPr id="108" name="Oval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/>
      </xdr:nvSpPr>
      <xdr:spPr>
        <a:xfrm>
          <a:off x="7258050" y="13317856"/>
          <a:ext cx="76200" cy="64769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266700</xdr:colOff>
      <xdr:row>67</xdr:row>
      <xdr:rowOff>144781</xdr:rowOff>
    </xdr:from>
    <xdr:to>
      <xdr:col>10</xdr:col>
      <xdr:colOff>323850</xdr:colOff>
      <xdr:row>68</xdr:row>
      <xdr:rowOff>19050</xdr:rowOff>
    </xdr:to>
    <xdr:sp macro="" textlink="">
      <xdr:nvSpPr>
        <xdr:cNvPr id="109" name="Oval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/>
      </xdr:nvSpPr>
      <xdr:spPr>
        <a:xfrm>
          <a:off x="7258050" y="13498831"/>
          <a:ext cx="57150" cy="64769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504825</xdr:colOff>
      <xdr:row>67</xdr:row>
      <xdr:rowOff>123825</xdr:rowOff>
    </xdr:from>
    <xdr:to>
      <xdr:col>9</xdr:col>
      <xdr:colOff>581025</xdr:colOff>
      <xdr:row>67</xdr:row>
      <xdr:rowOff>188594</xdr:rowOff>
    </xdr:to>
    <xdr:sp macro="" textlink="">
      <xdr:nvSpPr>
        <xdr:cNvPr id="110" name="Oval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/>
      </xdr:nvSpPr>
      <xdr:spPr>
        <a:xfrm>
          <a:off x="6762750" y="13477875"/>
          <a:ext cx="76200" cy="64769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266700</xdr:colOff>
      <xdr:row>67</xdr:row>
      <xdr:rowOff>161925</xdr:rowOff>
    </xdr:from>
    <xdr:to>
      <xdr:col>10</xdr:col>
      <xdr:colOff>342900</xdr:colOff>
      <xdr:row>68</xdr:row>
      <xdr:rowOff>36194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/>
      </xdr:nvSpPr>
      <xdr:spPr>
        <a:xfrm>
          <a:off x="7258050" y="13515975"/>
          <a:ext cx="76200" cy="64769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27356</xdr:colOff>
      <xdr:row>89</xdr:row>
      <xdr:rowOff>133913</xdr:rowOff>
    </xdr:from>
    <xdr:to>
      <xdr:col>11</xdr:col>
      <xdr:colOff>754389</xdr:colOff>
      <xdr:row>90</xdr:row>
      <xdr:rowOff>119369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4096786">
          <a:off x="8846820" y="17765374"/>
          <a:ext cx="175956" cy="72703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0</xdr:row>
      <xdr:rowOff>133351</xdr:rowOff>
    </xdr:from>
    <xdr:to>
      <xdr:col>5</xdr:col>
      <xdr:colOff>409575</xdr:colOff>
      <xdr:row>3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190625" y="133351"/>
          <a:ext cx="2543175" cy="419099"/>
        </a:xfrm>
        <a:prstGeom prst="rect">
          <a:avLst/>
        </a:prstGeom>
        <a:solidFill>
          <a:schemeClr val="bg1">
            <a:lumMod val="85000"/>
          </a:schemeClr>
        </a:solidFill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CONSTRAINT DIAGRAMS</a:t>
          </a:r>
        </a:p>
      </xdr:txBody>
    </xdr:sp>
    <xdr:clientData/>
  </xdr:twoCellAnchor>
  <xdr:twoCellAnchor>
    <xdr:from>
      <xdr:col>15</xdr:col>
      <xdr:colOff>238125</xdr:colOff>
      <xdr:row>3</xdr:row>
      <xdr:rowOff>158750</xdr:rowOff>
    </xdr:from>
    <xdr:to>
      <xdr:col>23</xdr:col>
      <xdr:colOff>390525</xdr:colOff>
      <xdr:row>31</xdr:row>
      <xdr:rowOff>74083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142874</xdr:colOff>
      <xdr:row>3</xdr:row>
      <xdr:rowOff>152401</xdr:rowOff>
    </xdr:from>
    <xdr:to>
      <xdr:col>15</xdr:col>
      <xdr:colOff>95249</xdr:colOff>
      <xdr:row>31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66674</xdr:rowOff>
    </xdr:from>
    <xdr:to>
      <xdr:col>11</xdr:col>
      <xdr:colOff>123825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533400</xdr:colOff>
      <xdr:row>1</xdr:row>
      <xdr:rowOff>57150</xdr:rowOff>
    </xdr:from>
    <xdr:to>
      <xdr:col>2</xdr:col>
      <xdr:colOff>161925</xdr:colOff>
      <xdr:row>2</xdr:row>
      <xdr:rowOff>85725</xdr:rowOff>
    </xdr:to>
    <xdr:cxnSp macro="">
      <xdr:nvCxnSpPr>
        <xdr:cNvPr id="4" name="Elbow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1143000" y="247650"/>
          <a:ext cx="342900" cy="219075"/>
        </a:xfrm>
        <a:prstGeom prst="bentConnector3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385232</xdr:colOff>
      <xdr:row>9</xdr:row>
      <xdr:rowOff>86782</xdr:rowOff>
    </xdr:from>
    <xdr:to>
      <xdr:col>23</xdr:col>
      <xdr:colOff>10583</xdr:colOff>
      <xdr:row>30</xdr:row>
      <xdr:rowOff>105833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%20Performa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.Control%20Surface%20Siz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ke-off"/>
      <sheetName val="climb"/>
      <sheetName val="cruise"/>
      <sheetName val="Range &amp; Endurance"/>
      <sheetName val="Landing"/>
    </sheetNames>
    <sheetDataSet>
      <sheetData sheetId="0">
        <row r="7">
          <cell r="C7">
            <v>520</v>
          </cell>
          <cell r="P7">
            <v>5.4006965223581664E-2</v>
          </cell>
        </row>
        <row r="9">
          <cell r="P9" t="str">
            <v>5850</v>
          </cell>
        </row>
        <row r="10">
          <cell r="R10">
            <v>257.80809411051797</v>
          </cell>
        </row>
        <row r="16">
          <cell r="B16">
            <v>140</v>
          </cell>
          <cell r="G16">
            <v>0.75</v>
          </cell>
          <cell r="M16">
            <v>0.14962326466758191</v>
          </cell>
        </row>
        <row r="17">
          <cell r="B17">
            <v>170</v>
          </cell>
          <cell r="M17">
            <v>1.4869053204776603</v>
          </cell>
        </row>
        <row r="26">
          <cell r="S26">
            <v>67.115778419410034</v>
          </cell>
        </row>
        <row r="28">
          <cell r="Q28">
            <v>0.58301407661284199</v>
          </cell>
        </row>
      </sheetData>
      <sheetData sheetId="1">
        <row r="19">
          <cell r="B19">
            <v>75.225033459938444</v>
          </cell>
        </row>
      </sheetData>
      <sheetData sheetId="2">
        <row r="7">
          <cell r="B7">
            <v>0.75</v>
          </cell>
        </row>
        <row r="8">
          <cell r="B8">
            <v>379.59999999999997</v>
          </cell>
          <cell r="E8">
            <v>0.5</v>
          </cell>
        </row>
        <row r="9">
          <cell r="B9">
            <v>1.7560986721051812E-3</v>
          </cell>
        </row>
        <row r="11">
          <cell r="B11">
            <v>140</v>
          </cell>
        </row>
        <row r="12">
          <cell r="B12">
            <v>49.036546304754481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leron"/>
      <sheetName val="Elevator"/>
      <sheetName val="Rudder"/>
    </sheetNames>
    <sheetDataSet>
      <sheetData sheetId="0">
        <row r="5">
          <cell r="L5">
            <v>1.2919793056840305</v>
          </cell>
        </row>
        <row r="6">
          <cell r="L6">
            <v>4.9095213615993156</v>
          </cell>
        </row>
        <row r="7">
          <cell r="L7">
            <v>1.4296492316995417</v>
          </cell>
        </row>
        <row r="8">
          <cell r="B8">
            <v>6.343</v>
          </cell>
          <cell r="L8">
            <v>0.09</v>
          </cell>
        </row>
        <row r="17">
          <cell r="B17">
            <v>3.8</v>
          </cell>
        </row>
        <row r="19">
          <cell r="B19">
            <v>5</v>
          </cell>
        </row>
        <row r="20">
          <cell r="B20">
            <v>0.8</v>
          </cell>
        </row>
      </sheetData>
      <sheetData sheetId="1">
        <row r="3">
          <cell r="B3">
            <v>1.3462000000000001</v>
          </cell>
        </row>
        <row r="4">
          <cell r="B4">
            <v>9.1</v>
          </cell>
        </row>
        <row r="9">
          <cell r="H9">
            <v>5.0999999999999996</v>
          </cell>
        </row>
        <row r="39">
          <cell r="E39">
            <v>4.9095213615993156</v>
          </cell>
        </row>
      </sheetData>
      <sheetData sheetId="2">
        <row r="2">
          <cell r="B2">
            <v>3.9496000000000002</v>
          </cell>
        </row>
        <row r="3">
          <cell r="K3">
            <v>1.4</v>
          </cell>
        </row>
        <row r="4">
          <cell r="K4">
            <v>20</v>
          </cell>
        </row>
        <row r="5">
          <cell r="K5">
            <v>0.09</v>
          </cell>
        </row>
        <row r="6">
          <cell r="K6">
            <v>1.6796258086677691</v>
          </cell>
        </row>
        <row r="8">
          <cell r="K8">
            <v>0.85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00000000}" name="Table28" displayName="Table28" ref="I15:L29" headerRowCount="0" totalsRowShown="0">
  <tableColumns count="4">
    <tableColumn id="1" xr3:uid="{00000000-0010-0000-0000-000001000000}" name="Column1" headerRowDxfId="157" dataDxfId="156"/>
    <tableColumn id="2" xr3:uid="{00000000-0010-0000-0000-000002000000}" name="Column2" headerRowDxfId="155" dataDxfId="154"/>
    <tableColumn id="3" xr3:uid="{00000000-0010-0000-0000-000003000000}" name="Column3"/>
    <tableColumn id="4" xr3:uid="{00000000-0010-0000-0000-000004000000}" name="Column4" headerRowDxfId="153" dataDxfId="152" headerRowCellStyle="Currency" dataCellStyle="Currency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able9" displayName="Table9" ref="G32:J37" totalsRowShown="0">
  <autoFilter ref="G32:J37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MTOW ="/>
    <tableColumn id="2" xr3:uid="{00000000-0010-0000-0900-000002000000}" name="."/>
    <tableColumn id="3" xr3:uid="{00000000-0010-0000-0900-000003000000}" name="5850" dataDxfId="118"/>
    <tableColumn id="4" xr3:uid="{00000000-0010-0000-0900-000004000000}" name="lbs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A000000}" name="Table1" displayName="Table1" ref="A10:C11" headerRowCount="0" totalsRowShown="0">
  <tableColumns count="3">
    <tableColumn id="1" xr3:uid="{00000000-0010-0000-0A00-000001000000}" name="Column1"/>
    <tableColumn id="2" xr3:uid="{00000000-0010-0000-0A00-000002000000}" name="Column2" headerRowDxfId="117" dataDxfId="116"/>
    <tableColumn id="3" xr3:uid="{00000000-0010-0000-0A00-000003000000}" name="Column3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B000000}" name="Table2" displayName="Table2" ref="A14:C18" totalsRowShown="0">
  <autoFilter ref="A14:C18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B00-000001000000}" name=" Vmax   " dataDxfId="115"/>
    <tableColumn id="2" xr3:uid="{00000000-0010-0000-0B00-000002000000}" name="170"/>
    <tableColumn id="3" xr3:uid="{00000000-0010-0000-0B00-000003000000}" name="knots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C000000}" name="Table3" displayName="Table3" ref="A21:C30" totalsRowShown="0">
  <autoFilter ref="A21:C30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C00-000001000000}" name="STO" dataDxfId="114"/>
    <tableColumn id="2" xr3:uid="{00000000-0010-0000-0C00-000002000000}" name="1500"/>
    <tableColumn id="3" xr3:uid="{00000000-0010-0000-0C00-000003000000}" name="ft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4" displayName="Table4" ref="F11:H12" totalsRowShown="0" headerRowDxfId="113">
  <autoFilter ref="F11:H12" xr:uid="{00000000-0009-0000-0100-000004000000}">
    <filterColumn colId="0" hiddenButton="1"/>
    <filterColumn colId="1" hiddenButton="1"/>
    <filterColumn colId="2" hiddenButton="1"/>
  </autoFilter>
  <tableColumns count="3">
    <tableColumn id="1" xr3:uid="{00000000-0010-0000-0D00-000001000000}" name="ROC" dataDxfId="112"/>
    <tableColumn id="2" xr3:uid="{00000000-0010-0000-0D00-000002000000}" name="1600" dataDxfId="111"/>
    <tableColumn id="3" xr3:uid="{00000000-0010-0000-0D00-000003000000}" name="fpm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E000000}" name="Table5" displayName="Table5" ref="F15:H18" totalsRowShown="0">
  <autoFilter ref="F15:H18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E00-000001000000}" name="ceiling" dataDxfId="110"/>
    <tableColumn id="2" xr3:uid="{00000000-0010-0000-0E00-000002000000}" name="18000"/>
    <tableColumn id="3" xr3:uid="{00000000-0010-0000-0E00-000003000000}" name="ft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F000000}" name="Table11" displayName="Table11" ref="J3:P21" headerRowCount="0" totalsRowShown="0">
  <tableColumns count="7">
    <tableColumn id="1" xr3:uid="{00000000-0010-0000-0F00-000001000000}" name="Column1">
      <calculatedColumnFormula>J3+1.5</calculatedColumnFormula>
    </tableColumn>
    <tableColumn id="2" xr3:uid="{00000000-0010-0000-0F00-000002000000}" name="Column2">
      <calculatedColumnFormula>0.5*$B$2*$B$10*($B$11*1.688)^2</calculatedColumnFormula>
    </tableColumn>
    <tableColumn id="3" xr3:uid="{00000000-0010-0000-0F00-000003000000}" name="Column3" headerRowDxfId="109" dataDxfId="108">
      <calculatedColumnFormula>L3+2</calculatedColumnFormula>
    </tableColumn>
    <tableColumn id="4" xr3:uid="{00000000-0010-0000-0F00-000004000000}" name="Column4">
      <calculatedColumnFormula>'MTOW &amp; WEIGHTS'!$B$27*550/((0.5*'Sref and POWER SIZING'!$B$2*('Sref and POWER SIZING'!$B$14*1.688)^3*'Sref and POWER SIZING'!$B$15/'Sref and POWER SIZING'!J3)+(2*'Sref and POWER SIZING'!$B$16*'Sref and POWER SIZING'!J3/('Sref and POWER SIZING'!$B$5*'Sref and POWER SIZING'!$B$6*'Sref and POWER SIZING'!$B$14*1.688)))</calculatedColumnFormula>
    </tableColumn>
    <tableColumn id="5" xr3:uid="{00000000-0010-0000-0F00-000005000000}" name="Column5">
      <calculatedColumnFormula>( (1-EXP(0.6*$B$2*32.17*$B$29*$B$21/J3))/( $B$30-($B$30+$B$29/$B$27)*(EXP(0.6*$B$2*32.17*$B$29*$B$21/J3))))*(550*$B$28/($B$23*1.688))</calculatedColumnFormula>
    </tableColumn>
    <tableColumn id="6" xr3:uid="{00000000-0010-0000-0F00-000006000000}" name="Column6">
      <calculatedColumnFormula>1/ ( ($G$11/(60*$G$12*550))+ SQRT(2*J3/($B$2*SQRT(3*$B$15/$B$16)))*(1.155/('MTOW &amp; WEIGHTS'!$B$25*'Sref and POWER SIZING'!$G$12*550)))</calculatedColumnFormula>
    </tableColumn>
    <tableColumn id="7" xr3:uid="{00000000-0010-0000-0F00-000007000000}" name="Column7">
      <calculatedColumnFormula>$G$17/( ($G$18/(60*$G$12*550))+((SQRT(2*J3/($G$16*SQRT(3*$B$15/$B$16))))*(1.155/($G$12*550*'MTOW &amp; WEIGHTS'!$B$25))))</calculatedColumnFormula>
    </tableColumn>
  </tableColumns>
  <tableStyleInfo name="TableStyleLight15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0000000}" name="Table16" displayName="Table16" ref="D2:H7" headerRowCount="0" totalsRowShown="0">
  <tableColumns count="5">
    <tableColumn id="1" xr3:uid="{00000000-0010-0000-1000-000001000000}" name="Column1"/>
    <tableColumn id="2" xr3:uid="{00000000-0010-0000-1000-000002000000}" name="Column2"/>
    <tableColumn id="3" xr3:uid="{00000000-0010-0000-1000-000003000000}" name="Column3"/>
    <tableColumn id="4" xr3:uid="{00000000-0010-0000-1000-000004000000}" name="Column4"/>
    <tableColumn id="5" xr3:uid="{00000000-0010-0000-1000-000005000000}" name="Column5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1000000}" name="Table17" displayName="Table17" ref="A2:C6" headerRowCount="0" totalsRowShown="0">
  <tableColumns count="3">
    <tableColumn id="1" xr3:uid="{00000000-0010-0000-1100-000001000000}" name="Column1" dataDxfId="107"/>
    <tableColumn id="2" xr3:uid="{00000000-0010-0000-1100-000002000000}" name="Column2"/>
    <tableColumn id="3" xr3:uid="{00000000-0010-0000-1100-000003000000}" name="Column3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2000000}" name="Table26" displayName="Table26" ref="A87:H103" headerRowCount="0" totalsRowShown="0" headerRowDxfId="106">
  <tableColumns count="8">
    <tableColumn id="1" xr3:uid="{00000000-0010-0000-1200-000001000000}" name="Column1"/>
    <tableColumn id="2" xr3:uid="{00000000-0010-0000-1200-000002000000}" name="Column2" headerRowDxfId="105"/>
    <tableColumn id="3" xr3:uid="{00000000-0010-0000-1200-000003000000}" name="Column3" headerRowDxfId="104"/>
    <tableColumn id="4" xr3:uid="{00000000-0010-0000-1200-000004000000}" name="Column4" headerRowDxfId="103"/>
    <tableColumn id="5" xr3:uid="{00000000-0010-0000-1200-000005000000}" name="Column5" headerRowDxfId="102"/>
    <tableColumn id="6" xr3:uid="{00000000-0010-0000-1200-000006000000}" name="Column6" headerRowDxfId="101"/>
    <tableColumn id="7" xr3:uid="{00000000-0010-0000-1200-000007000000}" name="Column7" headerRowDxfId="100"/>
    <tableColumn id="8" xr3:uid="{00000000-0010-0000-1200-000008000000}" name="Column8" headerRowDxfId="99" dataDxfId="9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01000000}" name="Table29" displayName="Table29" ref="S31:X53" headerRowCount="0" totalsRowShown="0" headerRowDxfId="151">
  <tableColumns count="6">
    <tableColumn id="1" xr3:uid="{00000000-0010-0000-0100-000001000000}" name="Column1">
      <calculatedColumnFormula>M30+0.5</calculatedColumnFormula>
    </tableColumn>
    <tableColumn id="2" xr3:uid="{00000000-0010-0000-0100-000002000000}" name="Column2" dataDxfId="150">
      <calculatedColumnFormula>$C$32+($C$33*M31)</calculatedColumnFormula>
    </tableColumn>
    <tableColumn id="3" xr3:uid="{00000000-0010-0000-0100-000003000000}" name="Column3" dataDxfId="149">
      <calculatedColumnFormula>$C$32</calculatedColumnFormula>
    </tableColumn>
    <tableColumn id="4" xr3:uid="{00000000-0010-0000-0100-000004000000}" name="Column4" headerRowDxfId="148" dataDxfId="147">
      <calculatedColumnFormula>$C$34*M31</calculatedColumnFormula>
    </tableColumn>
    <tableColumn id="5" xr3:uid="{00000000-0010-0000-0100-000005000000}" name="Column5" headerRowDxfId="146" dataDxfId="145">
      <calculatedColumnFormula>$C$35*M31</calculatedColumnFormula>
    </tableColumn>
    <tableColumn id="6" xr3:uid="{00000000-0010-0000-0100-000006000000}" name="Column6" headerRowDxfId="144" dataDxfId="143">
      <calculatedColumnFormula>$C$36*M31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3000000}" name="Table27" displayName="Table27" ref="K94:N103" headerRowCount="0" totalsRowShown="0" headerRowDxfId="97">
  <tableColumns count="4">
    <tableColumn id="1" xr3:uid="{00000000-0010-0000-1300-000001000000}" name="Column1" headerRowDxfId="96"/>
    <tableColumn id="2" xr3:uid="{00000000-0010-0000-1300-000002000000}" name="Column2" headerRowDxfId="95" dataDxfId="94"/>
    <tableColumn id="3" xr3:uid="{00000000-0010-0000-1300-000003000000}" name="Column3" headerRowDxfId="93"/>
    <tableColumn id="4" xr3:uid="{00000000-0010-0000-1300-000004000000}" name="Column4" headerRowDxfId="92"/>
  </tableColumns>
  <tableStyleInfo name="TableStyleMedium21" showFirstColumn="0" showLastColumn="0" showRowStripes="0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4000000}" name="Table15" displayName="Table15" ref="A5:C29" headerRowCount="0" totalsRowShown="0">
  <tableColumns count="3">
    <tableColumn id="1" xr3:uid="{00000000-0010-0000-1400-000001000000}" name="Column1" dataDxfId="91"/>
    <tableColumn id="2" xr3:uid="{00000000-0010-0000-1400-000002000000}" name="Column2" headerRowDxfId="90"/>
    <tableColumn id="3" xr3:uid="{00000000-0010-0000-1400-000003000000}" name="Column3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5000000}" name="Table20" displayName="Table20" ref="A3:P21" headerRowCount="0" totalsRowShown="0" headerRowDxfId="89" dataDxfId="88">
  <tableColumns count="16">
    <tableColumn id="1" xr3:uid="{00000000-0010-0000-1500-000001000000}" name="Column1" dataDxfId="87"/>
    <tableColumn id="2" xr3:uid="{00000000-0010-0000-1500-000002000000}" name="Column2" dataDxfId="86"/>
    <tableColumn id="3" xr3:uid="{00000000-0010-0000-1500-000003000000}" name="Column3" headerRowDxfId="85" dataDxfId="84"/>
    <tableColumn id="4" xr3:uid="{00000000-0010-0000-1500-000004000000}" name="Column4" headerRowDxfId="83" dataDxfId="82"/>
    <tableColumn id="5" xr3:uid="{00000000-0010-0000-1500-000005000000}" name="Column5" dataDxfId="81"/>
    <tableColumn id="6" xr3:uid="{00000000-0010-0000-1500-000006000000}" name="Column6" dataDxfId="80"/>
    <tableColumn id="7" xr3:uid="{00000000-0010-0000-1500-000007000000}" name="Column7" headerRowDxfId="79" dataDxfId="78"/>
    <tableColumn id="8" xr3:uid="{00000000-0010-0000-1500-000008000000}" name="Column8" headerRowDxfId="77" dataDxfId="76"/>
    <tableColumn id="9" xr3:uid="{00000000-0010-0000-1500-000009000000}" name="Column9" headerRowDxfId="75" dataDxfId="74"/>
    <tableColumn id="10" xr3:uid="{00000000-0010-0000-1500-00000A000000}" name="Column10" headerRowDxfId="73" dataDxfId="72"/>
    <tableColumn id="11" xr3:uid="{00000000-0010-0000-1500-00000B000000}" name="Column11" headerRowDxfId="71" dataDxfId="70"/>
    <tableColumn id="12" xr3:uid="{00000000-0010-0000-1500-00000C000000}" name="Column12" headerRowDxfId="69"/>
    <tableColumn id="16" xr3:uid="{00000000-0010-0000-1500-000010000000}" name="Column16" headerRowDxfId="68"/>
    <tableColumn id="13" xr3:uid="{00000000-0010-0000-1500-00000D000000}" name="Column13" headerRowDxfId="67" dataDxfId="66"/>
    <tableColumn id="14" xr3:uid="{00000000-0010-0000-1500-00000E000000}" name="Column14" dataDxfId="65"/>
    <tableColumn id="15" xr3:uid="{00000000-0010-0000-1500-00000F000000}" name="Column15" headerRowDxfId="64" dataDxfId="63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6000000}" name="Table22" displayName="Table22" ref="K22:O26" headerRowCount="0" totalsRowShown="0">
  <tableColumns count="5">
    <tableColumn id="1" xr3:uid="{00000000-0010-0000-1600-000001000000}" name="Column1" dataDxfId="62"/>
    <tableColumn id="2" xr3:uid="{00000000-0010-0000-1600-000002000000}" name="Column2"/>
    <tableColumn id="5" xr3:uid="{00000000-0010-0000-1600-000005000000}" name="Column5" dataDxfId="61" dataCellStyle="Percent">
      <calculatedColumnFormula>Table22[[#This Row],[Column2]]/Table9[[#Headers],[5850]]</calculatedColumnFormula>
    </tableColumn>
    <tableColumn id="3" xr3:uid="{00000000-0010-0000-1600-000003000000}" name="Column3" dataDxfId="60"/>
    <tableColumn id="4" xr3:uid="{00000000-0010-0000-1600-000004000000}" name="Column4">
      <calculatedColumnFormula>L22*N22</calculatedColumnFormula>
    </tableColumn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7000000}" name="Table23" displayName="Table23" ref="J27:O38" headerRowCount="0" totalsRowShown="0">
  <tableColumns count="6">
    <tableColumn id="1" xr3:uid="{00000000-0010-0000-1700-000001000000}" name="Column1" headerRowDxfId="59"/>
    <tableColumn id="2" xr3:uid="{00000000-0010-0000-1700-000002000000}" name="Column2"/>
    <tableColumn id="3" xr3:uid="{00000000-0010-0000-1700-000003000000}" name="Column3"/>
    <tableColumn id="6" xr3:uid="{00000000-0010-0000-1700-000006000000}" name="Column6" dataDxfId="58">
      <calculatedColumnFormula>Table23[[#This Row],[Column3]]/Table9[[#Headers],[5850]]</calculatedColumnFormula>
    </tableColumn>
    <tableColumn id="4" xr3:uid="{00000000-0010-0000-1700-000004000000}" name="Column4"/>
    <tableColumn id="5" xr3:uid="{00000000-0010-0000-1700-000005000000}" name="Column5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8000000}" name="Table10" displayName="Table10" ref="H3:P6" headerRowCount="0" totalsRowShown="0" headerRowDxfId="57">
  <tableColumns count="9">
    <tableColumn id="1" xr3:uid="{00000000-0010-0000-1800-000001000000}" name="Column1" headerRowDxfId="56"/>
    <tableColumn id="2" xr3:uid="{00000000-0010-0000-1800-000002000000}" name="Column2" headerRowDxfId="55"/>
    <tableColumn id="3" xr3:uid="{00000000-0010-0000-1800-000003000000}" name="Column3" headerRowDxfId="54"/>
    <tableColumn id="4" xr3:uid="{00000000-0010-0000-1800-000004000000}" name="Column4" headerRowDxfId="53"/>
    <tableColumn id="5" xr3:uid="{00000000-0010-0000-1800-000005000000}" name="Column5" headerRowDxfId="52">
      <calculatedColumnFormula>((K4-0)/(0-J4))*57.3</calculatedColumnFormula>
    </tableColumn>
    <tableColumn id="6" xr3:uid="{00000000-0010-0000-1800-000006000000}" name="Column6" headerRowDxfId="51"/>
    <tableColumn id="7" xr3:uid="{00000000-0010-0000-1800-000007000000}" name="Column7" headerRowDxfId="50"/>
    <tableColumn id="8" xr3:uid="{00000000-0010-0000-1800-000008000000}" name="Column8" headerRowDxfId="49"/>
    <tableColumn id="9" xr3:uid="{00000000-0010-0000-1800-000009000000}" name="Column9" headerRowDxfId="48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19000000}" name="Table12" displayName="Table12" ref="A4:C17" headerRowCount="0" totalsRowShown="0">
  <tableColumns count="3">
    <tableColumn id="1" xr3:uid="{00000000-0010-0000-1900-000001000000}" name="Column1" headerRowDxfId="47"/>
    <tableColumn id="2" xr3:uid="{00000000-0010-0000-1900-000002000000}" name="Column2" headerRowDxfId="46"/>
    <tableColumn id="3" xr3:uid="{00000000-0010-0000-1900-000003000000}" name="Column3"/>
  </tableColumns>
  <tableStyleInfo name="TableStyleLight9" showFirstColumn="0" showLastColumn="0" showRowStripes="1" showColumnStripes="1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1A000000}" name="Table13" displayName="Table13" ref="A20:C33" headerRowCount="0" totalsRowShown="0">
  <tableColumns count="3">
    <tableColumn id="1" xr3:uid="{00000000-0010-0000-1A00-000001000000}" name="Column1" headerRowDxfId="45" dataDxfId="44"/>
    <tableColumn id="2" xr3:uid="{00000000-0010-0000-1A00-000002000000}" name="Column2" headerRowDxfId="43"/>
    <tableColumn id="3" xr3:uid="{00000000-0010-0000-1A00-000003000000}" name="Column3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B000000}" name="Table14" displayName="Table14" ref="E4:F8" headerRowCount="0" totalsRowShown="0" headerRowDxfId="42">
  <tableColumns count="2">
    <tableColumn id="1" xr3:uid="{00000000-0010-0000-1B00-000001000000}" name="Column1" headerRowDxfId="41"/>
    <tableColumn id="2" xr3:uid="{00000000-0010-0000-1B00-000002000000}" name="Column2" headerRowDxfId="40" dataDxfId="39" dataCellStyle="Comma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C000000}" name="Table18" displayName="Table18" ref="E15:F18" headerRowCount="0" totalsRowShown="0">
  <tableColumns count="2">
    <tableColumn id="1" xr3:uid="{00000000-0010-0000-1C00-000001000000}" name="Column1"/>
    <tableColumn id="2" xr3:uid="{00000000-0010-0000-1C00-000002000000}" name="Column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2000000}" name="Table30" displayName="Table30" ref="J57:M63" headerRowCount="0" totalsRowShown="0" headerRowDxfId="142" headerRowBorderDxfId="141" headerRowCellStyle="Heading 2">
  <tableColumns count="4">
    <tableColumn id="1" xr3:uid="{00000000-0010-0000-0200-000001000000}" name="Column1" headerRowDxfId="140" headerRowCellStyle="Heading 2"/>
    <tableColumn id="2" xr3:uid="{00000000-0010-0000-0200-000002000000}" name="Column2" headerRowDxfId="139" dataDxfId="138" headerRowCellStyle="Heading 2"/>
    <tableColumn id="3" xr3:uid="{00000000-0010-0000-0200-000003000000}" name="Column3" headerRowDxfId="137" headerRowCellStyle="Heading 2"/>
    <tableColumn id="4" xr3:uid="{00000000-0010-0000-0200-000004000000}" name="Column4" headerRowDxfId="136" headerRowCellStyle="Heading 2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D000000}" name="Table21" displayName="Table21" ref="I10:M18" headerRowCount="0" totalsRowShown="0" headerRowDxfId="38">
  <tableColumns count="5">
    <tableColumn id="1" xr3:uid="{00000000-0010-0000-1D00-000001000000}" name="Column1"/>
    <tableColumn id="2" xr3:uid="{00000000-0010-0000-1D00-000002000000}" name="Column2" headerRowDxfId="37"/>
    <tableColumn id="3" xr3:uid="{00000000-0010-0000-1D00-000003000000}" name="Column3" headerRowDxfId="36"/>
    <tableColumn id="4" xr3:uid="{00000000-0010-0000-1D00-000004000000}" name="Column4" headerRowDxfId="35"/>
    <tableColumn id="5" xr3:uid="{00000000-0010-0000-1D00-000005000000}" name="Column5"/>
  </tableColumns>
  <tableStyleInfo name="TableStyleLight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E000000}" name="Table19" displayName="Table19" ref="E9:F12" headerRowCount="0" totalsRowShown="0" headerRowDxfId="34">
  <tableColumns count="2">
    <tableColumn id="1" xr3:uid="{00000000-0010-0000-1E00-000001000000}" name="Column1" headerRowDxfId="33"/>
    <tableColumn id="2" xr3:uid="{00000000-0010-0000-1E00-000002000000}" name="Column2" headerRowDxfId="32"/>
  </tableColumns>
  <tableStyleInfo name="TableStyleLight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F000000}" name="Table25" displayName="Table25" ref="K23:M33" headerRowCount="0" totalsRowShown="0" headerRowDxfId="31">
  <tableColumns count="3">
    <tableColumn id="1" xr3:uid="{00000000-0010-0000-1F00-000001000000}" name="Column1" headerRowDxfId="30"/>
    <tableColumn id="2" xr3:uid="{00000000-0010-0000-1F00-000002000000}" name="Column2" headerRowDxfId="29" dataDxfId="28"/>
    <tableColumn id="3" xr3:uid="{00000000-0010-0000-1F00-000003000000}" name="Column3" headerRowDxfId="27"/>
  </tableColumns>
  <tableStyleInfo name="TableStyleLight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20000000}" name="Table24" displayName="Table24" ref="A3:E15" headerRowCount="0" headerRowDxfId="26">
  <tableColumns count="5">
    <tableColumn id="1" xr3:uid="{00000000-0010-0000-2000-000001000000}" name="Column1" totalsRowLabel="Total" headerRowDxfId="25" dataDxfId="24" totalsRowDxfId="23"/>
    <tableColumn id="2" xr3:uid="{00000000-0010-0000-2000-000002000000}" name="Column2" headerRowDxfId="22"/>
    <tableColumn id="3" xr3:uid="{00000000-0010-0000-2000-000003000000}" name="Column3" headerRowDxfId="21"/>
    <tableColumn id="4" xr3:uid="{00000000-0010-0000-2000-000004000000}" name="Column4" headerRowDxfId="20"/>
    <tableColumn id="5" xr3:uid="{00000000-0010-0000-2000-000005000000}" name="Column5" totalsRowFunction="count" headerRowDxfId="19"/>
  </tableColumns>
  <tableStyleInfo name="TableStyleLight2" showFirstColumn="1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34" displayName="Table34" ref="G3:I7" headerRowCount="0" totalsRowShown="0" tableBorderDxfId="18">
  <tableColumns count="3">
    <tableColumn id="1" xr3:uid="{00000000-0010-0000-2100-000001000000}" name="Column1" headerRowDxfId="17"/>
    <tableColumn id="2" xr3:uid="{00000000-0010-0000-2100-000002000000}" name="Column2" headerRowDxfId="16" dataDxfId="15"/>
    <tableColumn id="3" xr3:uid="{00000000-0010-0000-2100-000003000000}" name="Column3"/>
  </tableColumns>
  <tableStyleInfo name="TableStyleLight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35" displayName="Table35" ref="G10:I13" headerRowCount="0" totalsRowShown="0">
  <tableColumns count="3">
    <tableColumn id="1" xr3:uid="{00000000-0010-0000-2200-000001000000}" name="Column1" headerRowDxfId="14"/>
    <tableColumn id="2" xr3:uid="{00000000-0010-0000-2200-000002000000}" name="Column2" headerRowDxfId="13" dataDxfId="12"/>
    <tableColumn id="3" xr3:uid="{00000000-0010-0000-2200-000003000000}" name="Column3"/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36" displayName="Table36" ref="K3:M13" headerRowCount="0" totalsRowShown="0">
  <tableColumns count="3">
    <tableColumn id="1" xr3:uid="{00000000-0010-0000-2300-000001000000}" name="Column1" headerRowDxfId="11"/>
    <tableColumn id="2" xr3:uid="{00000000-0010-0000-2300-000002000000}" name="Column2" headerRowDxfId="10"/>
    <tableColumn id="3" xr3:uid="{00000000-0010-0000-2300-000003000000}" name="Column3"/>
  </tableColumns>
  <tableStyleInfo name="TableStyleLight1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37" displayName="Table37" ref="O4:Q9" headerRowCount="0" totalsRowShown="0">
  <tableColumns count="3">
    <tableColumn id="1" xr3:uid="{00000000-0010-0000-2400-000001000000}" name="Column1" headerRowDxfId="9"/>
    <tableColumn id="2" xr3:uid="{00000000-0010-0000-2400-000002000000}" name="Column2"/>
    <tableColumn id="3" xr3:uid="{00000000-0010-0000-2400-000003000000}" name="Column3"/>
  </tableColumns>
  <tableStyleInfo name="TableStyleLight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38" displayName="Table38" ref="F4:I30" headerRowCount="0" totalsRowShown="0" headerRowDxfId="8">
  <tableColumns count="4">
    <tableColumn id="1" xr3:uid="{00000000-0010-0000-2500-000001000000}" name="Column1" headerRowDxfId="7"/>
    <tableColumn id="2" xr3:uid="{00000000-0010-0000-2500-000002000000}" name="Column2" headerRowDxfId="6"/>
    <tableColumn id="3" xr3:uid="{00000000-0010-0000-2500-000003000000}" name="Column3" headerRowDxfId="5" dataDxfId="4"/>
    <tableColumn id="4" xr3:uid="{00000000-0010-0000-2500-000004000000}" name="Column4" headerRowDxfId="3"/>
  </tableColumns>
  <tableStyleInfo name="TableStyleLight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39" displayName="Table39" ref="A2:C7" headerRowCount="0" totalsRowShown="0">
  <tableColumns count="3">
    <tableColumn id="1" xr3:uid="{00000000-0010-0000-2600-000001000000}" name="Column1" headerRowDxfId="2" dataDxfId="1"/>
    <tableColumn id="2" xr3:uid="{00000000-0010-0000-2600-000002000000}" name="Column2" headerRowDxfId="0"/>
    <tableColumn id="3" xr3:uid="{00000000-0010-0000-2600-000003000000}" name="Column3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03000000}" name="Table31" displayName="Table31" ref="A49:F77" headerRowCount="0" totalsRowShown="0">
  <tableColumns count="6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 dataDxfId="135"/>
    <tableColumn id="5" xr3:uid="{00000000-0010-0000-0300-000005000000}" name="Column5" dataDxfId="134"/>
    <tableColumn id="6" xr3:uid="{00000000-0010-0000-0300-000006000000}" name="Column6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4000000}" name="Table32" displayName="Table32" ref="C16:G24" headerRowCount="0" totalsRowShown="0">
  <tableColumns count="5">
    <tableColumn id="1" xr3:uid="{00000000-0010-0000-0400-000001000000}" name="Column1" headerRowDxfId="133" dataDxfId="132"/>
    <tableColumn id="2" xr3:uid="{00000000-0010-0000-0400-000002000000}" name="Column2"/>
    <tableColumn id="3" xr3:uid="{00000000-0010-0000-0400-000003000000}" name="Column3" headerRowDxfId="131" dataDxfId="130"/>
    <tableColumn id="4" xr3:uid="{00000000-0010-0000-0400-000004000000}" name="Column4" headerRowDxfId="129" dataDxfId="128" headerRowCellStyle="Currency" dataCellStyle="Comma"/>
    <tableColumn id="5" xr3:uid="{00000000-0010-0000-0400-000005000000}" name="Column5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5000000}" name="Table33" displayName="Table33" ref="A32:C40" headerRowCount="0">
  <tableColumns count="3">
    <tableColumn id="1" xr3:uid="{00000000-0010-0000-0500-000001000000}" name="Column1" totalsRowLabel="Total"/>
    <tableColumn id="2" xr3:uid="{00000000-0010-0000-0500-000002000000}" name="Column2" headerRowDxfId="127"/>
    <tableColumn id="3" xr3:uid="{00000000-0010-0000-0500-000003000000}" name="Column3" totalsRowFunction="sum" headerRowDxfId="126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A7:C16" headerRowCount="0" totalsRowShown="0">
  <tableColumns count="3">
    <tableColumn id="1" xr3:uid="{00000000-0010-0000-0600-000001000000}" name="PAYLOAD" headerRowDxfId="125"/>
    <tableColumn id="2" xr3:uid="{00000000-0010-0000-0600-000002000000}" name="Column1"/>
    <tableColumn id="3" xr3:uid="{00000000-0010-0000-0600-000003000000}" name="Column2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e7" displayName="Table7" ref="A19:C30" headerRowCount="0">
  <tableColumns count="3">
    <tableColumn id="1" xr3:uid="{00000000-0010-0000-0700-000001000000}" name="Column1" totalsRowLabel="Total" dataDxfId="124" totalsRowDxfId="123"/>
    <tableColumn id="2" xr3:uid="{00000000-0010-0000-0700-000002000000}" name="Column2" dataDxfId="122" totalsRowDxfId="121"/>
    <tableColumn id="3" xr3:uid="{00000000-0010-0000-0700-000003000000}" name="Column3" totalsRowFunction="count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8" displayName="Table8" ref="A33:B35" headerRowCount="0" totalsRowShown="0">
  <tableColumns count="2">
    <tableColumn id="1" xr3:uid="{00000000-0010-0000-0800-000001000000}" name="Column1" headerRowDxfId="120" dataDxfId="119"/>
    <tableColumn id="2" xr3:uid="{00000000-0010-0000-0800-000002000000}" name="Column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13" Type="http://schemas.openxmlformats.org/officeDocument/2006/relationships/table" Target="../tables/table20.xml"/><Relationship Id="rId3" Type="http://schemas.openxmlformats.org/officeDocument/2006/relationships/vmlDrawing" Target="../drawings/vmlDrawing3.vml"/><Relationship Id="rId7" Type="http://schemas.openxmlformats.org/officeDocument/2006/relationships/table" Target="../tables/table14.xml"/><Relationship Id="rId12" Type="http://schemas.openxmlformats.org/officeDocument/2006/relationships/table" Target="../tables/table1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11" Type="http://schemas.openxmlformats.org/officeDocument/2006/relationships/table" Target="../tables/table18.xml"/><Relationship Id="rId5" Type="http://schemas.openxmlformats.org/officeDocument/2006/relationships/table" Target="../tables/table12.xml"/><Relationship Id="rId10" Type="http://schemas.openxmlformats.org/officeDocument/2006/relationships/table" Target="../tables/table17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Relationship Id="rId1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4.xml"/><Relationship Id="rId4" Type="http://schemas.openxmlformats.org/officeDocument/2006/relationships/table" Target="../tables/table2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8.xml"/><Relationship Id="rId11" Type="http://schemas.openxmlformats.org/officeDocument/2006/relationships/comments" Target="../comments7.xml"/><Relationship Id="rId5" Type="http://schemas.openxmlformats.org/officeDocument/2006/relationships/table" Target="../tables/table27.xml"/><Relationship Id="rId10" Type="http://schemas.openxmlformats.org/officeDocument/2006/relationships/table" Target="../tables/table32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4.xml"/><Relationship Id="rId7" Type="http://schemas.openxmlformats.org/officeDocument/2006/relationships/comments" Target="../comments8.xml"/><Relationship Id="rId2" Type="http://schemas.openxmlformats.org/officeDocument/2006/relationships/table" Target="../tables/table33.xml"/><Relationship Id="rId1" Type="http://schemas.openxmlformats.org/officeDocument/2006/relationships/vmlDrawing" Target="../drawings/vmlDrawing8.v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9.xml"/><Relationship Id="rId4" Type="http://schemas.openxmlformats.org/officeDocument/2006/relationships/table" Target="../tables/table3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7"/>
  <sheetViews>
    <sheetView topLeftCell="B1" zoomScale="90" zoomScaleNormal="90" workbookViewId="0">
      <selection activeCell="I5" sqref="I5"/>
    </sheetView>
  </sheetViews>
  <sheetFormatPr defaultRowHeight="14.5"/>
  <cols>
    <col min="1" max="2" width="11" customWidth="1"/>
    <col min="3" max="3" width="26.26953125" customWidth="1"/>
    <col min="4" max="4" width="17.453125" customWidth="1"/>
    <col min="5" max="5" width="14.54296875" customWidth="1"/>
    <col min="6" max="6" width="16" customWidth="1"/>
    <col min="7" max="7" width="11" customWidth="1"/>
    <col min="8" max="8" width="11.26953125" customWidth="1"/>
    <col min="9" max="9" width="11" customWidth="1"/>
    <col min="10" max="10" width="19.81640625" customWidth="1"/>
    <col min="11" max="11" width="12.26953125" customWidth="1"/>
    <col min="12" max="12" width="23.81640625" customWidth="1"/>
    <col min="13" max="13" width="12.7265625" customWidth="1"/>
    <col min="14" max="14" width="18.26953125" customWidth="1"/>
    <col min="15" max="15" width="19" customWidth="1"/>
    <col min="16" max="16" width="16.1796875" customWidth="1"/>
    <col min="17" max="17" width="17.453125" customWidth="1"/>
    <col min="18" max="18" width="17.7265625" customWidth="1"/>
    <col min="19" max="19" width="19.7265625" customWidth="1"/>
    <col min="20" max="20" width="18.7265625" customWidth="1"/>
    <col min="21" max="21" width="14.81640625" customWidth="1"/>
    <col min="22" max="22" width="16.26953125" customWidth="1"/>
    <col min="23" max="23" width="17.26953125" customWidth="1"/>
    <col min="24" max="24" width="16.54296875" customWidth="1"/>
  </cols>
  <sheetData>
    <row r="1" spans="1:17" ht="21">
      <c r="D1" s="255" t="s">
        <v>538</v>
      </c>
      <c r="E1" s="255"/>
      <c r="F1" s="255"/>
      <c r="G1" s="255"/>
      <c r="H1" s="255"/>
      <c r="I1" s="255"/>
      <c r="J1" s="255"/>
      <c r="K1" s="255"/>
      <c r="L1" s="255"/>
      <c r="M1" s="135"/>
      <c r="N1" s="135"/>
      <c r="O1" s="135"/>
      <c r="P1" s="135"/>
      <c r="Q1" s="135"/>
    </row>
    <row r="2" spans="1:17" ht="21" customHeight="1">
      <c r="D2" s="255"/>
      <c r="E2" s="255"/>
      <c r="F2" s="255"/>
      <c r="G2" s="255"/>
      <c r="H2" s="255"/>
      <c r="I2" s="255"/>
      <c r="J2" s="255"/>
      <c r="K2" s="255"/>
      <c r="L2" s="255"/>
    </row>
    <row r="3" spans="1:17" ht="18.5">
      <c r="D3" s="258" t="s">
        <v>454</v>
      </c>
      <c r="E3" s="258"/>
      <c r="F3" s="258"/>
      <c r="G3" s="258"/>
      <c r="H3" s="258"/>
      <c r="I3" s="258"/>
      <c r="J3" s="258"/>
      <c r="K3" s="258"/>
    </row>
    <row r="4" spans="1:17">
      <c r="F4" s="29"/>
      <c r="G4" s="133"/>
      <c r="H4" s="132"/>
      <c r="I4" s="132"/>
      <c r="L4" s="6" t="s">
        <v>595</v>
      </c>
      <c r="M4" s="6"/>
      <c r="N4" s="6"/>
    </row>
    <row r="5" spans="1:17" ht="20.5">
      <c r="A5" s="183" t="s">
        <v>596</v>
      </c>
      <c r="B5">
        <f>'Detailed Weights'!L19-'Detailed Weights'!L12-'Detailed Weights'!L16-'Detailed Weights'!L18-'Detailed Weights'!L14</f>
        <v>1740.1367540708186</v>
      </c>
      <c r="C5" s="22" t="s">
        <v>512</v>
      </c>
      <c r="G5" s="98" t="s">
        <v>501</v>
      </c>
      <c r="H5" s="3">
        <v>1</v>
      </c>
      <c r="I5" s="22" t="s">
        <v>467</v>
      </c>
      <c r="L5" s="6" t="s">
        <v>594</v>
      </c>
      <c r="M5" s="6"/>
    </row>
    <row r="6" spans="1:17">
      <c r="A6" s="140" t="s">
        <v>456</v>
      </c>
      <c r="B6" s="3">
        <v>1</v>
      </c>
      <c r="C6" s="22" t="s">
        <v>598</v>
      </c>
      <c r="G6" s="98" t="s">
        <v>466</v>
      </c>
      <c r="H6" s="3">
        <v>48</v>
      </c>
      <c r="I6" s="22" t="s">
        <v>468</v>
      </c>
    </row>
    <row r="7" spans="1:17" ht="16.5">
      <c r="A7" s="140" t="s">
        <v>463</v>
      </c>
      <c r="B7" s="3">
        <v>1</v>
      </c>
      <c r="C7" s="22" t="s">
        <v>513</v>
      </c>
      <c r="F7" s="97"/>
      <c r="G7" s="98" t="s">
        <v>469</v>
      </c>
      <c r="H7" s="3">
        <v>24</v>
      </c>
      <c r="I7" s="22" t="s">
        <v>470</v>
      </c>
    </row>
    <row r="8" spans="1:17" ht="16.5">
      <c r="A8" s="140" t="s">
        <v>458</v>
      </c>
      <c r="B8" s="3">
        <v>1</v>
      </c>
      <c r="C8" s="22" t="s">
        <v>514</v>
      </c>
    </row>
    <row r="9" spans="1:17" ht="18.5">
      <c r="A9" s="140" t="s">
        <v>459</v>
      </c>
      <c r="B9" s="3">
        <v>0</v>
      </c>
      <c r="C9" s="22" t="s">
        <v>516</v>
      </c>
      <c r="G9" t="s">
        <v>464</v>
      </c>
      <c r="H9" s="200">
        <f>F22/(H5*H6*H7)</f>
        <v>31.857318276964989</v>
      </c>
      <c r="I9" t="s">
        <v>465</v>
      </c>
      <c r="J9" s="22" t="s">
        <v>520</v>
      </c>
    </row>
    <row r="10" spans="1:17" ht="16.5">
      <c r="A10" s="140" t="s">
        <v>457</v>
      </c>
      <c r="B10" s="3">
        <f>1+B9</f>
        <v>1</v>
      </c>
      <c r="C10" s="22" t="s">
        <v>515</v>
      </c>
      <c r="G10" t="s">
        <v>471</v>
      </c>
      <c r="H10" s="132">
        <f>F24/B6</f>
        <v>39282.673146623158</v>
      </c>
      <c r="I10" t="s">
        <v>455</v>
      </c>
      <c r="J10" s="22" t="s">
        <v>521</v>
      </c>
    </row>
    <row r="11" spans="1:17" ht="16.5">
      <c r="A11" s="140" t="s">
        <v>462</v>
      </c>
      <c r="B11" s="3">
        <v>1</v>
      </c>
      <c r="C11" s="22" t="s">
        <v>517</v>
      </c>
      <c r="E11" s="201"/>
    </row>
    <row r="12" spans="1:17" ht="16.5">
      <c r="A12" s="140" t="s">
        <v>461</v>
      </c>
      <c r="B12">
        <f>B6/60</f>
        <v>1.6666666666666666E-2</v>
      </c>
      <c r="C12" s="22" t="s">
        <v>518</v>
      </c>
    </row>
    <row r="13" spans="1:17" ht="16.5">
      <c r="A13" s="140" t="s">
        <v>460</v>
      </c>
      <c r="B13" s="3">
        <v>1</v>
      </c>
      <c r="C13" s="22" t="s">
        <v>519</v>
      </c>
    </row>
    <row r="14" spans="1:17" ht="23.5">
      <c r="F14" s="257" t="s">
        <v>472</v>
      </c>
      <c r="G14" s="257"/>
      <c r="H14" s="257"/>
      <c r="I14" s="257"/>
      <c r="J14" s="136"/>
      <c r="K14" s="136"/>
      <c r="L14" s="100"/>
      <c r="M14" s="100"/>
    </row>
    <row r="15" spans="1:17" ht="16.5">
      <c r="I15" s="145" t="s">
        <v>500</v>
      </c>
      <c r="J15" s="97"/>
      <c r="K15" t="s">
        <v>473</v>
      </c>
      <c r="L15" s="64">
        <f>2.0969*F22*F16*F17</f>
        <v>0</v>
      </c>
    </row>
    <row r="16" spans="1:17" ht="16.5">
      <c r="C16" s="190" t="s">
        <v>602</v>
      </c>
      <c r="E16" s="192" t="s">
        <v>607</v>
      </c>
      <c r="F16" s="134">
        <v>0</v>
      </c>
      <c r="G16" t="s">
        <v>475</v>
      </c>
      <c r="I16" s="145" t="s">
        <v>486</v>
      </c>
      <c r="J16" s="97"/>
      <c r="K16" t="s">
        <v>474</v>
      </c>
      <c r="L16" s="64">
        <f>0.06458*B5^0.873*Table2[[#Headers],[170]]^1.89*'Cost Analysis'!F18^0.346*'Cost Analysis'!F17*'Cost Analysis'!B7*'Cost Analysis'!B8*(1+0.5*'Cost Analysis'!B9)*'Cost Analysis'!B11</f>
        <v>715608.99820884794</v>
      </c>
    </row>
    <row r="17" spans="1:24" ht="16.5">
      <c r="C17" s="187" t="s">
        <v>599</v>
      </c>
      <c r="E17" s="192" t="s">
        <v>608</v>
      </c>
      <c r="F17" s="23">
        <v>1</v>
      </c>
      <c r="I17" s="145" t="s">
        <v>487</v>
      </c>
      <c r="J17" s="97"/>
      <c r="K17" t="s">
        <v>476</v>
      </c>
      <c r="L17" s="64">
        <f>0.009646*B5^1.16*Table2[[#Headers],[170]]^1.3718*'Cost Analysis'!F18^1.281*'Cost Analysis'!F17*B7</f>
        <v>63555.597905461989</v>
      </c>
    </row>
    <row r="18" spans="1:24" ht="16.5">
      <c r="C18" s="188" t="s">
        <v>600</v>
      </c>
      <c r="E18" s="192" t="s">
        <v>609</v>
      </c>
      <c r="F18" s="3">
        <v>1</v>
      </c>
      <c r="I18" s="145" t="s">
        <v>488</v>
      </c>
      <c r="J18" s="97"/>
      <c r="K18" t="s">
        <v>477</v>
      </c>
      <c r="L18" s="64">
        <f>2.0969*F23*F17*F19</f>
        <v>0</v>
      </c>
    </row>
    <row r="19" spans="1:24" ht="17" thickBot="1">
      <c r="C19" s="191" t="s">
        <v>601</v>
      </c>
      <c r="E19" s="192" t="s">
        <v>610</v>
      </c>
      <c r="F19" s="134">
        <v>0</v>
      </c>
      <c r="G19" t="s">
        <v>475</v>
      </c>
      <c r="I19" s="145" t="s">
        <v>489</v>
      </c>
      <c r="J19" s="97"/>
      <c r="K19" t="s">
        <v>481</v>
      </c>
      <c r="L19" s="147">
        <f>L15+L16+L17+L18</f>
        <v>779164.59611430997</v>
      </c>
    </row>
    <row r="20" spans="1:24" ht="17" thickTop="1">
      <c r="C20" s="189" t="s">
        <v>603</v>
      </c>
      <c r="E20" s="192" t="s">
        <v>611</v>
      </c>
      <c r="F20" s="134">
        <v>0</v>
      </c>
      <c r="G20" t="s">
        <v>475</v>
      </c>
      <c r="I20" s="145" t="s">
        <v>490</v>
      </c>
      <c r="J20" s="97"/>
      <c r="K20" t="s">
        <v>478</v>
      </c>
      <c r="L20" s="64">
        <f>2.0969*F24*F20*F17</f>
        <v>0</v>
      </c>
    </row>
    <row r="21" spans="1:24" ht="16.5">
      <c r="C21" s="186"/>
      <c r="E21" s="193"/>
      <c r="I21" s="145" t="s">
        <v>491</v>
      </c>
      <c r="J21" s="97"/>
      <c r="K21" t="s">
        <v>479</v>
      </c>
      <c r="L21" s="64">
        <f>0.13*L20*B7*(1+0.5*B9)</f>
        <v>0</v>
      </c>
      <c r="N21" s="137"/>
    </row>
    <row r="22" spans="1:24" ht="16.5">
      <c r="C22" s="186" t="s">
        <v>604</v>
      </c>
      <c r="E22" s="193" t="s">
        <v>612</v>
      </c>
      <c r="F22" s="29">
        <f>0.0396*B5^0.791*Table2[[#Headers],[170]]^1.526*'Cost Analysis'!B6^0.183*'Cost Analysis'!B7*'Cost Analysis'!B8*'Cost Analysis'!B10*'Cost Analysis'!B11</f>
        <v>36699.630655063665</v>
      </c>
      <c r="G22" t="s">
        <v>455</v>
      </c>
      <c r="I22" s="145" t="s">
        <v>492</v>
      </c>
      <c r="J22" s="97"/>
      <c r="K22" t="s">
        <v>480</v>
      </c>
      <c r="L22" s="64">
        <f>24.89*B5^0.689*Table2[[#Headers],[170]]^0.624*'Cost Analysis'!B6^0.792*'Cost Analysis'!F17*'Cost Analysis'!B7*'Cost Analysis'!B8*'Cost Analysis'!B11</f>
        <v>104854.4755486597</v>
      </c>
    </row>
    <row r="23" spans="1:24" ht="16.5">
      <c r="C23" s="189" t="s">
        <v>605</v>
      </c>
      <c r="E23" s="193" t="s">
        <v>613</v>
      </c>
      <c r="F23" s="29">
        <f>1.0032*B5^0.764*Table2[[#Headers],[170]]^0.899*'Cost Analysis'!B6^0.178*B12^0.066*B13*B8*B10*B11</f>
        <v>23174.417332022196</v>
      </c>
      <c r="G23" t="s">
        <v>455</v>
      </c>
      <c r="I23" s="145" t="s">
        <v>493</v>
      </c>
      <c r="J23" s="97"/>
      <c r="K23" t="s">
        <v>482</v>
      </c>
      <c r="L23" s="64">
        <f>-(7500*B6)</f>
        <v>-7500</v>
      </c>
    </row>
    <row r="24" spans="1:24" ht="16.5">
      <c r="C24" s="185" t="s">
        <v>606</v>
      </c>
      <c r="E24" s="193" t="s">
        <v>614</v>
      </c>
      <c r="F24" s="29">
        <f>9.6613*B5^0.74*Table2[[#Headers],[170]]^0.543*'Cost Analysis'!B6^0.524*'Cost Analysis'!B7*'Cost Analysis'!B8*'Cost Analysis'!B10</f>
        <v>39282.673146623158</v>
      </c>
      <c r="G24" t="s">
        <v>455</v>
      </c>
      <c r="I24" s="145" t="s">
        <v>494</v>
      </c>
      <c r="J24" s="97"/>
      <c r="K24" s="97" t="s">
        <v>484</v>
      </c>
      <c r="L24" s="64">
        <f>174*'Sref and POWER SIZING'!K86*'Sref and POWER SIZING'!M96*'Cost Analysis'!F17</f>
        <v>90480</v>
      </c>
    </row>
    <row r="25" spans="1:24" ht="16.5">
      <c r="I25" s="145" t="s">
        <v>495</v>
      </c>
      <c r="J25" s="97"/>
      <c r="K25" s="97" t="s">
        <v>485</v>
      </c>
      <c r="L25" s="64">
        <f>3145*'Sref and POWER SIZING'!K86*'Cost Analysis'!F17</f>
        <v>6290</v>
      </c>
    </row>
    <row r="26" spans="1:24">
      <c r="I26" s="145" t="s">
        <v>496</v>
      </c>
      <c r="J26" s="97"/>
      <c r="K26" t="s">
        <v>483</v>
      </c>
      <c r="L26" s="64">
        <f>15000*B6</f>
        <v>15000</v>
      </c>
    </row>
    <row r="27" spans="1:24">
      <c r="I27" s="145" t="s">
        <v>497</v>
      </c>
      <c r="J27" s="97"/>
      <c r="L27" s="64">
        <v>300000</v>
      </c>
    </row>
    <row r="28" spans="1:24">
      <c r="I28" s="138" t="s">
        <v>498</v>
      </c>
      <c r="J28" s="41"/>
      <c r="L28" s="139">
        <f>L29-L27</f>
        <v>988289.07166296965</v>
      </c>
    </row>
    <row r="29" spans="1:24" ht="15" thickBot="1">
      <c r="I29" s="138" t="s">
        <v>499</v>
      </c>
      <c r="J29" s="97"/>
      <c r="K29" s="137"/>
      <c r="L29" s="144">
        <f>SUM(L19:L27)</f>
        <v>1288289.0716629697</v>
      </c>
    </row>
    <row r="30" spans="1:24" ht="22" thickTop="1" thickBot="1">
      <c r="C30" s="256" t="s">
        <v>502</v>
      </c>
      <c r="D30" s="256"/>
      <c r="E30" s="256"/>
      <c r="F30" s="256"/>
      <c r="G30" s="256"/>
    </row>
    <row r="31" spans="1:24" ht="15" thickTop="1">
      <c r="S31" t="s">
        <v>506</v>
      </c>
      <c r="T31" t="s">
        <v>507</v>
      </c>
      <c r="U31" t="s">
        <v>508</v>
      </c>
      <c r="V31" s="137">
        <f>C34</f>
        <v>800000</v>
      </c>
      <c r="W31" s="137">
        <f>C35</f>
        <v>1200000</v>
      </c>
      <c r="X31" s="137">
        <f>C36</f>
        <v>1300000</v>
      </c>
    </row>
    <row r="32" spans="1:24">
      <c r="A32" s="184" t="s">
        <v>503</v>
      </c>
      <c r="C32" s="137">
        <f>L19</f>
        <v>779164.59611430997</v>
      </c>
      <c r="S32">
        <v>0</v>
      </c>
      <c r="T32" s="137">
        <f t="shared" ref="T32:T53" si="0">$C$32+($C$33*S32)</f>
        <v>779164.59611430997</v>
      </c>
      <c r="U32" s="137">
        <f t="shared" ref="U32:U53" si="1">$C$32</f>
        <v>779164.59611430997</v>
      </c>
      <c r="V32" s="137">
        <f t="shared" ref="V32:V53" si="2">$C$34*S32</f>
        <v>0</v>
      </c>
      <c r="W32" s="137">
        <f t="shared" ref="W32:W53" si="3">$C$35*S32</f>
        <v>0</v>
      </c>
      <c r="X32" s="137">
        <f t="shared" ref="X32:X53" si="4">$C$36*S32</f>
        <v>0</v>
      </c>
    </row>
    <row r="33" spans="1:24">
      <c r="A33" s="162" t="s">
        <v>504</v>
      </c>
      <c r="C33" s="137">
        <f>SUM(L20:L27)</f>
        <v>509124.47554865968</v>
      </c>
      <c r="S33">
        <f t="shared" ref="S33:S53" si="5">S32+0.5</f>
        <v>0.5</v>
      </c>
      <c r="T33" s="137">
        <f t="shared" si="0"/>
        <v>1033726.8338886398</v>
      </c>
      <c r="U33" s="137">
        <f t="shared" si="1"/>
        <v>779164.59611430997</v>
      </c>
      <c r="V33" s="137">
        <f t="shared" si="2"/>
        <v>400000</v>
      </c>
      <c r="W33" s="137">
        <f t="shared" si="3"/>
        <v>600000</v>
      </c>
      <c r="X33" s="137">
        <f t="shared" si="4"/>
        <v>650000</v>
      </c>
    </row>
    <row r="34" spans="1:24">
      <c r="A34" s="163" t="s">
        <v>505</v>
      </c>
      <c r="C34" s="134">
        <v>800000</v>
      </c>
      <c r="E34" s="141" t="s">
        <v>510</v>
      </c>
      <c r="F34" s="6"/>
      <c r="G34" s="6"/>
      <c r="S34">
        <f t="shared" si="5"/>
        <v>1</v>
      </c>
      <c r="T34" s="137">
        <f t="shared" si="0"/>
        <v>1288289.0716629697</v>
      </c>
      <c r="U34" s="137">
        <f t="shared" si="1"/>
        <v>779164.59611430997</v>
      </c>
      <c r="V34" s="137">
        <f t="shared" si="2"/>
        <v>800000</v>
      </c>
      <c r="W34" s="137">
        <f t="shared" si="3"/>
        <v>1200000</v>
      </c>
      <c r="X34" s="137">
        <f t="shared" si="4"/>
        <v>1300000</v>
      </c>
    </row>
    <row r="35" spans="1:24">
      <c r="C35" s="134">
        <v>1200000</v>
      </c>
      <c r="E35" s="142" t="s">
        <v>511</v>
      </c>
      <c r="F35" s="6"/>
      <c r="G35" s="23"/>
      <c r="S35">
        <f t="shared" si="5"/>
        <v>1.5</v>
      </c>
      <c r="T35" s="137">
        <f t="shared" si="0"/>
        <v>1542851.3094372996</v>
      </c>
      <c r="U35" s="137">
        <f t="shared" si="1"/>
        <v>779164.59611430997</v>
      </c>
      <c r="V35" s="137">
        <f t="shared" si="2"/>
        <v>1200000</v>
      </c>
      <c r="W35" s="137">
        <f t="shared" si="3"/>
        <v>1800000</v>
      </c>
      <c r="X35" s="137">
        <f t="shared" si="4"/>
        <v>1950000</v>
      </c>
    </row>
    <row r="36" spans="1:24">
      <c r="C36" s="134">
        <v>1300000</v>
      </c>
      <c r="E36" s="199" t="s">
        <v>509</v>
      </c>
      <c r="S36">
        <f t="shared" si="5"/>
        <v>2</v>
      </c>
      <c r="T36" s="137">
        <f t="shared" si="0"/>
        <v>1797413.5472116293</v>
      </c>
      <c r="U36" s="137">
        <f t="shared" si="1"/>
        <v>779164.59611430997</v>
      </c>
      <c r="V36" s="137">
        <f t="shared" si="2"/>
        <v>1600000</v>
      </c>
      <c r="W36" s="137">
        <f t="shared" si="3"/>
        <v>2400000</v>
      </c>
      <c r="X36" s="137">
        <f t="shared" si="4"/>
        <v>2600000</v>
      </c>
    </row>
    <row r="37" spans="1:24">
      <c r="S37">
        <f t="shared" si="5"/>
        <v>2.5</v>
      </c>
      <c r="T37" s="137">
        <f t="shared" si="0"/>
        <v>2051975.7849859591</v>
      </c>
      <c r="U37" s="137">
        <f t="shared" si="1"/>
        <v>779164.59611430997</v>
      </c>
      <c r="V37" s="137">
        <f t="shared" si="2"/>
        <v>2000000</v>
      </c>
      <c r="W37" s="137">
        <f t="shared" si="3"/>
        <v>3000000</v>
      </c>
      <c r="X37" s="137">
        <f t="shared" si="4"/>
        <v>3250000</v>
      </c>
    </row>
    <row r="38" spans="1:24">
      <c r="A38" s="161" t="s">
        <v>620</v>
      </c>
      <c r="B38" s="7"/>
      <c r="C38" s="146">
        <f>C34</f>
        <v>800000</v>
      </c>
      <c r="S38">
        <f t="shared" si="5"/>
        <v>3</v>
      </c>
      <c r="T38" s="137">
        <f t="shared" si="0"/>
        <v>2306538.0227602888</v>
      </c>
      <c r="U38" s="137">
        <f t="shared" si="1"/>
        <v>779164.59611430997</v>
      </c>
      <c r="V38" s="137">
        <f t="shared" si="2"/>
        <v>2400000</v>
      </c>
      <c r="W38" s="137">
        <f t="shared" si="3"/>
        <v>3600000</v>
      </c>
      <c r="X38" s="137">
        <f t="shared" si="4"/>
        <v>3900000</v>
      </c>
    </row>
    <row r="39" spans="1:24" ht="18.5">
      <c r="B39" s="195" t="s">
        <v>616</v>
      </c>
      <c r="C39" s="143">
        <f>C32/(C38-C33)</f>
        <v>2.6786873786785526</v>
      </c>
      <c r="D39" s="194" t="s">
        <v>615</v>
      </c>
      <c r="E39" s="194"/>
      <c r="S39">
        <f t="shared" si="5"/>
        <v>3.5</v>
      </c>
      <c r="T39" s="137">
        <f t="shared" si="0"/>
        <v>2561100.260534619</v>
      </c>
      <c r="U39" s="137">
        <f t="shared" si="1"/>
        <v>779164.59611430997</v>
      </c>
      <c r="V39" s="137">
        <f t="shared" si="2"/>
        <v>2800000</v>
      </c>
      <c r="W39" s="137">
        <f t="shared" si="3"/>
        <v>4200000</v>
      </c>
      <c r="X39" s="137">
        <f t="shared" si="4"/>
        <v>4550000</v>
      </c>
    </row>
    <row r="40" spans="1:24">
      <c r="S40">
        <f t="shared" si="5"/>
        <v>4</v>
      </c>
      <c r="T40" s="137">
        <f t="shared" si="0"/>
        <v>2815662.4983089487</v>
      </c>
      <c r="U40" s="137">
        <f t="shared" si="1"/>
        <v>779164.59611430997</v>
      </c>
      <c r="V40" s="137">
        <f t="shared" si="2"/>
        <v>3200000</v>
      </c>
      <c r="W40" s="137">
        <f t="shared" si="3"/>
        <v>4800000</v>
      </c>
      <c r="X40" s="137">
        <f t="shared" si="4"/>
        <v>5200000</v>
      </c>
    </row>
    <row r="41" spans="1:24">
      <c r="D41" s="7" t="s">
        <v>529</v>
      </c>
      <c r="S41">
        <f t="shared" si="5"/>
        <v>4.5</v>
      </c>
      <c r="T41" s="137">
        <f t="shared" si="0"/>
        <v>3070224.7360832784</v>
      </c>
      <c r="U41" s="137">
        <f t="shared" si="1"/>
        <v>779164.59611430997</v>
      </c>
      <c r="V41" s="137">
        <f t="shared" si="2"/>
        <v>3600000</v>
      </c>
      <c r="W41" s="137">
        <f t="shared" si="3"/>
        <v>5400000</v>
      </c>
      <c r="X41" s="137">
        <f t="shared" si="4"/>
        <v>5850000</v>
      </c>
    </row>
    <row r="42" spans="1:24">
      <c r="D42" t="s">
        <v>527</v>
      </c>
      <c r="S42">
        <f t="shared" si="5"/>
        <v>5</v>
      </c>
      <c r="T42" s="137">
        <f t="shared" si="0"/>
        <v>3324786.9738576082</v>
      </c>
      <c r="U42" s="137">
        <f t="shared" si="1"/>
        <v>779164.59611430997</v>
      </c>
      <c r="V42" s="137">
        <f t="shared" si="2"/>
        <v>4000000</v>
      </c>
      <c r="W42" s="137">
        <f t="shared" si="3"/>
        <v>6000000</v>
      </c>
      <c r="X42" s="137">
        <f t="shared" si="4"/>
        <v>6500000</v>
      </c>
    </row>
    <row r="43" spans="1:24">
      <c r="D43" t="s">
        <v>528</v>
      </c>
      <c r="S43">
        <f t="shared" si="5"/>
        <v>5.5</v>
      </c>
      <c r="T43" s="137">
        <f t="shared" si="0"/>
        <v>3579349.2116319383</v>
      </c>
      <c r="U43" s="137">
        <f t="shared" si="1"/>
        <v>779164.59611430997</v>
      </c>
      <c r="V43" s="137">
        <f t="shared" si="2"/>
        <v>4400000</v>
      </c>
      <c r="W43" s="137">
        <f t="shared" si="3"/>
        <v>6600000</v>
      </c>
      <c r="X43" s="137">
        <f t="shared" si="4"/>
        <v>7150000</v>
      </c>
    </row>
    <row r="44" spans="1:24">
      <c r="S44">
        <f t="shared" si="5"/>
        <v>6</v>
      </c>
      <c r="T44" s="137">
        <f t="shared" si="0"/>
        <v>3833911.4494062681</v>
      </c>
      <c r="U44" s="137">
        <f t="shared" si="1"/>
        <v>779164.59611430997</v>
      </c>
      <c r="V44" s="137">
        <f t="shared" si="2"/>
        <v>4800000</v>
      </c>
      <c r="W44" s="137">
        <f t="shared" si="3"/>
        <v>7200000</v>
      </c>
      <c r="X44" s="137">
        <f t="shared" si="4"/>
        <v>7800000</v>
      </c>
    </row>
    <row r="45" spans="1:24">
      <c r="S45">
        <f t="shared" si="5"/>
        <v>6.5</v>
      </c>
      <c r="T45" s="137">
        <f t="shared" si="0"/>
        <v>4088473.6871805978</v>
      </c>
      <c r="U45" s="137">
        <f t="shared" si="1"/>
        <v>779164.59611430997</v>
      </c>
      <c r="V45" s="137">
        <f t="shared" si="2"/>
        <v>5200000</v>
      </c>
      <c r="W45" s="137">
        <f t="shared" si="3"/>
        <v>7800000</v>
      </c>
      <c r="X45" s="137">
        <f t="shared" si="4"/>
        <v>8450000</v>
      </c>
    </row>
    <row r="46" spans="1:24">
      <c r="S46">
        <f t="shared" si="5"/>
        <v>7</v>
      </c>
      <c r="T46" s="137">
        <f t="shared" si="0"/>
        <v>4343035.9249549285</v>
      </c>
      <c r="U46" s="137">
        <f t="shared" si="1"/>
        <v>779164.59611430997</v>
      </c>
      <c r="V46" s="137">
        <f t="shared" si="2"/>
        <v>5600000</v>
      </c>
      <c r="W46" s="137">
        <f t="shared" si="3"/>
        <v>8400000</v>
      </c>
      <c r="X46" s="137">
        <f t="shared" si="4"/>
        <v>9100000</v>
      </c>
    </row>
    <row r="47" spans="1:24" ht="21.5" thickBot="1">
      <c r="C47" s="254" t="s">
        <v>530</v>
      </c>
      <c r="D47" s="254"/>
      <c r="E47" s="254"/>
      <c r="F47" s="254"/>
      <c r="S47">
        <f t="shared" si="5"/>
        <v>7.5</v>
      </c>
      <c r="T47" s="137">
        <f t="shared" si="0"/>
        <v>4597598.1627292577</v>
      </c>
      <c r="U47" s="137">
        <f t="shared" si="1"/>
        <v>779164.59611430997</v>
      </c>
      <c r="V47" s="137">
        <f t="shared" si="2"/>
        <v>6000000</v>
      </c>
      <c r="W47" s="137">
        <f t="shared" si="3"/>
        <v>9000000</v>
      </c>
      <c r="X47" s="137">
        <f t="shared" si="4"/>
        <v>9750000</v>
      </c>
    </row>
    <row r="48" spans="1:24" ht="15" thickTop="1">
      <c r="S48">
        <f t="shared" si="5"/>
        <v>8</v>
      </c>
      <c r="T48" s="137">
        <f t="shared" si="0"/>
        <v>4852160.400503587</v>
      </c>
      <c r="U48" s="137">
        <f t="shared" si="1"/>
        <v>779164.59611430997</v>
      </c>
      <c r="V48" s="137">
        <f t="shared" si="2"/>
        <v>6400000</v>
      </c>
      <c r="W48" s="137">
        <f t="shared" si="3"/>
        <v>9600000</v>
      </c>
      <c r="X48" s="137">
        <f t="shared" si="4"/>
        <v>10400000</v>
      </c>
    </row>
    <row r="49" spans="1:24">
      <c r="S49">
        <f t="shared" si="5"/>
        <v>8.5</v>
      </c>
      <c r="T49" s="137">
        <f t="shared" si="0"/>
        <v>5106722.6382779181</v>
      </c>
      <c r="U49" s="137">
        <f t="shared" si="1"/>
        <v>779164.59611430997</v>
      </c>
      <c r="V49" s="137">
        <f t="shared" si="2"/>
        <v>6800000</v>
      </c>
      <c r="W49" s="137">
        <f t="shared" si="3"/>
        <v>10200000</v>
      </c>
      <c r="X49" s="137">
        <f t="shared" si="4"/>
        <v>11050000</v>
      </c>
    </row>
    <row r="50" spans="1:24" ht="16.5">
      <c r="A50" s="170" t="s">
        <v>665</v>
      </c>
      <c r="D50" s="140" t="s">
        <v>561</v>
      </c>
      <c r="E50" s="3">
        <v>-0.15</v>
      </c>
      <c r="S50">
        <f t="shared" si="5"/>
        <v>9</v>
      </c>
      <c r="T50" s="137">
        <f t="shared" si="0"/>
        <v>5361284.8760522474</v>
      </c>
      <c r="U50" s="137">
        <f t="shared" si="1"/>
        <v>779164.59611430997</v>
      </c>
      <c r="V50" s="137">
        <f t="shared" si="2"/>
        <v>7200000</v>
      </c>
      <c r="W50" s="137">
        <f t="shared" si="3"/>
        <v>10800000</v>
      </c>
      <c r="X50" s="137">
        <f t="shared" si="4"/>
        <v>11700000</v>
      </c>
    </row>
    <row r="51" spans="1:24" ht="16.5">
      <c r="A51" s="169" t="s">
        <v>617</v>
      </c>
      <c r="D51" s="140" t="s">
        <v>562</v>
      </c>
      <c r="E51" s="3">
        <v>0</v>
      </c>
      <c r="S51">
        <f t="shared" si="5"/>
        <v>9.5</v>
      </c>
      <c r="T51" s="137">
        <f t="shared" si="0"/>
        <v>5615847.1138265766</v>
      </c>
      <c r="U51" s="137">
        <f t="shared" si="1"/>
        <v>779164.59611430997</v>
      </c>
      <c r="V51" s="137">
        <f t="shared" si="2"/>
        <v>7600000</v>
      </c>
      <c r="W51" s="137">
        <f t="shared" si="3"/>
        <v>11400000</v>
      </c>
      <c r="X51" s="137">
        <f t="shared" si="4"/>
        <v>12350000</v>
      </c>
    </row>
    <row r="52" spans="1:24" ht="16.5">
      <c r="A52" s="171" t="s">
        <v>569</v>
      </c>
      <c r="D52" s="140" t="s">
        <v>563</v>
      </c>
      <c r="E52" s="3">
        <v>0</v>
      </c>
      <c r="S52">
        <f t="shared" si="5"/>
        <v>10</v>
      </c>
      <c r="T52" s="137">
        <f t="shared" si="0"/>
        <v>5870409.3516009059</v>
      </c>
      <c r="U52" s="137">
        <f t="shared" si="1"/>
        <v>779164.59611430997</v>
      </c>
      <c r="V52" s="137">
        <f t="shared" si="2"/>
        <v>8000000</v>
      </c>
      <c r="W52" s="137">
        <f t="shared" si="3"/>
        <v>12000000</v>
      </c>
      <c r="X52" s="137">
        <f t="shared" si="4"/>
        <v>13000000</v>
      </c>
    </row>
    <row r="53" spans="1:24" ht="16.5">
      <c r="A53" s="172" t="s">
        <v>570</v>
      </c>
      <c r="D53" s="140" t="s">
        <v>564</v>
      </c>
      <c r="E53" s="3">
        <v>0.02</v>
      </c>
      <c r="S53">
        <f t="shared" si="5"/>
        <v>10.5</v>
      </c>
      <c r="T53" s="137">
        <f t="shared" si="0"/>
        <v>6124971.589375237</v>
      </c>
      <c r="U53" s="137">
        <f t="shared" si="1"/>
        <v>779164.59611430997</v>
      </c>
      <c r="V53" s="137">
        <f t="shared" si="2"/>
        <v>8400000</v>
      </c>
      <c r="W53" s="137">
        <f t="shared" si="3"/>
        <v>12600000</v>
      </c>
      <c r="X53" s="137">
        <f t="shared" si="4"/>
        <v>13650000</v>
      </c>
    </row>
    <row r="54" spans="1:24" ht="16.5">
      <c r="A54" s="173" t="s">
        <v>571</v>
      </c>
      <c r="D54" s="140" t="s">
        <v>565</v>
      </c>
      <c r="E54" s="3">
        <v>0</v>
      </c>
    </row>
    <row r="55" spans="1:24" ht="16.5">
      <c r="A55" s="172" t="s">
        <v>572</v>
      </c>
      <c r="D55" s="140" t="s">
        <v>566</v>
      </c>
      <c r="E55" s="3">
        <v>0</v>
      </c>
    </row>
    <row r="56" spans="1:24" ht="16.5">
      <c r="A56" s="174" t="s">
        <v>573</v>
      </c>
      <c r="D56" s="140" t="s">
        <v>567</v>
      </c>
      <c r="E56" s="3">
        <v>0</v>
      </c>
    </row>
    <row r="57" spans="1:24" ht="18" thickBot="1">
      <c r="A57" s="175" t="s">
        <v>574</v>
      </c>
      <c r="D57" s="140" t="s">
        <v>568</v>
      </c>
      <c r="E57" s="3">
        <v>0</v>
      </c>
      <c r="J57" s="158" t="s">
        <v>548</v>
      </c>
      <c r="K57" s="157"/>
      <c r="L57" s="157"/>
      <c r="M57" s="157"/>
    </row>
    <row r="58" spans="1:24" ht="15" thickTop="1">
      <c r="B58" s="169" t="s">
        <v>531</v>
      </c>
      <c r="C58" s="167"/>
      <c r="D58" s="181" t="s">
        <v>593</v>
      </c>
      <c r="E58">
        <f>0.3+SUM(E50:E57)</f>
        <v>0.16999999999999998</v>
      </c>
      <c r="K58" s="140" t="s">
        <v>539</v>
      </c>
      <c r="L58" s="137">
        <f>L29</f>
        <v>1288289.0716629697</v>
      </c>
    </row>
    <row r="59" spans="1:24" ht="16.5">
      <c r="B59" s="180" t="s">
        <v>576</v>
      </c>
      <c r="C59" s="167"/>
      <c r="D59" s="140" t="s">
        <v>575</v>
      </c>
      <c r="E59" s="134">
        <v>10</v>
      </c>
      <c r="F59" t="s">
        <v>475</v>
      </c>
      <c r="J59" s="205" t="s">
        <v>542</v>
      </c>
      <c r="K59" s="140" t="s">
        <v>541</v>
      </c>
      <c r="L59" s="104">
        <v>5</v>
      </c>
      <c r="M59" t="s">
        <v>501</v>
      </c>
    </row>
    <row r="60" spans="1:24" ht="16.5">
      <c r="B60" s="179" t="s">
        <v>577</v>
      </c>
      <c r="C60" s="167"/>
      <c r="D60" s="140" t="s">
        <v>544</v>
      </c>
      <c r="E60" s="3">
        <v>1040</v>
      </c>
      <c r="F60" t="s">
        <v>455</v>
      </c>
      <c r="J60" s="39" t="s">
        <v>626</v>
      </c>
      <c r="K60" s="140" t="s">
        <v>540</v>
      </c>
      <c r="L60" s="104">
        <v>9</v>
      </c>
      <c r="M60" s="39" t="s">
        <v>543</v>
      </c>
    </row>
    <row r="61" spans="1:24" ht="16.5">
      <c r="C61" s="168" t="s">
        <v>578</v>
      </c>
      <c r="D61" s="140" t="s">
        <v>545</v>
      </c>
      <c r="E61" s="134">
        <v>250</v>
      </c>
      <c r="F61" t="s">
        <v>535</v>
      </c>
    </row>
    <row r="62" spans="1:24" ht="16.5">
      <c r="B62" s="161"/>
      <c r="C62" s="168" t="s">
        <v>579</v>
      </c>
      <c r="D62" s="140" t="s">
        <v>546</v>
      </c>
      <c r="E62" s="134">
        <v>5.59</v>
      </c>
      <c r="F62" t="s">
        <v>549</v>
      </c>
      <c r="J62" s="204" t="s">
        <v>625</v>
      </c>
      <c r="K62" s="98" t="s">
        <v>558</v>
      </c>
      <c r="L62" s="159">
        <f>(L58*(L60/(12*100)))/(1-(1/((1+(L60/(12*100)))^(12*L59))))</f>
        <v>26742.762183809518</v>
      </c>
    </row>
    <row r="63" spans="1:24" ht="16.5">
      <c r="C63" s="168" t="s">
        <v>580</v>
      </c>
      <c r="D63" s="140" t="s">
        <v>550</v>
      </c>
      <c r="E63">
        <f>([1]cruise!$B$8*[1]cruise!$E$8)/5.87</f>
        <v>32.333901192504257</v>
      </c>
      <c r="F63" t="s">
        <v>536</v>
      </c>
      <c r="K63" s="98" t="s">
        <v>557</v>
      </c>
      <c r="L63" s="160">
        <f>L62*12</f>
        <v>320913.14620571421</v>
      </c>
    </row>
    <row r="64" spans="1:24" ht="16.5">
      <c r="B64" s="171" t="s">
        <v>581</v>
      </c>
      <c r="C64" s="167"/>
      <c r="D64" s="140" t="s">
        <v>547</v>
      </c>
      <c r="E64" s="137">
        <f>C38</f>
        <v>800000</v>
      </c>
    </row>
    <row r="65" spans="3:14" ht="16.5">
      <c r="C65" s="168" t="s">
        <v>582</v>
      </c>
      <c r="D65" s="140" t="s">
        <v>560</v>
      </c>
      <c r="E65" s="64">
        <v>0</v>
      </c>
      <c r="F65" t="s">
        <v>475</v>
      </c>
    </row>
    <row r="66" spans="3:14">
      <c r="C66" s="168"/>
      <c r="D66" s="140"/>
      <c r="J66" s="203" t="s">
        <v>621</v>
      </c>
      <c r="K66" s="202"/>
      <c r="L66" s="202"/>
      <c r="M66" s="202"/>
      <c r="N66" s="202"/>
    </row>
    <row r="67" spans="3:14" ht="16.5">
      <c r="C67" s="168" t="s">
        <v>583</v>
      </c>
      <c r="D67" s="140" t="s">
        <v>551</v>
      </c>
      <c r="E67" s="137">
        <f>E58*E59*E60</f>
        <v>1767.9999999999998</v>
      </c>
      <c r="F67" t="s">
        <v>537</v>
      </c>
      <c r="J67" s="202" t="s">
        <v>622</v>
      </c>
      <c r="K67" s="202"/>
      <c r="L67" s="202"/>
      <c r="M67" s="202"/>
      <c r="N67" s="202"/>
    </row>
    <row r="68" spans="3:14" ht="16.5">
      <c r="C68" s="168" t="s">
        <v>584</v>
      </c>
      <c r="D68" s="140" t="s">
        <v>552</v>
      </c>
      <c r="E68" s="137">
        <f>12*E61</f>
        <v>3000</v>
      </c>
      <c r="F68" t="s">
        <v>537</v>
      </c>
      <c r="J68" s="202" t="s">
        <v>623</v>
      </c>
      <c r="K68" s="202"/>
      <c r="L68" s="202"/>
      <c r="M68" s="202"/>
      <c r="N68" s="202"/>
    </row>
    <row r="69" spans="3:14" ht="16.5">
      <c r="C69" s="168" t="s">
        <v>585</v>
      </c>
      <c r="D69" s="140" t="s">
        <v>553</v>
      </c>
      <c r="E69" s="64">
        <f>(E63*E60*E62)</f>
        <v>187976.36797274274</v>
      </c>
      <c r="F69" t="s">
        <v>537</v>
      </c>
      <c r="J69" s="182" t="s">
        <v>624</v>
      </c>
      <c r="K69" s="182"/>
      <c r="L69" s="182"/>
    </row>
    <row r="70" spans="3:14" ht="16.5">
      <c r="C70" s="168" t="s">
        <v>586</v>
      </c>
      <c r="D70" s="140" t="s">
        <v>554</v>
      </c>
      <c r="E70" s="156">
        <f>500+(0.015*E64)</f>
        <v>12500</v>
      </c>
      <c r="F70" t="s">
        <v>537</v>
      </c>
    </row>
    <row r="71" spans="3:14" ht="16.5">
      <c r="C71" s="168" t="s">
        <v>587</v>
      </c>
      <c r="D71" s="140" t="s">
        <v>555</v>
      </c>
      <c r="E71" s="64">
        <v>500</v>
      </c>
      <c r="F71" t="s">
        <v>537</v>
      </c>
    </row>
    <row r="72" spans="3:14" ht="16.5">
      <c r="C72" s="168" t="s">
        <v>588</v>
      </c>
      <c r="D72" s="140" t="s">
        <v>556</v>
      </c>
      <c r="E72" s="64">
        <f>5*'Sref and POWER SIZING'!K86*'Cost Analysis'!E60</f>
        <v>10400</v>
      </c>
      <c r="F72" t="s">
        <v>537</v>
      </c>
    </row>
    <row r="73" spans="3:14" ht="16.5">
      <c r="C73" s="168" t="s">
        <v>589</v>
      </c>
      <c r="D73" s="140" t="s">
        <v>559</v>
      </c>
      <c r="E73" s="64">
        <f>E65*'MTOW &amp; WEIGHTS'!B14*'Cost Analysis'!E60</f>
        <v>0</v>
      </c>
      <c r="F73" t="s">
        <v>537</v>
      </c>
    </row>
    <row r="74" spans="3:14" ht="16.5">
      <c r="C74" s="168" t="s">
        <v>590</v>
      </c>
      <c r="D74" s="140" t="s">
        <v>557</v>
      </c>
      <c r="E74" s="137">
        <f>L63</f>
        <v>320913.14620571421</v>
      </c>
      <c r="F74" t="s">
        <v>537</v>
      </c>
    </row>
    <row r="76" spans="3:14" ht="21" thickBot="1">
      <c r="C76" s="196" t="s">
        <v>591</v>
      </c>
      <c r="D76" s="197" t="s">
        <v>618</v>
      </c>
      <c r="E76" s="177">
        <f>SUM(E67:E74)</f>
        <v>537057.51417845697</v>
      </c>
    </row>
    <row r="77" spans="3:14" ht="21" thickTop="1">
      <c r="C77" s="196" t="s">
        <v>592</v>
      </c>
      <c r="D77" s="197" t="s">
        <v>619</v>
      </c>
      <c r="E77" s="178">
        <f>E76/E60</f>
        <v>516.40145594082401</v>
      </c>
      <c r="F77" s="39" t="s">
        <v>597</v>
      </c>
    </row>
  </sheetData>
  <mergeCells count="5">
    <mergeCell ref="C47:F47"/>
    <mergeCell ref="D1:L2"/>
    <mergeCell ref="C30:G30"/>
    <mergeCell ref="F14:I14"/>
    <mergeCell ref="D3:K3"/>
  </mergeCells>
  <pageMargins left="0.7" right="0.7" top="0.75" bottom="0.75" header="0.3" footer="0.3"/>
  <ignoredErrors>
    <ignoredError sqref="S31:X31 S32:S53 T32 T33:T53 V32:V53 W32:W53 X32:X53" calculatedColumn="1"/>
  </ignoredErrors>
  <drawing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W105"/>
  <sheetViews>
    <sheetView topLeftCell="A91" zoomScale="90" zoomScaleNormal="90" workbookViewId="0">
      <selection activeCell="L60" sqref="L60"/>
    </sheetView>
  </sheetViews>
  <sheetFormatPr defaultRowHeight="14.5"/>
  <cols>
    <col min="1" max="1" width="16.1796875" customWidth="1"/>
    <col min="2" max="3" width="11" customWidth="1"/>
    <col min="7" max="7" width="17.1796875" customWidth="1"/>
    <col min="8" max="8" width="9.81640625" customWidth="1"/>
    <col min="9" max="9" width="10.453125" customWidth="1"/>
  </cols>
  <sheetData>
    <row r="1" spans="1:23">
      <c r="Q1" t="s">
        <v>673</v>
      </c>
      <c r="R1" t="s">
        <v>672</v>
      </c>
      <c r="T1" t="s">
        <v>674</v>
      </c>
      <c r="V1" t="s">
        <v>677</v>
      </c>
    </row>
    <row r="2" spans="1:23" ht="16.5">
      <c r="G2" s="108" t="s">
        <v>79</v>
      </c>
      <c r="H2" s="3"/>
      <c r="I2" s="3"/>
      <c r="J2" s="3"/>
      <c r="O2" s="12" t="s">
        <v>68</v>
      </c>
      <c r="P2" s="12" t="s">
        <v>70</v>
      </c>
      <c r="Q2" t="s">
        <v>676</v>
      </c>
    </row>
    <row r="3" spans="1:23" ht="16.5">
      <c r="O3" s="12" t="s">
        <v>69</v>
      </c>
      <c r="R3" t="s">
        <v>675</v>
      </c>
      <c r="S3" t="s">
        <v>676</v>
      </c>
      <c r="T3" t="s">
        <v>675</v>
      </c>
      <c r="U3" t="s">
        <v>676</v>
      </c>
      <c r="V3" t="s">
        <v>675</v>
      </c>
      <c r="W3" t="s">
        <v>676</v>
      </c>
    </row>
    <row r="4" spans="1:23" ht="15.5">
      <c r="C4" s="206" t="s">
        <v>323</v>
      </c>
      <c r="O4" s="10">
        <v>2500</v>
      </c>
      <c r="P4" s="10">
        <f>$B$34*(O4^$B$35)</f>
        <v>0.6905306284102628</v>
      </c>
      <c r="Q4" s="10">
        <f>($B$12+$B$16)/(1-$B$30-P4)</f>
        <v>7975.7042268798878</v>
      </c>
      <c r="R4">
        <f>(1+$B$29/100)*(1-($B$23*0.994*0.985*0.996*0.995))</f>
        <v>0.11474679517645592</v>
      </c>
      <c r="S4" s="10">
        <f>($B$12+$B$16)/(1-R4-P4)</f>
        <v>6778.8749733796549</v>
      </c>
      <c r="T4">
        <f>(1+$B$29/100)*(1-($B$23*0.992*0.992*0.996*0.99*0.992*0.992))</f>
        <v>0.12882842772421199</v>
      </c>
      <c r="U4">
        <f>($B$12+$B$16)/(1-T4-P4)</f>
        <v>7307.3134570346883</v>
      </c>
      <c r="V4">
        <f>(1+$B$29/100)*(1-($B$23*0.97*0.985*0.995))</f>
        <v>0.13265172492905453</v>
      </c>
      <c r="W4">
        <f>($B$12+$B$16)/(1-V4-P4)</f>
        <v>7465.3182243348811</v>
      </c>
    </row>
    <row r="5" spans="1:23">
      <c r="B5" s="23"/>
      <c r="O5" s="10">
        <f>O4+250</f>
        <v>2750</v>
      </c>
      <c r="P5" s="10">
        <f t="shared" ref="P5:P22" si="0">$B$34*(O5^$B$35)</f>
        <v>0.68398043317419899</v>
      </c>
      <c r="Q5" s="10">
        <f t="shared" ref="Q5:Q22" si="1">($B$12+$B$16)/(1-$B$30-P5)</f>
        <v>7672.0624776901905</v>
      </c>
      <c r="R5">
        <f t="shared" ref="R5:R22" si="2">(1+$B$29/100)*(1-($B$23*0.994*0.985*0.996*0.995))</f>
        <v>0.11474679517645592</v>
      </c>
      <c r="S5" s="10">
        <f t="shared" ref="S5:S22" si="3">($B$12+$B$16)/(1-R5-P5)</f>
        <v>6558.2641366895241</v>
      </c>
      <c r="T5">
        <f t="shared" ref="T5:T22" si="4">(1+$B$29/100)*(1-($B$23*0.992*0.992*0.996*0.99*0.992*0.992))</f>
        <v>0.12882842772421199</v>
      </c>
      <c r="U5">
        <f t="shared" ref="U5:U22" si="5">($B$12+$B$16)/(1-T5-P5)</f>
        <v>7051.6158314717732</v>
      </c>
      <c r="V5">
        <f t="shared" ref="V5:V22" si="6">(1+$B$29/100)*(1-($B$23*0.97*0.985*0.995))</f>
        <v>0.13265172492905453</v>
      </c>
      <c r="W5">
        <f t="shared" ref="W5:W22" si="7">($B$12+$B$16)/(1-V5-P5)</f>
        <v>7198.6450096483404</v>
      </c>
    </row>
    <row r="6" spans="1:23" ht="18.5">
      <c r="B6" s="16" t="s">
        <v>53</v>
      </c>
      <c r="O6" s="10">
        <f t="shared" ref="O6:O22" si="8">O5+250</f>
        <v>3000</v>
      </c>
      <c r="P6" s="10">
        <f t="shared" si="0"/>
        <v>0.67805484231814017</v>
      </c>
      <c r="Q6" s="10">
        <f t="shared" si="1"/>
        <v>7416.6297961065911</v>
      </c>
      <c r="R6">
        <f t="shared" si="2"/>
        <v>0.11474679517645592</v>
      </c>
      <c r="S6" s="10">
        <f t="shared" si="3"/>
        <v>6370.7067181362172</v>
      </c>
      <c r="T6">
        <f t="shared" si="4"/>
        <v>0.12882842772421199</v>
      </c>
      <c r="U6">
        <f t="shared" si="5"/>
        <v>6835.2441566791622</v>
      </c>
      <c r="V6">
        <f t="shared" si="6"/>
        <v>0.13265172492905453</v>
      </c>
      <c r="W6">
        <f t="shared" si="7"/>
        <v>6973.3005567275168</v>
      </c>
    </row>
    <row r="7" spans="1:23">
      <c r="A7" s="98" t="s">
        <v>642</v>
      </c>
      <c r="B7" s="3">
        <v>4</v>
      </c>
      <c r="O7" s="10">
        <f t="shared" si="8"/>
        <v>3250</v>
      </c>
      <c r="P7" s="10">
        <f t="shared" si="0"/>
        <v>0.67264917085515208</v>
      </c>
      <c r="Q7" s="10">
        <f t="shared" si="1"/>
        <v>7198.0074211885621</v>
      </c>
      <c r="R7">
        <f t="shared" si="2"/>
        <v>0.11474679517645592</v>
      </c>
      <c r="S7" s="10">
        <f t="shared" si="3"/>
        <v>6208.7250903068252</v>
      </c>
      <c r="T7">
        <f t="shared" si="4"/>
        <v>0.12882842772421199</v>
      </c>
      <c r="U7">
        <f t="shared" si="5"/>
        <v>6649.1236785068886</v>
      </c>
      <c r="V7">
        <f t="shared" si="6"/>
        <v>0.13265172492905453</v>
      </c>
      <c r="W7">
        <f t="shared" si="7"/>
        <v>6779.6922092511904</v>
      </c>
    </row>
    <row r="8" spans="1:23">
      <c r="A8" s="98" t="s">
        <v>643</v>
      </c>
      <c r="B8" s="3">
        <v>50</v>
      </c>
      <c r="C8" t="s">
        <v>52</v>
      </c>
      <c r="O8" s="10">
        <f t="shared" si="8"/>
        <v>3500</v>
      </c>
      <c r="P8" s="10">
        <f t="shared" si="0"/>
        <v>0.66768272962695863</v>
      </c>
      <c r="Q8" s="10">
        <f t="shared" si="1"/>
        <v>7008.2098046978144</v>
      </c>
      <c r="R8">
        <f t="shared" si="2"/>
        <v>0.11474679517645592</v>
      </c>
      <c r="S8" s="10">
        <f t="shared" si="3"/>
        <v>6066.9996643952545</v>
      </c>
      <c r="T8">
        <f t="shared" si="4"/>
        <v>0.12882842772421199</v>
      </c>
      <c r="U8">
        <f t="shared" si="5"/>
        <v>6486.8421423870814</v>
      </c>
      <c r="V8">
        <f t="shared" si="6"/>
        <v>0.13265172492905453</v>
      </c>
      <c r="W8">
        <f t="shared" si="7"/>
        <v>6611.0554881403214</v>
      </c>
    </row>
    <row r="9" spans="1:23">
      <c r="A9" s="73" t="s">
        <v>51</v>
      </c>
      <c r="B9">
        <f>B8*B7</f>
        <v>200</v>
      </c>
      <c r="C9" t="s">
        <v>52</v>
      </c>
      <c r="O9" s="10">
        <f t="shared" si="8"/>
        <v>3750</v>
      </c>
      <c r="P9" s="10">
        <f t="shared" si="0"/>
        <v>0.66309204917211761</v>
      </c>
      <c r="Q9" s="10">
        <f t="shared" si="1"/>
        <v>6841.4623667753158</v>
      </c>
      <c r="R9">
        <f t="shared" si="2"/>
        <v>0.11474679517645592</v>
      </c>
      <c r="S9" s="10">
        <f t="shared" si="3"/>
        <v>5941.6327581185969</v>
      </c>
      <c r="T9">
        <f t="shared" si="4"/>
        <v>0.12882842772421199</v>
      </c>
      <c r="U9">
        <f t="shared" si="5"/>
        <v>6343.7284952942882</v>
      </c>
      <c r="V9">
        <f t="shared" si="6"/>
        <v>0.13265172492905453</v>
      </c>
      <c r="W9">
        <f t="shared" si="7"/>
        <v>6462.4713111747305</v>
      </c>
    </row>
    <row r="10" spans="1:23">
      <c r="A10" s="98" t="s">
        <v>320</v>
      </c>
      <c r="B10" s="3">
        <v>180</v>
      </c>
      <c r="C10" t="s">
        <v>52</v>
      </c>
      <c r="O10" s="10">
        <f t="shared" si="8"/>
        <v>4000</v>
      </c>
      <c r="P10" s="10">
        <f t="shared" si="0"/>
        <v>0.65882633111208255</v>
      </c>
      <c r="Q10" s="10">
        <f t="shared" si="1"/>
        <v>6693.4769463300454</v>
      </c>
      <c r="R10">
        <f t="shared" si="2"/>
        <v>0.11474679517645592</v>
      </c>
      <c r="S10" s="10">
        <f t="shared" si="3"/>
        <v>5829.6967067702917</v>
      </c>
      <c r="T10">
        <f t="shared" si="4"/>
        <v>0.12882842772421199</v>
      </c>
      <c r="U10">
        <f t="shared" si="5"/>
        <v>6216.2918875227306</v>
      </c>
      <c r="V10">
        <f t="shared" si="6"/>
        <v>0.13265172492905453</v>
      </c>
      <c r="W10">
        <f t="shared" si="7"/>
        <v>6330.2690112097207</v>
      </c>
    </row>
    <row r="11" spans="1:23">
      <c r="A11" s="73" t="s">
        <v>51</v>
      </c>
      <c r="B11">
        <f>B10*B7</f>
        <v>720</v>
      </c>
      <c r="C11" t="s">
        <v>52</v>
      </c>
      <c r="O11" s="10">
        <f t="shared" si="8"/>
        <v>4250</v>
      </c>
      <c r="P11" s="10">
        <f t="shared" si="0"/>
        <v>0.65484430403581728</v>
      </c>
      <c r="Q11" s="10">
        <f t="shared" si="1"/>
        <v>6560.9964781871049</v>
      </c>
      <c r="R11">
        <f t="shared" si="2"/>
        <v>0.11474679517645592</v>
      </c>
      <c r="S11" s="10">
        <f t="shared" si="3"/>
        <v>5728.9453466734849</v>
      </c>
      <c r="T11">
        <f t="shared" si="4"/>
        <v>0.12882842772421199</v>
      </c>
      <c r="U11">
        <f t="shared" si="5"/>
        <v>6101.8659863800931</v>
      </c>
      <c r="V11">
        <f t="shared" si="6"/>
        <v>0.13265172492905453</v>
      </c>
      <c r="W11">
        <f t="shared" si="7"/>
        <v>6211.648627412219</v>
      </c>
    </row>
    <row r="12" spans="1:23" ht="16.5">
      <c r="A12" s="140" t="s">
        <v>321</v>
      </c>
      <c r="B12" s="207">
        <f>B11+B9</f>
        <v>920</v>
      </c>
      <c r="C12" t="s">
        <v>52</v>
      </c>
      <c r="O12" s="10">
        <f t="shared" si="8"/>
        <v>4500</v>
      </c>
      <c r="P12" s="10">
        <f t="shared" si="0"/>
        <v>0.65111199466837499</v>
      </c>
      <c r="Q12" s="10">
        <f t="shared" si="1"/>
        <v>6441.498537600246</v>
      </c>
      <c r="R12">
        <f t="shared" si="2"/>
        <v>0.11474679517645592</v>
      </c>
      <c r="S12" s="10">
        <f t="shared" si="3"/>
        <v>5637.6235483075152</v>
      </c>
      <c r="T12">
        <f t="shared" si="4"/>
        <v>0.12882842772421199</v>
      </c>
      <c r="U12">
        <f t="shared" si="5"/>
        <v>5998.3755960619183</v>
      </c>
      <c r="V12">
        <f t="shared" si="6"/>
        <v>0.13265172492905453</v>
      </c>
      <c r="W12">
        <f t="shared" si="7"/>
        <v>6104.4335277250202</v>
      </c>
    </row>
    <row r="13" spans="1:23">
      <c r="A13" s="9"/>
      <c r="B13" s="13" t="s">
        <v>54</v>
      </c>
      <c r="C13" s="9"/>
      <c r="O13" s="10">
        <f t="shared" si="8"/>
        <v>4750</v>
      </c>
      <c r="P13" s="10">
        <f t="shared" si="0"/>
        <v>0.64760111277373356</v>
      </c>
      <c r="Q13" s="10">
        <f t="shared" si="1"/>
        <v>6332.9963635718104</v>
      </c>
      <c r="R13">
        <f t="shared" si="2"/>
        <v>0.11474679517645592</v>
      </c>
      <c r="S13" s="10">
        <f t="shared" si="3"/>
        <v>5554.3378079050763</v>
      </c>
      <c r="T13">
        <f t="shared" si="4"/>
        <v>0.12882842772421199</v>
      </c>
      <c r="U13">
        <f t="shared" si="5"/>
        <v>5904.17894627027</v>
      </c>
      <c r="V13">
        <f t="shared" si="6"/>
        <v>0.13265172492905453</v>
      </c>
      <c r="W13">
        <f t="shared" si="7"/>
        <v>6006.9035076533855</v>
      </c>
    </row>
    <row r="14" spans="1:23">
      <c r="A14" s="98" t="s">
        <v>55</v>
      </c>
      <c r="B14" s="3">
        <v>2</v>
      </c>
      <c r="O14" s="10">
        <f t="shared" si="8"/>
        <v>5000</v>
      </c>
      <c r="P14" s="10">
        <f t="shared" si="0"/>
        <v>0.64428785797341892</v>
      </c>
      <c r="Q14" s="10">
        <f t="shared" si="1"/>
        <v>6233.901739190881</v>
      </c>
      <c r="R14">
        <f t="shared" si="2"/>
        <v>0.11474679517645592</v>
      </c>
      <c r="S14" s="10">
        <f t="shared" si="3"/>
        <v>5477.9660945231653</v>
      </c>
      <c r="T14">
        <f t="shared" si="4"/>
        <v>0.12882842772421199</v>
      </c>
      <c r="U14">
        <f t="shared" si="5"/>
        <v>5817.9583495394882</v>
      </c>
      <c r="V14">
        <f t="shared" si="6"/>
        <v>0.13265172492905453</v>
      </c>
      <c r="W14">
        <f t="shared" si="7"/>
        <v>5917.6792421349646</v>
      </c>
    </row>
    <row r="15" spans="1:23">
      <c r="A15" s="98" t="s">
        <v>56</v>
      </c>
      <c r="B15" s="3">
        <v>200</v>
      </c>
      <c r="C15" t="s">
        <v>52</v>
      </c>
      <c r="O15" s="10">
        <f t="shared" si="8"/>
        <v>5250</v>
      </c>
      <c r="P15" s="10">
        <f t="shared" si="0"/>
        <v>0.64115202305281682</v>
      </c>
      <c r="Q15" s="10">
        <f t="shared" si="1"/>
        <v>6142.9282904138418</v>
      </c>
      <c r="R15">
        <f t="shared" si="2"/>
        <v>0.11474679517645592</v>
      </c>
      <c r="S15" s="10">
        <f t="shared" si="3"/>
        <v>5407.5936479480624</v>
      </c>
      <c r="T15">
        <f t="shared" si="4"/>
        <v>0.12882842772421199</v>
      </c>
      <c r="U15">
        <f t="shared" si="5"/>
        <v>5738.6426695430482</v>
      </c>
      <c r="V15">
        <f t="shared" si="6"/>
        <v>0.13265172492905453</v>
      </c>
      <c r="W15">
        <f t="shared" si="7"/>
        <v>5835.6404592159543</v>
      </c>
    </row>
    <row r="16" spans="1:23" ht="16.5">
      <c r="A16" s="70" t="s">
        <v>322</v>
      </c>
      <c r="B16" s="207">
        <f>B15*B14</f>
        <v>400</v>
      </c>
      <c r="C16" t="s">
        <v>52</v>
      </c>
      <c r="O16" s="10">
        <f t="shared" si="8"/>
        <v>5500</v>
      </c>
      <c r="P16" s="10">
        <f t="shared" si="0"/>
        <v>0.63817630971716433</v>
      </c>
      <c r="Q16" s="10">
        <f t="shared" si="1"/>
        <v>6059.0218829604601</v>
      </c>
      <c r="R16">
        <f t="shared" si="2"/>
        <v>0.11474679517645592</v>
      </c>
      <c r="S16" s="10">
        <f t="shared" si="3"/>
        <v>5342.4663582228914</v>
      </c>
      <c r="T16">
        <f t="shared" si="4"/>
        <v>0.12882842772421199</v>
      </c>
      <c r="U16">
        <f t="shared" si="5"/>
        <v>5665.3512414994975</v>
      </c>
      <c r="V16">
        <f t="shared" si="6"/>
        <v>0.13265172492905453</v>
      </c>
      <c r="W16">
        <f t="shared" si="7"/>
        <v>5759.86682298713</v>
      </c>
    </row>
    <row r="17" spans="1:23">
      <c r="O17" s="10">
        <f t="shared" si="8"/>
        <v>5750</v>
      </c>
      <c r="P17" s="10">
        <f t="shared" si="0"/>
        <v>0.63534579925713219</v>
      </c>
      <c r="Q17" s="10">
        <f t="shared" si="1"/>
        <v>5981.3096054571233</v>
      </c>
      <c r="R17">
        <f t="shared" si="2"/>
        <v>0.11474679517645592</v>
      </c>
      <c r="S17" s="10">
        <f t="shared" si="3"/>
        <v>5281.9563190143854</v>
      </c>
      <c r="T17">
        <f t="shared" si="4"/>
        <v>0.12882842772421199</v>
      </c>
      <c r="U17">
        <f t="shared" si="5"/>
        <v>5597.352584085781</v>
      </c>
      <c r="V17">
        <f t="shared" si="6"/>
        <v>0.13265172492905453</v>
      </c>
      <c r="W17">
        <f t="shared" si="7"/>
        <v>5689.5944552735155</v>
      </c>
    </row>
    <row r="18" spans="1:23" ht="15.5">
      <c r="A18" s="17" t="s">
        <v>78</v>
      </c>
      <c r="B18" s="14"/>
      <c r="C18" s="7"/>
      <c r="O18" s="10">
        <f t="shared" si="8"/>
        <v>6000</v>
      </c>
      <c r="P18" s="10">
        <f t="shared" si="0"/>
        <v>0.63264753795411266</v>
      </c>
      <c r="Q18" s="10">
        <f t="shared" si="1"/>
        <v>5909.0617623578191</v>
      </c>
      <c r="R18">
        <f t="shared" si="2"/>
        <v>0.11474679517645592</v>
      </c>
      <c r="S18" s="10">
        <f t="shared" si="3"/>
        <v>5225.535976127926</v>
      </c>
      <c r="T18">
        <f t="shared" si="4"/>
        <v>0.12882842772421199</v>
      </c>
      <c r="U18">
        <f t="shared" si="5"/>
        <v>5534.0335147100432</v>
      </c>
      <c r="V18">
        <f t="shared" si="6"/>
        <v>0.13265172492905453</v>
      </c>
      <c r="W18">
        <f t="shared" si="7"/>
        <v>5624.1834440550174</v>
      </c>
    </row>
    <row r="19" spans="1:23">
      <c r="A19" s="219" t="s">
        <v>57</v>
      </c>
      <c r="B19">
        <v>0.98</v>
      </c>
      <c r="O19" s="10">
        <f t="shared" si="8"/>
        <v>6250</v>
      </c>
      <c r="P19" s="10">
        <f t="shared" si="0"/>
        <v>0.63007020868653862</v>
      </c>
      <c r="Q19" s="10">
        <f t="shared" si="1"/>
        <v>5841.6631409486581</v>
      </c>
      <c r="R19">
        <f t="shared" si="2"/>
        <v>0.11474679517645592</v>
      </c>
      <c r="S19" s="10">
        <f t="shared" si="3"/>
        <v>5172.7584517085297</v>
      </c>
      <c r="T19">
        <f t="shared" si="4"/>
        <v>0.12882842772421199</v>
      </c>
      <c r="U19">
        <f t="shared" si="5"/>
        <v>5474.8757134729794</v>
      </c>
      <c r="V19">
        <f t="shared" si="6"/>
        <v>0.13265172492905453</v>
      </c>
      <c r="W19">
        <f t="shared" si="7"/>
        <v>5563.0932100631198</v>
      </c>
    </row>
    <row r="20" spans="1:23">
      <c r="A20" s="219" t="s">
        <v>58</v>
      </c>
      <c r="B20">
        <v>0.97</v>
      </c>
      <c r="O20" s="10">
        <f t="shared" si="8"/>
        <v>6500</v>
      </c>
      <c r="P20" s="10">
        <f t="shared" si="0"/>
        <v>0.6276038681377355</v>
      </c>
      <c r="Q20" s="10">
        <f t="shared" si="1"/>
        <v>5778.5909992131819</v>
      </c>
      <c r="R20">
        <f t="shared" si="2"/>
        <v>0.11474679517645592</v>
      </c>
      <c r="S20" s="10">
        <f t="shared" si="3"/>
        <v>5123.2423765549174</v>
      </c>
      <c r="T20">
        <f t="shared" si="4"/>
        <v>0.12882842772421199</v>
      </c>
      <c r="U20">
        <f t="shared" si="5"/>
        <v>5419.4377069458806</v>
      </c>
      <c r="V20">
        <f t="shared" si="6"/>
        <v>0.13265172492905453</v>
      </c>
      <c r="W20">
        <f t="shared" si="7"/>
        <v>5505.86358566328</v>
      </c>
    </row>
    <row r="21" spans="1:23">
      <c r="A21" s="219" t="s">
        <v>59</v>
      </c>
      <c r="B21">
        <v>0.99</v>
      </c>
      <c r="O21" s="10">
        <f t="shared" si="8"/>
        <v>6750</v>
      </c>
      <c r="P21" s="10">
        <f t="shared" si="0"/>
        <v>0.62523973452005255</v>
      </c>
      <c r="Q21" s="10">
        <f t="shared" si="1"/>
        <v>5719.3979975891416</v>
      </c>
      <c r="R21">
        <f t="shared" si="2"/>
        <v>0.11474679517645592</v>
      </c>
      <c r="S21" s="10">
        <f t="shared" si="3"/>
        <v>5076.6600609548295</v>
      </c>
      <c r="T21">
        <f t="shared" si="4"/>
        <v>0.12882842772421199</v>
      </c>
      <c r="U21">
        <f t="shared" si="5"/>
        <v>5367.3408536516981</v>
      </c>
      <c r="V21">
        <f t="shared" si="6"/>
        <v>0.13265172492905453</v>
      </c>
      <c r="W21">
        <f t="shared" si="7"/>
        <v>5452.1001076479033</v>
      </c>
    </row>
    <row r="22" spans="1:23">
      <c r="A22" s="219" t="s">
        <v>60</v>
      </c>
      <c r="B22">
        <v>0.997</v>
      </c>
      <c r="O22" s="10">
        <f t="shared" si="8"/>
        <v>7000</v>
      </c>
      <c r="P22" s="10">
        <f t="shared" si="0"/>
        <v>0.62297001462130241</v>
      </c>
      <c r="Q22" s="10">
        <f t="shared" si="1"/>
        <v>5663.6988173490818</v>
      </c>
      <c r="R22">
        <f t="shared" si="2"/>
        <v>0.11474679517645592</v>
      </c>
      <c r="S22" s="10">
        <f t="shared" si="3"/>
        <v>5032.7281705784217</v>
      </c>
      <c r="T22">
        <f t="shared" si="4"/>
        <v>0.12882842772421199</v>
      </c>
      <c r="U22">
        <f t="shared" si="5"/>
        <v>5318.2583238963189</v>
      </c>
      <c r="V22">
        <f t="shared" si="6"/>
        <v>0.13265172492905453</v>
      </c>
      <c r="W22">
        <f t="shared" si="7"/>
        <v>5401.4624605775898</v>
      </c>
    </row>
    <row r="23" spans="1:23">
      <c r="A23" s="253" t="s">
        <v>61</v>
      </c>
      <c r="B23">
        <f>EXP(-B24*3280.8399*B26/(3600*550*B27*B25))</f>
        <v>0.9123520949463898</v>
      </c>
    </row>
    <row r="24" spans="1:23">
      <c r="A24" s="219" t="s">
        <v>62</v>
      </c>
      <c r="B24" s="3">
        <v>1200</v>
      </c>
      <c r="C24" t="s">
        <v>63</v>
      </c>
    </row>
    <row r="25" spans="1:23">
      <c r="A25" s="219" t="s">
        <v>64</v>
      </c>
      <c r="B25" s="3">
        <f>1/(2*SQRT('Sref and POWER SIZING'!B16*'Sref and POWER SIZING'!B15))</f>
        <v>13.547933564579795</v>
      </c>
    </row>
    <row r="26" spans="1:23">
      <c r="A26" s="219" t="s">
        <v>65</v>
      </c>
      <c r="B26" s="3">
        <v>0.5</v>
      </c>
    </row>
    <row r="27" spans="1:23">
      <c r="A27" s="219" t="s">
        <v>50</v>
      </c>
      <c r="B27" s="3">
        <v>0.8</v>
      </c>
    </row>
    <row r="28" spans="1:23">
      <c r="A28" s="219" t="s">
        <v>71</v>
      </c>
      <c r="B28">
        <f>B19*B20*B21*B22*B23</f>
        <v>0.8560332551941533</v>
      </c>
    </row>
    <row r="29" spans="1:23">
      <c r="A29" s="219" t="s">
        <v>72</v>
      </c>
      <c r="B29" s="3">
        <v>0</v>
      </c>
      <c r="C29" t="s">
        <v>73</v>
      </c>
    </row>
    <row r="30" spans="1:23" ht="16.5">
      <c r="A30" s="102" t="s">
        <v>325</v>
      </c>
      <c r="B30" s="208">
        <f>(1+B29/100)*(1-B28)</f>
        <v>0.1439667448058467</v>
      </c>
    </row>
    <row r="32" spans="1:23" ht="26">
      <c r="A32" s="260"/>
      <c r="B32" s="260"/>
      <c r="G32" s="217" t="s">
        <v>74</v>
      </c>
      <c r="H32" s="218" t="s">
        <v>77</v>
      </c>
      <c r="I32" s="131" t="s">
        <v>84</v>
      </c>
      <c r="J32" t="s">
        <v>52</v>
      </c>
      <c r="K32" s="5" t="s">
        <v>75</v>
      </c>
      <c r="L32" s="6"/>
      <c r="M32" s="6"/>
      <c r="N32" s="6"/>
      <c r="O32" s="6"/>
      <c r="P32" s="6"/>
      <c r="Q32" s="6"/>
    </row>
    <row r="33" spans="1:19" ht="15.5">
      <c r="A33" s="212" t="s">
        <v>634</v>
      </c>
      <c r="K33" s="5" t="s">
        <v>76</v>
      </c>
      <c r="L33" s="6"/>
    </row>
    <row r="34" spans="1:19" ht="17.5">
      <c r="A34" s="102" t="s">
        <v>635</v>
      </c>
      <c r="B34" s="3">
        <v>1.51</v>
      </c>
      <c r="G34" s="165" t="s">
        <v>80</v>
      </c>
      <c r="H34" s="71"/>
      <c r="I34" s="209">
        <f>I32-I35-I36-I37</f>
        <v>3687.7945428857965</v>
      </c>
      <c r="J34" t="s">
        <v>52</v>
      </c>
    </row>
    <row r="35" spans="1:19" ht="17.5">
      <c r="A35" s="102" t="s">
        <v>636</v>
      </c>
      <c r="B35" s="3">
        <v>-0.1</v>
      </c>
      <c r="G35" s="166" t="s">
        <v>81</v>
      </c>
      <c r="I35" s="209">
        <f>I32*B30</f>
        <v>842.20545711420323</v>
      </c>
      <c r="J35" t="s">
        <v>271</v>
      </c>
      <c r="K35">
        <f>Table9[[#This Row],[5850]]/5.87</f>
        <v>143.47622778776886</v>
      </c>
      <c r="L35" t="s">
        <v>272</v>
      </c>
      <c r="M35" s="210" t="s">
        <v>671</v>
      </c>
      <c r="N35" s="211"/>
      <c r="O35" s="211"/>
      <c r="P35" s="211"/>
      <c r="Q35" s="211"/>
      <c r="R35" s="211"/>
    </row>
    <row r="36" spans="1:19" ht="17.5">
      <c r="G36" s="165" t="s">
        <v>82</v>
      </c>
      <c r="I36" s="209">
        <f>B16</f>
        <v>400</v>
      </c>
      <c r="J36" t="s">
        <v>52</v>
      </c>
      <c r="M36" s="210" t="s">
        <v>669</v>
      </c>
      <c r="N36" s="211"/>
      <c r="O36" s="211"/>
      <c r="P36" s="211"/>
      <c r="Q36" s="211"/>
      <c r="R36" s="211"/>
      <c r="S36" s="211"/>
    </row>
    <row r="37" spans="1:19" ht="17.5">
      <c r="A37" s="6" t="s">
        <v>97</v>
      </c>
      <c r="B37" s="6"/>
      <c r="C37" s="6"/>
      <c r="D37" s="6"/>
      <c r="G37" s="164" t="s">
        <v>83</v>
      </c>
      <c r="I37" s="209">
        <f>B12</f>
        <v>920</v>
      </c>
      <c r="J37" t="s">
        <v>52</v>
      </c>
      <c r="M37" s="210" t="s">
        <v>670</v>
      </c>
      <c r="N37" s="211"/>
      <c r="O37" s="211"/>
      <c r="P37" s="211"/>
      <c r="Q37" s="211"/>
      <c r="R37" s="211"/>
      <c r="S37" s="211"/>
    </row>
    <row r="38" spans="1:19">
      <c r="M38" s="210" t="s">
        <v>678</v>
      </c>
      <c r="N38" s="211"/>
      <c r="O38" s="211"/>
      <c r="P38" s="211"/>
      <c r="Q38" s="211"/>
    </row>
    <row r="41" spans="1:19" ht="15.5">
      <c r="A41" s="206" t="s">
        <v>324</v>
      </c>
    </row>
    <row r="42" spans="1:19">
      <c r="A42" s="98" t="s">
        <v>66</v>
      </c>
      <c r="B42" s="3">
        <f>0.096</f>
        <v>9.6000000000000002E-2</v>
      </c>
      <c r="C42" s="18" t="s">
        <v>88</v>
      </c>
      <c r="D42" s="6"/>
      <c r="E42" s="6"/>
      <c r="F42" s="6"/>
    </row>
    <row r="43" spans="1:19">
      <c r="A43" s="98" t="s">
        <v>67</v>
      </c>
      <c r="B43" s="3">
        <v>1.0296000000000001</v>
      </c>
    </row>
    <row r="44" spans="1:19">
      <c r="A44" s="98" t="s">
        <v>85</v>
      </c>
      <c r="B44">
        <f>B28</f>
        <v>0.8560332551941533</v>
      </c>
    </row>
    <row r="45" spans="1:19">
      <c r="A45" s="98" t="s">
        <v>86</v>
      </c>
      <c r="B45">
        <f>I36+I37</f>
        <v>1320</v>
      </c>
    </row>
    <row r="48" spans="1:19" ht="16.5">
      <c r="L48" s="5" t="s">
        <v>99</v>
      </c>
      <c r="M48" s="6"/>
      <c r="N48" s="6"/>
      <c r="O48" s="6"/>
      <c r="P48" s="6"/>
      <c r="Q48" s="6"/>
      <c r="R48" s="6"/>
    </row>
    <row r="49" spans="1:15">
      <c r="L49" s="5" t="s">
        <v>98</v>
      </c>
      <c r="M49" s="6"/>
      <c r="N49" s="6"/>
      <c r="O49" s="6"/>
    </row>
    <row r="51" spans="1:15">
      <c r="N51" s="12" t="s">
        <v>87</v>
      </c>
    </row>
    <row r="52" spans="1:15">
      <c r="N52" s="11">
        <v>2000</v>
      </c>
      <c r="O52" s="11">
        <f t="shared" ref="O52:O64" si="9">(LOG10(N52))-$B$42-($B$43*LOG10(($B$44*N52)-$B$45))</f>
        <v>0.53490679990990708</v>
      </c>
    </row>
    <row r="53" spans="1:15">
      <c r="N53" s="11">
        <f t="shared" ref="N53:N64" si="10">N52+500</f>
        <v>2500</v>
      </c>
      <c r="O53" s="11">
        <f t="shared" si="9"/>
        <v>0.30183193304756006</v>
      </c>
    </row>
    <row r="54" spans="1:15">
      <c r="N54" s="11">
        <f t="shared" si="10"/>
        <v>3000</v>
      </c>
      <c r="O54" s="11">
        <f t="shared" si="9"/>
        <v>0.19322297377106779</v>
      </c>
    </row>
    <row r="55" spans="1:15">
      <c r="N55" s="11">
        <f t="shared" si="10"/>
        <v>3500</v>
      </c>
      <c r="O55" s="11">
        <f t="shared" si="9"/>
        <v>0.12832446711095136</v>
      </c>
    </row>
    <row r="56" spans="1:15">
      <c r="N56" s="11">
        <f t="shared" si="10"/>
        <v>4000</v>
      </c>
      <c r="O56" s="11">
        <f t="shared" si="9"/>
        <v>8.4623832918829578E-2</v>
      </c>
    </row>
    <row r="57" spans="1:15">
      <c r="N57" s="11">
        <f t="shared" si="10"/>
        <v>4500</v>
      </c>
      <c r="O57" s="11">
        <f t="shared" si="9"/>
        <v>5.2979859843008459E-2</v>
      </c>
    </row>
    <row r="58" spans="1:15">
      <c r="N58" s="11">
        <f t="shared" si="10"/>
        <v>5000</v>
      </c>
      <c r="O58" s="11">
        <f t="shared" si="9"/>
        <v>2.8902941013055905E-2</v>
      </c>
    </row>
    <row r="59" spans="1:15">
      <c r="N59" s="11">
        <f t="shared" si="10"/>
        <v>5500</v>
      </c>
      <c r="O59" s="11">
        <f t="shared" si="9"/>
        <v>9.9088241118256981E-3</v>
      </c>
    </row>
    <row r="60" spans="1:15">
      <c r="N60" s="11">
        <f t="shared" si="10"/>
        <v>6000</v>
      </c>
      <c r="O60" s="11">
        <f t="shared" si="9"/>
        <v>-5.4961032483200611E-3</v>
      </c>
    </row>
    <row r="61" spans="1:15">
      <c r="N61" s="11">
        <f t="shared" si="10"/>
        <v>6500</v>
      </c>
      <c r="O61" s="11">
        <f t="shared" si="9"/>
        <v>-1.8266943690001369E-2</v>
      </c>
    </row>
    <row r="62" spans="1:15">
      <c r="N62" s="11">
        <f t="shared" si="10"/>
        <v>7000</v>
      </c>
      <c r="O62" s="11">
        <f t="shared" si="9"/>
        <v>-2.9044357032208534E-2</v>
      </c>
    </row>
    <row r="63" spans="1:15">
      <c r="A63" s="210" t="s">
        <v>89</v>
      </c>
      <c r="B63" s="211"/>
      <c r="C63" s="211"/>
      <c r="D63" s="211"/>
      <c r="E63" s="211"/>
      <c r="F63" s="211"/>
      <c r="G63" s="211"/>
      <c r="H63" s="211"/>
      <c r="N63" s="11">
        <f t="shared" si="10"/>
        <v>7500</v>
      </c>
      <c r="O63" s="11">
        <f t="shared" si="9"/>
        <v>-3.8274857099794612E-2</v>
      </c>
    </row>
    <row r="64" spans="1:15">
      <c r="N64" s="11">
        <f t="shared" si="10"/>
        <v>8000</v>
      </c>
      <c r="O64" s="11">
        <f t="shared" si="9"/>
        <v>-4.6279580278134169E-2</v>
      </c>
    </row>
    <row r="65" spans="1:11">
      <c r="C65" s="2" t="s">
        <v>90</v>
      </c>
      <c r="D65" s="19">
        <v>5800</v>
      </c>
      <c r="E65" t="s">
        <v>52</v>
      </c>
    </row>
    <row r="66" spans="1:11">
      <c r="B66" s="210" t="s">
        <v>91</v>
      </c>
      <c r="C66" s="211"/>
      <c r="D66" s="211"/>
      <c r="E66" s="211"/>
      <c r="F66" s="211"/>
      <c r="G66" s="211"/>
      <c r="H66" s="211"/>
      <c r="I66" s="211"/>
      <c r="J66" s="211"/>
      <c r="K66" s="211"/>
    </row>
    <row r="70" spans="1:11" ht="20" thickBot="1">
      <c r="C70" s="261" t="s">
        <v>633</v>
      </c>
      <c r="D70" s="261"/>
      <c r="E70" s="261"/>
      <c r="F70" s="261"/>
      <c r="G70" s="261"/>
      <c r="H70" s="261"/>
    </row>
    <row r="71" spans="1:11" ht="15" thickTop="1">
      <c r="I71" s="198" t="s">
        <v>125</v>
      </c>
    </row>
    <row r="72" spans="1:11" ht="15" thickBot="1">
      <c r="A72" s="176" t="s">
        <v>627</v>
      </c>
      <c r="D72" s="259" t="s">
        <v>92</v>
      </c>
      <c r="E72" s="259"/>
      <c r="F72" s="259"/>
      <c r="G72" s="259"/>
      <c r="H72" s="259"/>
    </row>
    <row r="73" spans="1:11">
      <c r="A73" s="176"/>
    </row>
    <row r="74" spans="1:11" ht="16.5">
      <c r="A74" s="176"/>
      <c r="B74" s="20" t="s">
        <v>93</v>
      </c>
      <c r="C74" s="220">
        <f>B43*Table9[[#Headers],[5850]]*(B45-B44*(1-B43)*D65)^-1</f>
        <v>4.1058682185143018</v>
      </c>
      <c r="E74" s="214" t="s">
        <v>94</v>
      </c>
      <c r="F74" s="6"/>
      <c r="G74" s="6"/>
      <c r="H74" s="6"/>
    </row>
    <row r="75" spans="1:11">
      <c r="A75" s="176"/>
      <c r="D75" s="215" t="s">
        <v>95</v>
      </c>
      <c r="E75" s="6"/>
      <c r="F75" s="6"/>
      <c r="G75" s="6"/>
      <c r="H75" s="6"/>
      <c r="I75" s="6">
        <f>C74</f>
        <v>4.1058682185143018</v>
      </c>
      <c r="J75" s="6" t="s">
        <v>52</v>
      </c>
    </row>
    <row r="76" spans="1:11">
      <c r="A76" s="176"/>
    </row>
    <row r="77" spans="1:11" ht="15" thickBot="1">
      <c r="A77" s="176" t="s">
        <v>628</v>
      </c>
      <c r="D77" s="259" t="s">
        <v>96</v>
      </c>
      <c r="E77" s="259"/>
      <c r="F77" s="259"/>
      <c r="G77" s="259"/>
      <c r="H77" s="259"/>
    </row>
    <row r="78" spans="1:11">
      <c r="A78" s="176"/>
    </row>
    <row r="79" spans="1:11" ht="16.5">
      <c r="A79" s="176"/>
      <c r="B79" s="20" t="s">
        <v>100</v>
      </c>
      <c r="C79" s="220">
        <f>B43*Table9[[#Headers],[5850]]*(10^( (LOG10(Table9[[#Headers],[5850]])-B42)/B43))^-1</f>
        <v>1.6376108211461278</v>
      </c>
      <c r="E79" s="214" t="s">
        <v>101</v>
      </c>
      <c r="F79" s="6"/>
      <c r="G79" s="6"/>
      <c r="H79" s="6"/>
      <c r="I79" s="6"/>
    </row>
    <row r="80" spans="1:11" ht="15">
      <c r="A80" s="176"/>
      <c r="D80" s="216" t="s">
        <v>638</v>
      </c>
      <c r="E80" s="6"/>
      <c r="F80" s="6"/>
      <c r="G80" s="6"/>
      <c r="H80" s="6"/>
      <c r="I80" s="8">
        <f>C79</f>
        <v>1.6376108211461278</v>
      </c>
      <c r="J80" s="6" t="s">
        <v>52</v>
      </c>
    </row>
    <row r="81" spans="1:10">
      <c r="A81" s="176"/>
    </row>
    <row r="82" spans="1:10">
      <c r="A82" s="176"/>
    </row>
    <row r="83" spans="1:10" ht="15" thickBot="1">
      <c r="A83" s="176" t="s">
        <v>629</v>
      </c>
      <c r="D83" s="259" t="s">
        <v>105</v>
      </c>
      <c r="E83" s="259"/>
      <c r="F83" s="259"/>
      <c r="G83" s="259"/>
    </row>
    <row r="84" spans="1:10">
      <c r="A84" s="176"/>
      <c r="B84" t="s">
        <v>102</v>
      </c>
      <c r="C84">
        <f>-B43*Table9[[#Headers],[5850]]^2*(  B44*Table9[[#Headers],[5850]]*(1-B43)-B45)^-1*(1+B29/100)*B28</f>
        <v>20543.602173350278</v>
      </c>
      <c r="D84" t="s">
        <v>52</v>
      </c>
    </row>
    <row r="85" spans="1:10" ht="16.5">
      <c r="A85" s="176"/>
      <c r="B85" s="20" t="s">
        <v>103</v>
      </c>
      <c r="C85" s="220">
        <f>C84*B26*(375*B27*B25)^-1</f>
        <v>2.5272737567226011</v>
      </c>
      <c r="D85" t="s">
        <v>104</v>
      </c>
      <c r="E85" s="215" t="s">
        <v>106</v>
      </c>
      <c r="F85" s="6"/>
      <c r="G85" s="6"/>
      <c r="H85" s="6"/>
      <c r="I85" s="6"/>
      <c r="J85" s="23"/>
    </row>
    <row r="86" spans="1:10">
      <c r="A86" s="176"/>
      <c r="E86" s="216" t="s">
        <v>107</v>
      </c>
      <c r="F86" s="6"/>
      <c r="G86" s="21">
        <f>C85</f>
        <v>2.5272737567226011</v>
      </c>
      <c r="H86" s="6" t="s">
        <v>52</v>
      </c>
    </row>
    <row r="87" spans="1:10">
      <c r="A87" s="176"/>
    </row>
    <row r="88" spans="1:10" ht="15" thickBot="1">
      <c r="A88" s="176" t="s">
        <v>630</v>
      </c>
      <c r="C88" s="259" t="s">
        <v>112</v>
      </c>
      <c r="D88" s="259"/>
      <c r="E88" s="259"/>
      <c r="F88" s="259"/>
      <c r="G88" s="259"/>
      <c r="H88" s="259"/>
    </row>
    <row r="89" spans="1:10" ht="16.5">
      <c r="A89" s="176"/>
      <c r="B89" t="s">
        <v>108</v>
      </c>
      <c r="C89" s="213">
        <f>C84*B24*0.5339957 *(375*B27*B25)^-1</f>
        <v>3238.9279651505162</v>
      </c>
      <c r="D89" s="213" t="s">
        <v>109</v>
      </c>
      <c r="E89" s="213"/>
      <c r="F89" s="213"/>
      <c r="G89" s="213"/>
    </row>
    <row r="90" spans="1:10">
      <c r="A90" s="176"/>
      <c r="B90" t="s">
        <v>110</v>
      </c>
      <c r="C90">
        <f>B26</f>
        <v>0.5</v>
      </c>
    </row>
    <row r="91" spans="1:10">
      <c r="A91" s="176"/>
      <c r="B91" s="22" t="s">
        <v>111</v>
      </c>
      <c r="C91" s="3">
        <v>0.45</v>
      </c>
      <c r="E91" s="215" t="s">
        <v>117</v>
      </c>
      <c r="F91" s="6"/>
      <c r="G91" s="6"/>
      <c r="H91" s="6"/>
      <c r="I91" s="21">
        <f>C91-C90</f>
        <v>-4.9999999999999989E-2</v>
      </c>
    </row>
    <row r="92" spans="1:10">
      <c r="A92" s="176"/>
      <c r="C92" s="194">
        <f>(C91-C90)*C89</f>
        <v>-161.94639825752577</v>
      </c>
      <c r="D92" t="s">
        <v>52</v>
      </c>
      <c r="E92" s="215" t="s">
        <v>639</v>
      </c>
      <c r="F92" s="6"/>
      <c r="G92" s="6"/>
      <c r="H92" s="21">
        <f>C92</f>
        <v>-161.94639825752577</v>
      </c>
      <c r="I92" s="6" t="s">
        <v>52</v>
      </c>
    </row>
    <row r="93" spans="1:10">
      <c r="A93" s="176"/>
    </row>
    <row r="94" spans="1:10">
      <c r="A94" s="176"/>
    </row>
    <row r="95" spans="1:10" ht="15" thickBot="1">
      <c r="A95" s="176" t="s">
        <v>631</v>
      </c>
      <c r="C95" s="259" t="s">
        <v>113</v>
      </c>
      <c r="D95" s="259"/>
      <c r="E95" s="259"/>
      <c r="F95" s="259"/>
      <c r="G95" s="259"/>
    </row>
    <row r="96" spans="1:10" ht="16.5">
      <c r="A96" s="176"/>
      <c r="B96" t="s">
        <v>114</v>
      </c>
      <c r="C96" s="213">
        <f>-C84*B24*0.539957*B26*(375*B27^2*B25)^-1</f>
        <v>-2046.9287337879978</v>
      </c>
      <c r="D96" s="213" t="s">
        <v>52</v>
      </c>
      <c r="E96" s="213"/>
      <c r="F96" s="213"/>
    </row>
    <row r="97" spans="1:9">
      <c r="A97" s="176"/>
      <c r="B97" t="s">
        <v>115</v>
      </c>
      <c r="C97">
        <f>B27</f>
        <v>0.8</v>
      </c>
    </row>
    <row r="98" spans="1:9">
      <c r="A98" s="176"/>
      <c r="B98" t="s">
        <v>116</v>
      </c>
      <c r="C98" s="3">
        <v>0.7</v>
      </c>
      <c r="E98" s="215" t="s">
        <v>640</v>
      </c>
      <c r="F98" s="6"/>
      <c r="G98" s="6"/>
      <c r="H98" s="6"/>
      <c r="I98" s="8">
        <f>C98-C97</f>
        <v>-0.10000000000000009</v>
      </c>
    </row>
    <row r="99" spans="1:9">
      <c r="A99" s="176"/>
      <c r="C99" s="194">
        <f>(-C97+C98)*C96</f>
        <v>204.69287337879996</v>
      </c>
      <c r="E99" s="215" t="s">
        <v>641</v>
      </c>
      <c r="F99" s="6"/>
      <c r="G99" s="6"/>
      <c r="H99" s="21">
        <f>C99</f>
        <v>204.69287337879996</v>
      </c>
      <c r="I99" s="6" t="s">
        <v>52</v>
      </c>
    </row>
    <row r="100" spans="1:9">
      <c r="A100" s="176"/>
    </row>
    <row r="101" spans="1:9" ht="15" thickBot="1">
      <c r="A101" s="176" t="s">
        <v>632</v>
      </c>
      <c r="C101" s="259" t="s">
        <v>637</v>
      </c>
      <c r="D101" s="259"/>
      <c r="E101" s="259"/>
      <c r="F101" s="259"/>
      <c r="G101" s="259"/>
    </row>
    <row r="102" spans="1:9" ht="16.5">
      <c r="B102" t="s">
        <v>118</v>
      </c>
      <c r="C102" s="213">
        <f>-C84*B24*0.539957*B26*(375*B27*B25^2)^-1</f>
        <v>-120.87031422353959</v>
      </c>
      <c r="D102" s="213" t="s">
        <v>52</v>
      </c>
      <c r="E102" s="213"/>
      <c r="F102" s="213"/>
      <c r="G102" s="213"/>
    </row>
    <row r="103" spans="1:9">
      <c r="B103" t="s">
        <v>119</v>
      </c>
      <c r="C103">
        <f>B25</f>
        <v>13.547933564579795</v>
      </c>
    </row>
    <row r="104" spans="1:9">
      <c r="B104" t="s">
        <v>120</v>
      </c>
      <c r="C104" s="3">
        <v>13.1995</v>
      </c>
      <c r="E104" s="215" t="s">
        <v>121</v>
      </c>
      <c r="F104" s="6"/>
      <c r="G104" s="6"/>
      <c r="H104" s="6"/>
      <c r="I104" s="21">
        <f>-C103+C104</f>
        <v>-0.34843356457979446</v>
      </c>
    </row>
    <row r="105" spans="1:9">
      <c r="C105" s="194">
        <f>(-C103+C104)*C102</f>
        <v>42.115274436787736</v>
      </c>
      <c r="D105" t="s">
        <v>52</v>
      </c>
      <c r="E105" s="215" t="s">
        <v>641</v>
      </c>
      <c r="F105" s="6"/>
      <c r="G105" s="6"/>
      <c r="H105" s="21">
        <f>C105</f>
        <v>42.115274436787736</v>
      </c>
      <c r="I105" s="6" t="s">
        <v>52</v>
      </c>
    </row>
  </sheetData>
  <mergeCells count="8">
    <mergeCell ref="C101:G101"/>
    <mergeCell ref="D77:H77"/>
    <mergeCell ref="D72:H72"/>
    <mergeCell ref="D83:G83"/>
    <mergeCell ref="A32:B32"/>
    <mergeCell ref="C70:H70"/>
    <mergeCell ref="C95:G95"/>
    <mergeCell ref="C88:H88"/>
  </mergeCells>
  <pageMargins left="0.7" right="0.7" top="0.75" bottom="0.75" header="0.3" footer="0.3"/>
  <pageSetup orientation="portrait" r:id="rId1"/>
  <drawing r:id="rId2"/>
  <legacyDrawing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S104"/>
  <sheetViews>
    <sheetView topLeftCell="A93" workbookViewId="0">
      <selection activeCell="J96" sqref="J96"/>
    </sheetView>
  </sheetViews>
  <sheetFormatPr defaultRowHeight="14.5"/>
  <cols>
    <col min="1" max="1" width="14.54296875" customWidth="1"/>
    <col min="2" max="5" width="11" customWidth="1"/>
    <col min="6" max="6" width="13.81640625" customWidth="1"/>
    <col min="7" max="10" width="11" customWidth="1"/>
    <col min="11" max="11" width="11.7265625" customWidth="1"/>
    <col min="12" max="12" width="13.54296875" style="7" customWidth="1"/>
    <col min="13" max="14" width="11.7265625" customWidth="1"/>
    <col min="15" max="16" width="11" customWidth="1"/>
  </cols>
  <sheetData>
    <row r="1" spans="1:17">
      <c r="K1" s="264" t="s">
        <v>42</v>
      </c>
      <c r="L1" s="264"/>
      <c r="M1" s="12" t="s">
        <v>128</v>
      </c>
      <c r="N1" s="12" t="s">
        <v>130</v>
      </c>
      <c r="O1" s="74" t="s">
        <v>1</v>
      </c>
      <c r="P1" s="264" t="s">
        <v>38</v>
      </c>
      <c r="Q1" s="264"/>
    </row>
    <row r="2" spans="1:17" ht="17.5">
      <c r="A2" s="41" t="s">
        <v>662</v>
      </c>
      <c r="B2">
        <v>2.3779999999999999E-3</v>
      </c>
      <c r="C2" t="s">
        <v>127</v>
      </c>
      <c r="E2" s="39" t="s">
        <v>122</v>
      </c>
      <c r="G2" s="93">
        <f>'MTOW &amp; WEIGHTS'!B19*'MTOW &amp; WEIGHTS'!B20*Table9[[#Headers],[5850]]</f>
        <v>5561.01</v>
      </c>
      <c r="H2" t="s">
        <v>52</v>
      </c>
      <c r="J2" s="11" t="s">
        <v>25</v>
      </c>
      <c r="K2" s="11" t="s">
        <v>27</v>
      </c>
      <c r="L2" s="75" t="s">
        <v>28</v>
      </c>
      <c r="M2" s="11" t="s">
        <v>129</v>
      </c>
      <c r="N2" s="11" t="s">
        <v>129</v>
      </c>
      <c r="O2" s="11" t="s">
        <v>129</v>
      </c>
      <c r="P2" s="11" t="s">
        <v>129</v>
      </c>
    </row>
    <row r="3" spans="1:17" ht="16.5">
      <c r="A3" s="41" t="s">
        <v>663</v>
      </c>
      <c r="B3" s="231">
        <v>15</v>
      </c>
      <c r="C3" t="s">
        <v>193</v>
      </c>
      <c r="E3" s="39" t="s">
        <v>123</v>
      </c>
      <c r="G3">
        <f>G2*'MTOW &amp; WEIGHTS'!B28</f>
        <v>4760.409492467239</v>
      </c>
      <c r="H3" t="s">
        <v>52</v>
      </c>
      <c r="J3">
        <v>10</v>
      </c>
      <c r="K3">
        <f t="shared" ref="K3:K21" si="0">0.5*$B$2*$B$10*($B$11*1.688)^2</f>
        <v>22.691275793164802</v>
      </c>
      <c r="L3" s="7">
        <v>0</v>
      </c>
      <c r="M3">
        <f>'MTOW &amp; WEIGHTS'!$B$27*550/((0.5*'Sref and POWER SIZING'!$B$2*('Sref and POWER SIZING'!$B$14*1.688)^3*'Sref and POWER SIZING'!$B$15/'Sref and POWER SIZING'!J3)+(2*'Sref and POWER SIZING'!$B$16*'Sref and POWER SIZING'!J3/('Sref and POWER SIZING'!$B$5*'Sref and POWER SIZING'!$B$6*'Sref and POWER SIZING'!$B$14*1.688)))</f>
        <v>5.9652303733228687</v>
      </c>
      <c r="N3">
        <f t="shared" ref="N3:N21" si="1">( (1-EXP(0.6*$B$2*32.17*$B$29*$B$21/J3))/( $B$30-($B$30+$B$29/$B$27)*(EXP(0.6*$B$2*32.17*$B$29*$B$21/J3))))*(550*$B$28/($B$23*1.688))</f>
        <v>16.541215279703749</v>
      </c>
      <c r="O3">
        <f>1/ ( ($G$11/(60*$G$12*550))+ SQRT(2*J3/($B$2*SQRT(3*$B$15/$B$16)))*(1.155/('MTOW &amp; WEIGHTS'!$B$25*'Sref and POWER SIZING'!$G$12*550)))</f>
        <v>11.372662139759335</v>
      </c>
      <c r="P3">
        <f>$G$17/( ($G$18/(60*$G$12*550))+((SQRT(2*J3/($G$16*SQRT(3*$B$15/$B$16))))*(1.155/($G$12*550*'MTOW &amp; WEIGHTS'!$B$25))))</f>
        <v>19.614367928784159</v>
      </c>
    </row>
    <row r="4" spans="1:17">
      <c r="A4" s="41" t="s">
        <v>47</v>
      </c>
      <c r="B4" s="233">
        <v>10000</v>
      </c>
      <c r="C4" t="s">
        <v>12</v>
      </c>
      <c r="E4" s="39" t="s">
        <v>124</v>
      </c>
      <c r="G4">
        <f>AVERAGE(G2:G3)</f>
        <v>5160.7097462336196</v>
      </c>
      <c r="H4" t="s">
        <v>52</v>
      </c>
      <c r="J4">
        <f>J3+2</f>
        <v>12</v>
      </c>
      <c r="K4">
        <f t="shared" si="0"/>
        <v>22.691275793164802</v>
      </c>
      <c r="L4" s="7">
        <f>L3+1</f>
        <v>1</v>
      </c>
      <c r="M4">
        <f>'MTOW &amp; WEIGHTS'!$B$27*550/((0.5*'Sref and POWER SIZING'!$B$2*('Sref and POWER SIZING'!$B$14*1.688)^3*'Sref and POWER SIZING'!$B$15/'Sref and POWER SIZING'!J4)+(2*'Sref and POWER SIZING'!$B$16*'Sref and POWER SIZING'!J4/('Sref and POWER SIZING'!$B$5*'Sref and POWER SIZING'!$B$6*'Sref and POWER SIZING'!$B$14*1.688)))</f>
        <v>7.0364434975735852</v>
      </c>
      <c r="N4">
        <f t="shared" si="1"/>
        <v>14.886334728245359</v>
      </c>
      <c r="O4">
        <f>1/ ( ($G$11/(60*$G$12*550))+ SQRT(2*J4/($B$2*SQRT(3*$B$15/$B$16)))*(1.155/('MTOW &amp; WEIGHTS'!$B$25*'Sref and POWER SIZING'!$G$12*550)))</f>
        <v>11.146812242070345</v>
      </c>
      <c r="P4">
        <f>$G$17/( ($G$18/(60*$G$12*550))+((SQRT(2*J4/($G$16*SQRT(3*$B$15/$B$16))))*(1.155/($G$12*550*'MTOW &amp; WEIGHTS'!$B$25))))</f>
        <v>18.140884424406934</v>
      </c>
    </row>
    <row r="5" spans="1:17" ht="17.5">
      <c r="A5" s="41" t="s">
        <v>664</v>
      </c>
      <c r="B5">
        <f>0.002378*(1-0.0000068756*B4)^4.2561</f>
        <v>1.756074594414648E-3</v>
      </c>
      <c r="C5" t="s">
        <v>127</v>
      </c>
      <c r="F5" s="41" t="s">
        <v>667</v>
      </c>
      <c r="G5">
        <f>(2*G4)/(G7*10.7639*B5*(G6*1.688)^2)</f>
        <v>0.40822440553839295</v>
      </c>
      <c r="J5">
        <f t="shared" ref="J5:J21" si="2">J4+2</f>
        <v>14</v>
      </c>
      <c r="K5">
        <f t="shared" si="0"/>
        <v>22.691275793164802</v>
      </c>
      <c r="L5" s="7">
        <f t="shared" ref="L5:L21" si="3">L4+1</f>
        <v>2</v>
      </c>
      <c r="M5">
        <f>'MTOW &amp; WEIGHTS'!$B$27*550/((0.5*'Sref and POWER SIZING'!$B$2*('Sref and POWER SIZING'!$B$14*1.688)^3*'Sref and POWER SIZING'!$B$15/'Sref and POWER SIZING'!J5)+(2*'Sref and POWER SIZING'!$B$16*'Sref and POWER SIZING'!J5/('Sref and POWER SIZING'!$B$5*'Sref and POWER SIZING'!$B$6*'Sref and POWER SIZING'!$B$14*1.688)))</f>
        <v>8.0473171688317677</v>
      </c>
      <c r="N5">
        <f t="shared" si="1"/>
        <v>13.523077484133704</v>
      </c>
      <c r="O5">
        <f>1/ ( ($G$11/(60*$G$12*550))+ SQRT(2*J5/($B$2*SQRT(3*$B$15/$B$16)))*(1.155/('MTOW &amp; WEIGHTS'!$B$25*'Sref and POWER SIZING'!$G$12*550)))</f>
        <v>10.946897251967165</v>
      </c>
      <c r="P5">
        <f>$G$17/( ($G$18/(60*$G$12*550))+((SQRT(2*J5/($G$16*SQRT(3*$B$15/$B$16))))*(1.155/($G$12*550*'MTOW &amp; WEIGHTS'!$B$25))))</f>
        <v>16.968649144764299</v>
      </c>
    </row>
    <row r="6" spans="1:17" ht="16.5">
      <c r="A6" s="221" t="s">
        <v>7</v>
      </c>
      <c r="B6">
        <f>B5/B2</f>
        <v>0.73846702876982673</v>
      </c>
      <c r="F6" s="41" t="s">
        <v>644</v>
      </c>
      <c r="G6">
        <f>'[1]take-off'!$B$16</f>
        <v>140</v>
      </c>
      <c r="J6">
        <f t="shared" si="2"/>
        <v>16</v>
      </c>
      <c r="K6">
        <f t="shared" si="0"/>
        <v>22.691275793164802</v>
      </c>
      <c r="L6" s="7">
        <f t="shared" si="3"/>
        <v>3</v>
      </c>
      <c r="M6">
        <f>'MTOW &amp; WEIGHTS'!$B$27*550/((0.5*'Sref and POWER SIZING'!$B$2*('Sref and POWER SIZING'!$B$14*1.688)^3*'Sref and POWER SIZING'!$B$15/'Sref and POWER SIZING'!J6)+(2*'Sref and POWER SIZING'!$B$16*'Sref and POWER SIZING'!J6/('Sref and POWER SIZING'!$B$5*'Sref and POWER SIZING'!$B$6*'Sref and POWER SIZING'!$B$14*1.688)))</f>
        <v>8.9923464411419616</v>
      </c>
      <c r="N6">
        <f t="shared" si="1"/>
        <v>12.383603535730115</v>
      </c>
      <c r="O6">
        <f>1/ ( ($G$11/(60*$G$12*550))+ SQRT(2*J6/($B$2*SQRT(3*$B$15/$B$16)))*(1.155/('MTOW &amp; WEIGHTS'!$B$25*'Sref and POWER SIZING'!$G$12*550)))</f>
        <v>10.767158563544241</v>
      </c>
      <c r="P6">
        <f>$G$17/( ($G$18/(60*$G$12*550))+((SQRT(2*J6/($G$16*SQRT(3*$B$15/$B$16))))*(1.155/($G$12*550*'MTOW &amp; WEIGHTS'!$B$25))))</f>
        <v>16.005964663954312</v>
      </c>
    </row>
    <row r="7" spans="1:17" ht="15" thickBot="1">
      <c r="F7" s="41" t="s">
        <v>40</v>
      </c>
      <c r="G7" s="23">
        <f>H80</f>
        <v>23.951178858082848</v>
      </c>
      <c r="J7">
        <f t="shared" si="2"/>
        <v>18</v>
      </c>
      <c r="K7">
        <f t="shared" si="0"/>
        <v>22.691275793164802</v>
      </c>
      <c r="L7" s="7">
        <f t="shared" si="3"/>
        <v>4</v>
      </c>
      <c r="M7">
        <f>'MTOW &amp; WEIGHTS'!$B$27*550/((0.5*'Sref and POWER SIZING'!$B$2*('Sref and POWER SIZING'!$B$14*1.688)^3*'Sref and POWER SIZING'!$B$15/'Sref and POWER SIZING'!J7)+(2*'Sref and POWER SIZING'!$B$16*'Sref and POWER SIZING'!J7/('Sref and POWER SIZING'!$B$5*'Sref and POWER SIZING'!$B$6*'Sref and POWER SIZING'!$B$14*1.688)))</f>
        <v>9.8676152655226055</v>
      </c>
      <c r="N7">
        <f t="shared" si="1"/>
        <v>11.418410977207985</v>
      </c>
      <c r="O7">
        <f>1/ ( ($G$11/(60*$G$12*550))+ SQRT(2*J7/($B$2*SQRT(3*$B$15/$B$16)))*(1.155/('MTOW &amp; WEIGHTS'!$B$25*'Sref and POWER SIZING'!$G$12*550)))</f>
        <v>10.603637768998745</v>
      </c>
      <c r="P7">
        <f>$G$17/( ($G$18/(60*$G$12*550))+((SQRT(2*J7/($G$16*SQRT(3*$B$15/$B$16))))*(1.155/($G$12*550*'MTOW &amp; WEIGHTS'!$B$25))))</f>
        <v>15.196234591244123</v>
      </c>
    </row>
    <row r="8" spans="1:17" ht="20" thickBot="1">
      <c r="B8" s="268" t="s">
        <v>131</v>
      </c>
      <c r="C8" s="269"/>
      <c r="D8" s="269"/>
      <c r="E8" s="270"/>
      <c r="J8">
        <f t="shared" si="2"/>
        <v>20</v>
      </c>
      <c r="K8">
        <f t="shared" si="0"/>
        <v>22.691275793164802</v>
      </c>
      <c r="L8" s="7">
        <f t="shared" si="3"/>
        <v>5</v>
      </c>
      <c r="M8">
        <f>'MTOW &amp; WEIGHTS'!$B$27*550/((0.5*'Sref and POWER SIZING'!$B$2*('Sref and POWER SIZING'!$B$14*1.688)^3*'Sref and POWER SIZING'!$B$15/'Sref and POWER SIZING'!J8)+(2*'Sref and POWER SIZING'!$B$16*'Sref and POWER SIZING'!J8/('Sref and POWER SIZING'!$B$5*'Sref and POWER SIZING'!$B$6*'Sref and POWER SIZING'!$B$14*1.688)))</f>
        <v>10.670738984542657</v>
      </c>
      <c r="N8">
        <f t="shared" si="1"/>
        <v>10.591090504674812</v>
      </c>
      <c r="O8">
        <f>1/ ( ($G$11/(60*$G$12*550))+ SQRT(2*J8/($B$2*SQRT(3*$B$15/$B$16)))*(1.155/('MTOW &amp; WEIGHTS'!$B$25*'Sref and POWER SIZING'!$G$12*550)))</f>
        <v>10.453481679267414</v>
      </c>
      <c r="P8">
        <f>$G$17/( ($G$18/(60*$G$12*550))+((SQRT(2*J8/($G$16*SQRT(3*$B$15/$B$16))))*(1.155/($G$12*550*'MTOW &amp; WEIGHTS'!$B$25))))</f>
        <v>14.50232001975658</v>
      </c>
    </row>
    <row r="9" spans="1:17" ht="15.5">
      <c r="A9" s="265" t="s">
        <v>656</v>
      </c>
      <c r="B9" s="265"/>
      <c r="C9" s="265"/>
      <c r="J9">
        <f t="shared" si="2"/>
        <v>22</v>
      </c>
      <c r="K9">
        <f t="shared" si="0"/>
        <v>22.691275793164802</v>
      </c>
      <c r="L9" s="7">
        <f t="shared" si="3"/>
        <v>6</v>
      </c>
      <c r="M9">
        <f>'MTOW &amp; WEIGHTS'!$B$27*550/((0.5*'Sref and POWER SIZING'!$B$2*('Sref and POWER SIZING'!$B$14*1.688)^3*'Sref and POWER SIZING'!$B$15/'Sref and POWER SIZING'!J9)+(2*'Sref and POWER SIZING'!$B$16*'Sref and POWER SIZING'!J9/('Sref and POWER SIZING'!$B$5*'Sref and POWER SIZING'!$B$6*'Sref and POWER SIZING'!$B$14*1.688)))</f>
        <v>11.400751554038822</v>
      </c>
      <c r="N9">
        <f t="shared" si="1"/>
        <v>9.8744767383028762</v>
      </c>
      <c r="O9">
        <f>1/ ( ($G$11/(60*$G$12*550))+ SQRT(2*J9/($B$2*SQRT(3*$B$15/$B$16)))*(1.155/('MTOW &amp; WEIGHTS'!$B$25*'Sref and POWER SIZING'!$G$12*550)))</f>
        <v>10.314557294808642</v>
      </c>
      <c r="P9">
        <f>$G$17/( ($G$18/(60*$G$12*550))+((SQRT(2*J9/($G$16*SQRT(3*$B$15/$B$16))))*(1.155/($G$12*550*'MTOW &amp; WEIGHTS'!$B$25))))</f>
        <v>13.898672845219135</v>
      </c>
    </row>
    <row r="10" spans="1:17" ht="16.5">
      <c r="A10" s="41" t="s">
        <v>647</v>
      </c>
      <c r="B10" s="229">
        <v>1.8</v>
      </c>
      <c r="F10" s="266" t="s">
        <v>326</v>
      </c>
      <c r="G10" s="266"/>
      <c r="H10" s="266"/>
      <c r="J10">
        <f t="shared" si="2"/>
        <v>24</v>
      </c>
      <c r="K10">
        <f t="shared" si="0"/>
        <v>22.691275793164802</v>
      </c>
      <c r="L10" s="7">
        <f t="shared" si="3"/>
        <v>7</v>
      </c>
      <c r="M10">
        <f>'MTOW &amp; WEIGHTS'!$B$27*550/((0.5*'Sref and POWER SIZING'!$B$2*('Sref and POWER SIZING'!$B$14*1.688)^3*'Sref and POWER SIZING'!$B$15/'Sref and POWER SIZING'!J10)+(2*'Sref and POWER SIZING'!$B$16*'Sref and POWER SIZING'!J10/('Sref and POWER SIZING'!$B$5*'Sref and POWER SIZING'!$B$6*'Sref and POWER SIZING'!$B$14*1.688)))</f>
        <v>12.057952491453994</v>
      </c>
      <c r="N10">
        <f t="shared" si="1"/>
        <v>9.2479801233750756</v>
      </c>
      <c r="O10">
        <f>1/ ( ($G$11/(60*$G$12*550))+ SQRT(2*J10/($B$2*SQRT(3*$B$15/$B$16)))*(1.155/('MTOW &amp; WEIGHTS'!$B$25*'Sref and POWER SIZING'!$G$12*550)))</f>
        <v>10.185223123211664</v>
      </c>
      <c r="P10">
        <f>$G$17/( ($G$18/(60*$G$12*550))+((SQRT(2*J10/($G$16*SQRT(3*$B$15/$B$16))))*(1.155/($G$12*550*'MTOW &amp; WEIGHTS'!$B$25))))</f>
        <v>13.367046651179882</v>
      </c>
    </row>
    <row r="11" spans="1:17" ht="15">
      <c r="A11" s="222" t="s">
        <v>48</v>
      </c>
      <c r="B11" s="229">
        <v>61</v>
      </c>
      <c r="C11" s="37" t="s">
        <v>190</v>
      </c>
      <c r="F11" s="223" t="s">
        <v>1</v>
      </c>
      <c r="G11" s="230" t="s">
        <v>150</v>
      </c>
      <c r="H11" s="37" t="s">
        <v>8</v>
      </c>
      <c r="J11">
        <f t="shared" si="2"/>
        <v>26</v>
      </c>
      <c r="K11">
        <f t="shared" si="0"/>
        <v>22.691275793164802</v>
      </c>
      <c r="L11" s="7">
        <f t="shared" si="3"/>
        <v>8</v>
      </c>
      <c r="M11">
        <f>'MTOW &amp; WEIGHTS'!$B$27*550/((0.5*'Sref and POWER SIZING'!$B$2*('Sref and POWER SIZING'!$B$14*1.688)^3*'Sref and POWER SIZING'!$B$15/'Sref and POWER SIZING'!J11)+(2*'Sref and POWER SIZING'!$B$16*'Sref and POWER SIZING'!J11/('Sref and POWER SIZING'!$B$5*'Sref and POWER SIZING'!$B$6*'Sref and POWER SIZING'!$B$14*1.688)))</f>
        <v>12.643728672674166</v>
      </c>
      <c r="N11">
        <f t="shared" si="1"/>
        <v>8.6957531647252182</v>
      </c>
      <c r="O11">
        <f>1/ ( ($G$11/(60*$G$12*550))+ SQRT(2*J11/($B$2*SQRT(3*$B$15/$B$16)))*(1.155/('MTOW &amp; WEIGHTS'!$B$25*'Sref and POWER SIZING'!$G$12*550)))</f>
        <v>10.064185756262871</v>
      </c>
      <c r="P11">
        <f>$G$17/( ($G$18/(60*$G$12*550))+((SQRT(2*J11/($G$16*SQRT(3*$B$15/$B$16))))*(1.155/($G$12*550*'MTOW &amp; WEIGHTS'!$B$25))))</f>
        <v>12.894005397703371</v>
      </c>
    </row>
    <row r="12" spans="1:17" ht="16.5">
      <c r="F12" s="41" t="s">
        <v>646</v>
      </c>
      <c r="G12" s="229">
        <v>0.7</v>
      </c>
      <c r="J12">
        <f t="shared" si="2"/>
        <v>28</v>
      </c>
      <c r="K12">
        <f t="shared" si="0"/>
        <v>22.691275793164802</v>
      </c>
      <c r="L12" s="7">
        <f t="shared" si="3"/>
        <v>9</v>
      </c>
      <c r="M12">
        <f>'MTOW &amp; WEIGHTS'!$B$27*550/((0.5*'Sref and POWER SIZING'!$B$2*('Sref and POWER SIZING'!$B$14*1.688)^3*'Sref and POWER SIZING'!$B$15/'Sref and POWER SIZING'!J12)+(2*'Sref and POWER SIZING'!$B$16*'Sref and POWER SIZING'!J12/('Sref and POWER SIZING'!$B$5*'Sref and POWER SIZING'!$B$6*'Sref and POWER SIZING'!$B$14*1.688)))</f>
        <v>13.160364845350191</v>
      </c>
      <c r="N12">
        <f t="shared" si="1"/>
        <v>8.2054209241285285</v>
      </c>
      <c r="O12">
        <f>1/ ( ($G$11/(60*$G$12*550))+ SQRT(2*J12/($B$2*SQRT(3*$B$15/$B$16)))*(1.155/('MTOW &amp; WEIGHTS'!$B$25*'Sref and POWER SIZING'!$G$12*550)))</f>
        <v>9.950405886181537</v>
      </c>
      <c r="P12">
        <f>$G$17/( ($G$18/(60*$G$12*550))+((SQRT(2*J12/($G$16*SQRT(3*$B$15/$B$16))))*(1.155/($G$12*550*'MTOW &amp; WEIGHTS'!$B$25))))</f>
        <v>12.469400646682477</v>
      </c>
    </row>
    <row r="13" spans="1:17" ht="15.5">
      <c r="A13" s="265" t="s">
        <v>657</v>
      </c>
      <c r="B13" s="265"/>
      <c r="C13" s="265"/>
      <c r="J13">
        <f t="shared" si="2"/>
        <v>30</v>
      </c>
      <c r="K13">
        <f t="shared" si="0"/>
        <v>22.691275793164802</v>
      </c>
      <c r="L13" s="7">
        <f t="shared" si="3"/>
        <v>10</v>
      </c>
      <c r="M13">
        <f>'MTOW &amp; WEIGHTS'!$B$27*550/((0.5*'Sref and POWER SIZING'!$B$2*('Sref and POWER SIZING'!$B$14*1.688)^3*'Sref and POWER SIZING'!$B$15/'Sref and POWER SIZING'!J13)+(2*'Sref and POWER SIZING'!$B$16*'Sref and POWER SIZING'!J13/('Sref and POWER SIZING'!$B$5*'Sref and POWER SIZING'!$B$6*'Sref and POWER SIZING'!$B$14*1.688)))</f>
        <v>13.610854561143658</v>
      </c>
      <c r="N13">
        <f t="shared" si="1"/>
        <v>7.7671906829473611</v>
      </c>
      <c r="O13">
        <f>1/ ( ($G$11/(60*$G$12*550))+ SQRT(2*J13/($B$2*SQRT(3*$B$15/$B$16)))*(1.155/('MTOW &amp; WEIGHTS'!$B$25*'Sref and POWER SIZING'!$G$12*550)))</f>
        <v>9.8430344527299312</v>
      </c>
      <c r="P13">
        <f>$G$17/( ($G$18/(60*$G$12*550))+((SQRT(2*J13/($G$16*SQRT(3*$B$15/$B$16))))*(1.155/($G$12*550*'MTOW &amp; WEIGHTS'!$B$25))))</f>
        <v>12.085400830020811</v>
      </c>
    </row>
    <row r="14" spans="1:17">
      <c r="A14" s="35" t="s">
        <v>132</v>
      </c>
      <c r="B14" s="230" t="s">
        <v>133</v>
      </c>
      <c r="C14" s="37" t="s">
        <v>9</v>
      </c>
      <c r="F14" s="267" t="s">
        <v>327</v>
      </c>
      <c r="G14" s="267"/>
      <c r="H14" s="267"/>
      <c r="J14">
        <f t="shared" si="2"/>
        <v>32</v>
      </c>
      <c r="K14">
        <f t="shared" si="0"/>
        <v>22.691275793164802</v>
      </c>
      <c r="L14" s="7">
        <f t="shared" si="3"/>
        <v>11</v>
      </c>
      <c r="M14">
        <f>'MTOW &amp; WEIGHTS'!$B$27*550/((0.5*'Sref and POWER SIZING'!$B$2*('Sref and POWER SIZING'!$B$14*1.688)^3*'Sref and POWER SIZING'!$B$15/'Sref and POWER SIZING'!J14)+(2*'Sref and POWER SIZING'!$B$16*'Sref and POWER SIZING'!J14/('Sref and POWER SIZING'!$B$5*'Sref and POWER SIZING'!$B$6*'Sref and POWER SIZING'!$B$14*1.688)))</f>
        <v>13.998720608628165</v>
      </c>
      <c r="N14">
        <f t="shared" si="1"/>
        <v>7.373218206833914</v>
      </c>
      <c r="O14">
        <f>1/ ( ($G$11/(60*$G$12*550))+ SQRT(2*J14/($B$2*SQRT(3*$B$15/$B$16)))*(1.155/('MTOW &amp; WEIGHTS'!$B$25*'Sref and POWER SIZING'!$G$12*550)))</f>
        <v>9.7413679261082731</v>
      </c>
      <c r="P14">
        <f>$G$17/( ($G$18/(60*$G$12*550))+((SQRT(2*J14/($G$16*SQRT(3*$B$15/$B$16))))*(1.155/($G$12*550*'MTOW &amp; WEIGHTS'!$B$25))))</f>
        <v>11.735850207133192</v>
      </c>
    </row>
    <row r="15" spans="1:17" ht="15">
      <c r="A15" s="41" t="s">
        <v>49</v>
      </c>
      <c r="B15" s="23">
        <f>'Drag analysis'!E15</f>
        <v>2.521994401080592E-2</v>
      </c>
      <c r="F15" s="36" t="s">
        <v>20</v>
      </c>
      <c r="G15" s="230" t="s">
        <v>233</v>
      </c>
      <c r="H15" s="37" t="s">
        <v>12</v>
      </c>
      <c r="J15">
        <f t="shared" si="2"/>
        <v>34</v>
      </c>
      <c r="K15">
        <f t="shared" si="0"/>
        <v>22.691275793164802</v>
      </c>
      <c r="L15" s="7">
        <f t="shared" si="3"/>
        <v>12</v>
      </c>
      <c r="M15">
        <f>'MTOW &amp; WEIGHTS'!$B$27*550/((0.5*'Sref and POWER SIZING'!$B$2*('Sref and POWER SIZING'!$B$14*1.688)^3*'Sref and POWER SIZING'!$B$15/'Sref and POWER SIZING'!J15)+(2*'Sref and POWER SIZING'!$B$16*'Sref and POWER SIZING'!J15/('Sref and POWER SIZING'!$B$5*'Sref and POWER SIZING'!$B$6*'Sref and POWER SIZING'!$B$14*1.688)))</f>
        <v>14.327851336452301</v>
      </c>
      <c r="N15">
        <f t="shared" si="1"/>
        <v>7.0171498255612255</v>
      </c>
      <c r="O15">
        <f>1/ ( ($G$11/(60*$G$12*550))+ SQRT(2*J15/($B$2*SQRT(3*$B$15/$B$16)))*(1.155/('MTOW &amp; WEIGHTS'!$B$25*'Sref and POWER SIZING'!$G$12*550)))</f>
        <v>9.6448161720576824</v>
      </c>
      <c r="P15">
        <f>$G$17/( ($G$18/(60*$G$12*550))+((SQRT(2*J15/($G$16*SQRT(3*$B$15/$B$16))))*(1.155/($G$12*550*'MTOW &amp; WEIGHTS'!$B$25))))</f>
        <v>11.415832620154129</v>
      </c>
    </row>
    <row r="16" spans="1:17" ht="16.5">
      <c r="A16" s="41" t="s">
        <v>3</v>
      </c>
      <c r="B16">
        <f>1/(3.142*B18*B17)</f>
        <v>5.4006965223581664E-2</v>
      </c>
      <c r="F16" s="41" t="s">
        <v>645</v>
      </c>
      <c r="G16">
        <f>0.002378*(1-0.0000068756*G15)^4.2561</f>
        <v>1.3552150962194316E-3</v>
      </c>
      <c r="J16">
        <f t="shared" si="2"/>
        <v>36</v>
      </c>
      <c r="K16">
        <f t="shared" si="0"/>
        <v>22.691275793164802</v>
      </c>
      <c r="L16" s="7">
        <f t="shared" si="3"/>
        <v>13</v>
      </c>
      <c r="M16">
        <f>'MTOW &amp; WEIGHTS'!$B$27*550/((0.5*'Sref and POWER SIZING'!$B$2*('Sref and POWER SIZING'!$B$14*1.688)^3*'Sref and POWER SIZING'!$B$15/'Sref and POWER SIZING'!J16)+(2*'Sref and POWER SIZING'!$B$16*'Sref and POWER SIZING'!J16/('Sref and POWER SIZING'!$B$5*'Sref and POWER SIZING'!$B$6*'Sref and POWER SIZING'!$B$14*1.688)))</f>
        <v>14.6023567720315</v>
      </c>
      <c r="N16">
        <f t="shared" si="1"/>
        <v>6.6937867018182562</v>
      </c>
      <c r="O16">
        <f>1/ ( ($G$11/(60*$G$12*550))+ SQRT(2*J16/($B$2*SQRT(3*$B$15/$B$16)))*(1.155/('MTOW &amp; WEIGHTS'!$B$25*'Sref and POWER SIZING'!$G$12*550)))</f>
        <v>9.5528788391841069</v>
      </c>
      <c r="P16">
        <f>$G$17/( ($G$18/(60*$G$12*550))+((SQRT(2*J16/($G$16*SQRT(3*$B$15/$B$16))))*(1.155/($G$12*550*'MTOW &amp; WEIGHTS'!$B$25))))</f>
        <v>11.121366818975361</v>
      </c>
    </row>
    <row r="17" spans="1:16">
      <c r="A17" s="41" t="s">
        <v>0</v>
      </c>
      <c r="B17" s="230">
        <v>7.8</v>
      </c>
      <c r="F17" s="221" t="s">
        <v>7</v>
      </c>
      <c r="G17">
        <f>G16/B2</f>
        <v>0.56989701270791915</v>
      </c>
      <c r="J17">
        <f t="shared" si="2"/>
        <v>38</v>
      </c>
      <c r="K17">
        <f t="shared" si="0"/>
        <v>22.691275793164802</v>
      </c>
      <c r="L17" s="7">
        <f t="shared" si="3"/>
        <v>14</v>
      </c>
      <c r="M17">
        <f>'MTOW &amp; WEIGHTS'!$B$27*550/((0.5*'Sref and POWER SIZING'!$B$2*('Sref and POWER SIZING'!$B$14*1.688)^3*'Sref and POWER SIZING'!$B$15/'Sref and POWER SIZING'!J17)+(2*'Sref and POWER SIZING'!$B$16*'Sref and POWER SIZING'!J17/('Sref and POWER SIZING'!$B$5*'Sref and POWER SIZING'!$B$6*'Sref and POWER SIZING'!$B$14*1.688)))</f>
        <v>14.826446334779522</v>
      </c>
      <c r="N17">
        <f t="shared" si="1"/>
        <v>6.3988352691898882</v>
      </c>
      <c r="O17">
        <f>1/ ( ($G$11/(60*$G$12*550))+ SQRT(2*J17/($B$2*SQRT(3*$B$15/$B$16)))*(1.155/('MTOW &amp; WEIGHTS'!$B$25*'Sref and POWER SIZING'!$G$12*550)))</f>
        <v>9.4651276686453283</v>
      </c>
      <c r="P17">
        <f>$G$17/( ($G$18/(60*$G$12*550))+((SQRT(2*J17/($G$16*SQRT(3*$B$15/$B$16))))*(1.155/($G$12*550*'MTOW &amp; WEIGHTS'!$B$25))))</f>
        <v>10.849188808898075</v>
      </c>
    </row>
    <row r="18" spans="1:16">
      <c r="A18" s="41" t="s">
        <v>2</v>
      </c>
      <c r="B18">
        <f>'Wing &amp; Airfoil'!M33</f>
        <v>0.75552604922347777</v>
      </c>
      <c r="F18" s="221" t="s">
        <v>1</v>
      </c>
      <c r="G18" s="23">
        <v>100</v>
      </c>
      <c r="H18" t="s">
        <v>8</v>
      </c>
      <c r="J18">
        <f t="shared" si="2"/>
        <v>40</v>
      </c>
      <c r="K18">
        <f t="shared" si="0"/>
        <v>22.691275793164802</v>
      </c>
      <c r="L18" s="7">
        <f t="shared" si="3"/>
        <v>15</v>
      </c>
      <c r="M18">
        <f>'MTOW &amp; WEIGHTS'!$B$27*550/((0.5*'Sref and POWER SIZING'!$B$2*('Sref and POWER SIZING'!$B$14*1.688)^3*'Sref and POWER SIZING'!$B$15/'Sref and POWER SIZING'!J18)+(2*'Sref and POWER SIZING'!$B$16*'Sref and POWER SIZING'!J18/('Sref and POWER SIZING'!$B$5*'Sref and POWER SIZING'!$B$6*'Sref and POWER SIZING'!$B$14*1.688)))</f>
        <v>15.004328290078879</v>
      </c>
      <c r="N18">
        <f t="shared" si="1"/>
        <v>6.128719312797041</v>
      </c>
      <c r="O18">
        <f>1/ ( ($G$11/(60*$G$12*550))+ SQRT(2*J18/($B$2*SQRT(3*$B$15/$B$16)))*(1.155/('MTOW &amp; WEIGHTS'!$B$25*'Sref and POWER SIZING'!$G$12*550)))</f>
        <v>9.3811930128354675</v>
      </c>
      <c r="P18">
        <f>$G$17/( ($G$18/(60*$G$12*550))+((SQRT(2*J18/($G$16*SQRT(3*$B$15/$B$16))))*(1.155/($G$12*550*'MTOW &amp; WEIGHTS'!$B$25))))</f>
        <v>10.596593240646582</v>
      </c>
    </row>
    <row r="19" spans="1:16">
      <c r="J19">
        <f t="shared" si="2"/>
        <v>42</v>
      </c>
      <c r="K19">
        <f t="shared" si="0"/>
        <v>22.691275793164802</v>
      </c>
      <c r="L19" s="7">
        <f t="shared" si="3"/>
        <v>16</v>
      </c>
      <c r="M19">
        <f>'MTOW &amp; WEIGHTS'!$B$27*550/((0.5*'Sref and POWER SIZING'!$B$2*('Sref and POWER SIZING'!$B$14*1.688)^3*'Sref and POWER SIZING'!$B$15/'Sref and POWER SIZING'!J19)+(2*'Sref and POWER SIZING'!$B$16*'Sref and POWER SIZING'!J19/('Sref and POWER SIZING'!$B$5*'Sref and POWER SIZING'!$B$6*'Sref and POWER SIZING'!$B$14*1.688)))</f>
        <v>15.140129894295233</v>
      </c>
      <c r="N19">
        <f t="shared" si="1"/>
        <v>5.8804367542617344</v>
      </c>
      <c r="O19">
        <f>1/ ( ($G$11/(60*$G$12*550))+ SQRT(2*J19/($B$2*SQRT(3*$B$15/$B$16)))*(1.155/('MTOW &amp; WEIGHTS'!$B$25*'Sref and POWER SIZING'!$G$12*550)))</f>
        <v>9.3007534051353691</v>
      </c>
      <c r="P19">
        <f>$G$17/( ($G$18/(60*$G$12*550))+((SQRT(2*J19/($G$16*SQRT(3*$B$15/$B$16))))*(1.155/($G$12*550*'MTOW &amp; WEIGHTS'!$B$25))))</f>
        <v>10.361315768674528</v>
      </c>
    </row>
    <row r="20" spans="1:16" ht="15.5">
      <c r="A20" s="265" t="s">
        <v>328</v>
      </c>
      <c r="B20" s="265"/>
      <c r="C20" s="265"/>
      <c r="J20">
        <f t="shared" si="2"/>
        <v>44</v>
      </c>
      <c r="K20">
        <f t="shared" si="0"/>
        <v>22.691275793164802</v>
      </c>
      <c r="L20" s="7">
        <f t="shared" si="3"/>
        <v>17</v>
      </c>
      <c r="M20">
        <f>'MTOW &amp; WEIGHTS'!$B$27*550/((0.5*'Sref and POWER SIZING'!$B$2*('Sref and POWER SIZING'!$B$14*1.688)^3*'Sref and POWER SIZING'!$B$15/'Sref and POWER SIZING'!J20)+(2*'Sref and POWER SIZING'!$B$16*'Sref and POWER SIZING'!J20/('Sref and POWER SIZING'!$B$5*'Sref and POWER SIZING'!$B$6*'Sref and POWER SIZING'!$B$14*1.688)))</f>
        <v>15.237836398554945</v>
      </c>
      <c r="N20">
        <f t="shared" si="1"/>
        <v>5.6514492787417785</v>
      </c>
      <c r="O20">
        <f>1/ ( ($G$11/(60*$G$12*550))+ SQRT(2*J20/($B$2*SQRT(3*$B$15/$B$16)))*(1.155/('MTOW &amp; WEIGHTS'!$B$25*'Sref and POWER SIZING'!$G$12*550)))</f>
        <v>9.2235273805659528</v>
      </c>
      <c r="P20">
        <f>$G$17/( ($G$18/(60*$G$12*550))+((SQRT(2*J20/($G$16*SQRT(3*$B$15/$B$16))))*(1.155/($G$12*550*'MTOW &amp; WEIGHTS'!$B$25))))</f>
        <v>10.14144440971473</v>
      </c>
    </row>
    <row r="21" spans="1:16" ht="17.5">
      <c r="A21" s="224" t="s">
        <v>234</v>
      </c>
      <c r="B21" s="230" t="s">
        <v>223</v>
      </c>
      <c r="C21" s="37" t="s">
        <v>12</v>
      </c>
      <c r="J21">
        <f t="shared" si="2"/>
        <v>46</v>
      </c>
      <c r="K21">
        <f t="shared" si="0"/>
        <v>22.691275793164802</v>
      </c>
      <c r="L21" s="7">
        <f t="shared" si="3"/>
        <v>18</v>
      </c>
      <c r="M21">
        <f>'MTOW &amp; WEIGHTS'!$B$27*550/((0.5*'Sref and POWER SIZING'!$B$2*('Sref and POWER SIZING'!$B$14*1.688)^3*'Sref and POWER SIZING'!$B$15/'Sref and POWER SIZING'!J21)+(2*'Sref and POWER SIZING'!$B$16*'Sref and POWER SIZING'!J21/('Sref and POWER SIZING'!$B$5*'Sref and POWER SIZING'!$B$6*'Sref and POWER SIZING'!$B$14*1.688)))</f>
        <v>15.301246640950101</v>
      </c>
      <c r="N21">
        <f t="shared" si="1"/>
        <v>5.4395963840909678</v>
      </c>
      <c r="O21">
        <f>1/ ( ($G$11/(60*$G$12*550))+ SQRT(2*J21/($B$2*SQRT(3*$B$15/$B$16)))*(1.155/('MTOW &amp; WEIGHTS'!$B$25*'Sref and POWER SIZING'!$G$12*550)))</f>
        <v>9.1492669833446509</v>
      </c>
      <c r="P21">
        <f>$G$17/( ($G$18/(60*$G$12*550))+((SQRT(2*J21/($G$16*SQRT(3*$B$15/$B$16))))*(1.155/($G$12*550*'MTOW &amp; WEIGHTS'!$B$25))))</f>
        <v>9.9353517998216496</v>
      </c>
    </row>
    <row r="22" spans="1:16" ht="16.5">
      <c r="A22" s="225" t="s">
        <v>648</v>
      </c>
      <c r="B22" s="23">
        <f>'[1]take-off'!$M$17</f>
        <v>1.4869053204776603</v>
      </c>
    </row>
    <row r="23" spans="1:16" ht="16.5">
      <c r="A23" s="41" t="s">
        <v>649</v>
      </c>
      <c r="B23" s="23">
        <f>'[1]take-off'!$S$26</f>
        <v>67.115778419410034</v>
      </c>
      <c r="C23" t="s">
        <v>9</v>
      </c>
    </row>
    <row r="24" spans="1:16" ht="16.5">
      <c r="A24" s="41" t="s">
        <v>650</v>
      </c>
      <c r="B24" s="230">
        <v>5.0000000000000001E-3</v>
      </c>
    </row>
    <row r="25" spans="1:16" ht="16.5">
      <c r="A25" s="41" t="s">
        <v>651</v>
      </c>
      <c r="B25">
        <f>B15+B24</f>
        <v>3.0219944010805921E-2</v>
      </c>
    </row>
    <row r="26" spans="1:16" ht="16.5">
      <c r="A26" s="41" t="s">
        <v>652</v>
      </c>
      <c r="B26">
        <f>B25+(B16*B22^2)</f>
        <v>0.14962326466758191</v>
      </c>
    </row>
    <row r="27" spans="1:16" ht="16.5">
      <c r="A27" s="41" t="s">
        <v>653</v>
      </c>
      <c r="B27">
        <f>2*Table9[[#Headers],[5850]]/('Sref and POWER SIZING'!B2*'Sref and POWER SIZING'!G7*10.7639*('Sref and POWER SIZING'!B23*1.688)^2)</f>
        <v>1.4869053204776599</v>
      </c>
    </row>
    <row r="28" spans="1:16" ht="16.5">
      <c r="A28" s="221" t="s">
        <v>654</v>
      </c>
      <c r="B28" s="23">
        <f>'[1]take-off'!$Q$28</f>
        <v>0.58301407661284199</v>
      </c>
    </row>
    <row r="29" spans="1:16" ht="16.5">
      <c r="A29" s="221" t="s">
        <v>655</v>
      </c>
      <c r="B29">
        <f>B26-(B30*B22)</f>
        <v>9.014705184847549E-2</v>
      </c>
    </row>
    <row r="30" spans="1:16">
      <c r="A30" s="221" t="s">
        <v>126</v>
      </c>
      <c r="B30" s="230">
        <v>0.04</v>
      </c>
    </row>
    <row r="31" spans="1:16">
      <c r="A31" s="2" t="s">
        <v>134</v>
      </c>
    </row>
    <row r="32" spans="1:16">
      <c r="A32" s="24" t="s">
        <v>135</v>
      </c>
    </row>
    <row r="33" spans="1:1">
      <c r="A33" s="24" t="s">
        <v>136</v>
      </c>
    </row>
    <row r="34" spans="1:1">
      <c r="A34" s="24" t="s">
        <v>235</v>
      </c>
    </row>
    <row r="35" spans="1:1">
      <c r="A35" s="24" t="s">
        <v>181</v>
      </c>
    </row>
    <row r="36" spans="1:1">
      <c r="A36" s="24" t="s">
        <v>137</v>
      </c>
    </row>
    <row r="37" spans="1:1">
      <c r="A37" s="2" t="s">
        <v>144</v>
      </c>
    </row>
    <row r="38" spans="1:1">
      <c r="A38" s="2" t="s">
        <v>145</v>
      </c>
    </row>
    <row r="39" spans="1:1">
      <c r="A39" s="2" t="s">
        <v>146</v>
      </c>
    </row>
    <row r="40" spans="1:1">
      <c r="A40" s="2" t="s">
        <v>147</v>
      </c>
    </row>
    <row r="41" spans="1:1">
      <c r="A41" s="2" t="s">
        <v>148</v>
      </c>
    </row>
    <row r="42" spans="1:1">
      <c r="A42" s="2" t="s">
        <v>138</v>
      </c>
    </row>
    <row r="43" spans="1:1">
      <c r="A43" t="s">
        <v>139</v>
      </c>
    </row>
    <row r="44" spans="1:1">
      <c r="A44" t="s">
        <v>140</v>
      </c>
    </row>
    <row r="45" spans="1:1">
      <c r="A45" t="s">
        <v>141</v>
      </c>
    </row>
    <row r="46" spans="1:1">
      <c r="A46" t="s">
        <v>142</v>
      </c>
    </row>
    <row r="47" spans="1:1">
      <c r="A47" t="s">
        <v>143</v>
      </c>
    </row>
    <row r="48" spans="1:1">
      <c r="A48" t="s">
        <v>149</v>
      </c>
    </row>
    <row r="49" spans="1:1">
      <c r="A49" t="s">
        <v>151</v>
      </c>
    </row>
    <row r="50" spans="1:1">
      <c r="A50" t="s">
        <v>361</v>
      </c>
    </row>
    <row r="51" spans="1:1">
      <c r="A51" t="s">
        <v>152</v>
      </c>
    </row>
    <row r="52" spans="1:1">
      <c r="A52" t="s">
        <v>153</v>
      </c>
    </row>
    <row r="53" spans="1:1">
      <c r="A53" t="s">
        <v>154</v>
      </c>
    </row>
    <row r="54" spans="1:1">
      <c r="A54" t="s">
        <v>155</v>
      </c>
    </row>
    <row r="55" spans="1:1">
      <c r="A55" t="s">
        <v>156</v>
      </c>
    </row>
    <row r="56" spans="1:1">
      <c r="A56" t="s">
        <v>157</v>
      </c>
    </row>
    <row r="57" spans="1:1">
      <c r="A57" t="s">
        <v>158</v>
      </c>
    </row>
    <row r="58" spans="1:1">
      <c r="A58" t="s">
        <v>159</v>
      </c>
    </row>
    <row r="59" spans="1:1">
      <c r="A59" t="s">
        <v>160</v>
      </c>
    </row>
    <row r="60" spans="1:1">
      <c r="A60" t="s">
        <v>161</v>
      </c>
    </row>
    <row r="61" spans="1:1">
      <c r="A61" t="s">
        <v>162</v>
      </c>
    </row>
    <row r="63" spans="1:1">
      <c r="A63" s="2" t="s">
        <v>163</v>
      </c>
    </row>
    <row r="64" spans="1:1">
      <c r="A64" t="s">
        <v>164</v>
      </c>
    </row>
    <row r="65" spans="1:9">
      <c r="A65" t="s">
        <v>165</v>
      </c>
    </row>
    <row r="66" spans="1:9">
      <c r="A66" t="s">
        <v>166</v>
      </c>
    </row>
    <row r="67" spans="1:9">
      <c r="A67" s="2" t="s">
        <v>167</v>
      </c>
    </row>
    <row r="68" spans="1:9">
      <c r="A68" t="s">
        <v>168</v>
      </c>
    </row>
    <row r="69" spans="1:9">
      <c r="A69" t="s">
        <v>169</v>
      </c>
    </row>
    <row r="70" spans="1:9">
      <c r="A70" t="s">
        <v>170</v>
      </c>
    </row>
    <row r="71" spans="1:9">
      <c r="A71" t="s">
        <v>171</v>
      </c>
    </row>
    <row r="72" spans="1:9">
      <c r="A72" t="s">
        <v>172</v>
      </c>
    </row>
    <row r="77" spans="1:9" ht="22">
      <c r="B77" s="263" t="s">
        <v>173</v>
      </c>
      <c r="C77" s="263"/>
      <c r="D77" s="263"/>
      <c r="E77" s="263"/>
      <c r="F77" s="263"/>
    </row>
    <row r="79" spans="1:9">
      <c r="B79" t="s">
        <v>174</v>
      </c>
      <c r="D79" s="3">
        <v>11.5</v>
      </c>
    </row>
    <row r="80" spans="1:9" ht="18.5">
      <c r="B80" t="s">
        <v>175</v>
      </c>
      <c r="D80" s="111">
        <f>K3</f>
        <v>22.691275793164802</v>
      </c>
      <c r="F80" s="2" t="s">
        <v>179</v>
      </c>
      <c r="H80" s="149">
        <f>(Table9[[#Headers],[5850]]/'Sref and POWER SIZING'!D80)/10.76391</f>
        <v>23.951178858082848</v>
      </c>
      <c r="I80" t="s">
        <v>176</v>
      </c>
    </row>
    <row r="82" spans="1:19" ht="15.5">
      <c r="F82" s="2" t="s">
        <v>177</v>
      </c>
      <c r="H82" s="113">
        <f>Table9[[#Headers],[5850]]/'Sref and POWER SIZING'!D79</f>
        <v>508.69565217391306</v>
      </c>
      <c r="I82" t="s">
        <v>178</v>
      </c>
    </row>
    <row r="84" spans="1:19" ht="15" thickBot="1">
      <c r="D84" s="262" t="s">
        <v>447</v>
      </c>
      <c r="E84" s="262"/>
      <c r="F84" s="262"/>
      <c r="G84" s="262"/>
    </row>
    <row r="85" spans="1:19" ht="15.5" thickTop="1" thickBot="1">
      <c r="D85" s="262"/>
      <c r="E85" s="262"/>
      <c r="F85" s="262"/>
      <c r="G85" s="262"/>
    </row>
    <row r="86" spans="1:19" ht="17" thickTop="1">
      <c r="J86" s="97" t="s">
        <v>409</v>
      </c>
      <c r="K86" s="112">
        <v>2</v>
      </c>
      <c r="L86"/>
    </row>
    <row r="87" spans="1:19">
      <c r="D87" s="100" t="s">
        <v>440</v>
      </c>
      <c r="E87" s="97"/>
      <c r="F87" s="97"/>
      <c r="G87" s="97"/>
      <c r="H87" s="7"/>
      <c r="J87" t="s">
        <v>448</v>
      </c>
      <c r="K87" s="7"/>
      <c r="L87"/>
      <c r="M87" s="148">
        <f>H82/K86</f>
        <v>254.34782608695653</v>
      </c>
      <c r="N87" t="s">
        <v>267</v>
      </c>
    </row>
    <row r="88" spans="1:19" ht="18.5">
      <c r="A88" s="117" t="s">
        <v>412</v>
      </c>
      <c r="B88" s="115"/>
      <c r="C88" s="9"/>
      <c r="D88" s="9"/>
      <c r="E88" s="9"/>
      <c r="F88" s="9"/>
      <c r="G88" s="9"/>
      <c r="H88" s="115"/>
      <c r="S88" s="7"/>
    </row>
    <row r="89" spans="1:19">
      <c r="A89" t="s">
        <v>441</v>
      </c>
      <c r="C89" s="97" t="s">
        <v>415</v>
      </c>
      <c r="D89" s="97" t="s">
        <v>416</v>
      </c>
      <c r="E89" s="97" t="s">
        <v>414</v>
      </c>
      <c r="F89" s="97" t="s">
        <v>428</v>
      </c>
      <c r="G89" s="7" t="s">
        <v>446</v>
      </c>
      <c r="H89" s="7"/>
      <c r="S89" s="114"/>
    </row>
    <row r="90" spans="1:19">
      <c r="A90" s="97">
        <v>1</v>
      </c>
      <c r="B90" s="97" t="s">
        <v>413</v>
      </c>
      <c r="C90" s="97">
        <v>250</v>
      </c>
      <c r="D90" s="97">
        <v>2575</v>
      </c>
      <c r="E90" s="97" t="s">
        <v>420</v>
      </c>
      <c r="F90" s="97">
        <v>2000</v>
      </c>
      <c r="G90" s="97">
        <v>406</v>
      </c>
      <c r="H90" s="7"/>
      <c r="J90" s="7" t="s">
        <v>268</v>
      </c>
      <c r="L90"/>
      <c r="M90" s="119" t="s">
        <v>452</v>
      </c>
      <c r="N90" s="76"/>
      <c r="O90" s="76"/>
    </row>
    <row r="91" spans="1:19" ht="18.5">
      <c r="A91" s="97">
        <v>2</v>
      </c>
      <c r="B91" s="97" t="s">
        <v>421</v>
      </c>
      <c r="C91" s="97">
        <v>260</v>
      </c>
      <c r="D91" s="97">
        <v>2700</v>
      </c>
      <c r="E91" s="97" t="s">
        <v>420</v>
      </c>
      <c r="F91" s="97">
        <v>2000</v>
      </c>
      <c r="G91" s="97">
        <v>399</v>
      </c>
      <c r="H91" s="7"/>
      <c r="K91" s="120">
        <v>4</v>
      </c>
      <c r="M91" s="119" t="s">
        <v>451</v>
      </c>
      <c r="N91" s="76"/>
      <c r="O91" s="23"/>
    </row>
    <row r="92" spans="1:19">
      <c r="A92" s="97">
        <v>3</v>
      </c>
      <c r="B92" s="97" t="s">
        <v>422</v>
      </c>
      <c r="C92" s="97">
        <v>250</v>
      </c>
      <c r="D92" s="97">
        <v>2575</v>
      </c>
      <c r="E92" s="97" t="s">
        <v>420</v>
      </c>
      <c r="F92" s="97">
        <v>2000</v>
      </c>
      <c r="G92" s="97">
        <v>404</v>
      </c>
      <c r="H92" s="7"/>
      <c r="L92"/>
    </row>
    <row r="93" spans="1:19">
      <c r="A93" s="97">
        <v>4</v>
      </c>
      <c r="B93" s="97" t="s">
        <v>423</v>
      </c>
      <c r="C93" s="97">
        <v>260</v>
      </c>
      <c r="D93" s="97">
        <v>2700</v>
      </c>
      <c r="E93" s="97" t="s">
        <v>420</v>
      </c>
      <c r="F93" s="97">
        <v>2000</v>
      </c>
      <c r="G93" s="97">
        <v>412</v>
      </c>
      <c r="H93" s="7"/>
      <c r="L93"/>
    </row>
    <row r="94" spans="1:19" ht="15.5">
      <c r="A94" s="97">
        <v>5</v>
      </c>
      <c r="B94" s="97" t="s">
        <v>424</v>
      </c>
      <c r="C94" s="97">
        <v>250</v>
      </c>
      <c r="D94" s="97">
        <v>2575</v>
      </c>
      <c r="E94" s="97" t="s">
        <v>425</v>
      </c>
      <c r="F94" s="97">
        <v>2000</v>
      </c>
      <c r="G94" s="97">
        <v>483</v>
      </c>
      <c r="H94" s="7"/>
      <c r="L94" s="118" t="s">
        <v>442</v>
      </c>
      <c r="M94" s="99"/>
      <c r="N94" s="99"/>
    </row>
    <row r="95" spans="1:19">
      <c r="A95" s="97">
        <v>6</v>
      </c>
      <c r="B95" s="97" t="s">
        <v>426</v>
      </c>
      <c r="C95" s="97">
        <v>270</v>
      </c>
      <c r="D95" s="97">
        <v>2700</v>
      </c>
      <c r="E95" s="97" t="s">
        <v>427</v>
      </c>
      <c r="F95" s="97">
        <v>1800</v>
      </c>
      <c r="G95" s="97">
        <v>479</v>
      </c>
      <c r="H95" s="7"/>
      <c r="L95" s="122" t="str">
        <f>IF(K91&lt;=6,A88,A97)</f>
        <v>LYCOMING</v>
      </c>
      <c r="M95" s="121" t="str">
        <f>VLOOKUP($K$91,A90:B103,2,FALSE)</f>
        <v>IO-540-D</v>
      </c>
    </row>
    <row r="96" spans="1:19">
      <c r="C96" s="97"/>
      <c r="D96" s="97"/>
      <c r="E96" s="97"/>
      <c r="F96" s="97"/>
      <c r="G96" s="97"/>
      <c r="H96" s="7"/>
      <c r="M96" s="121">
        <f>VLOOKUP($K$91,A90:C103,3,FALSE)</f>
        <v>260</v>
      </c>
      <c r="N96" s="123" t="s">
        <v>443</v>
      </c>
    </row>
    <row r="97" spans="1:14" ht="18.5">
      <c r="A97" s="117" t="s">
        <v>407</v>
      </c>
      <c r="B97" s="116"/>
      <c r="C97" s="116"/>
      <c r="D97" s="116"/>
      <c r="E97" s="116"/>
      <c r="F97" s="116"/>
      <c r="G97" s="116"/>
      <c r="H97" s="115"/>
      <c r="M97" s="121">
        <f>VLOOKUP($K$91,A90:D103,4,FALSE)</f>
        <v>2700</v>
      </c>
      <c r="N97" s="123" t="s">
        <v>444</v>
      </c>
    </row>
    <row r="98" spans="1:14">
      <c r="C98" s="97" t="s">
        <v>418</v>
      </c>
      <c r="D98" s="97"/>
      <c r="E98" s="97"/>
      <c r="F98" s="97"/>
      <c r="G98" s="97"/>
      <c r="H98" s="97" t="s">
        <v>419</v>
      </c>
      <c r="M98" s="121" t="str">
        <f>VLOOKUP($K$91,A90:E103,5,FALSE)</f>
        <v>8.50:1</v>
      </c>
      <c r="N98" s="123" t="s">
        <v>445</v>
      </c>
    </row>
    <row r="99" spans="1:14">
      <c r="A99" s="97">
        <v>7</v>
      </c>
      <c r="B99" t="s">
        <v>429</v>
      </c>
      <c r="C99" s="97">
        <v>250</v>
      </c>
      <c r="D99" s="97">
        <v>2600</v>
      </c>
      <c r="E99" s="97" t="s">
        <v>430</v>
      </c>
      <c r="F99" s="97">
        <v>2000</v>
      </c>
      <c r="G99" s="97">
        <v>402</v>
      </c>
      <c r="H99" s="7" t="s">
        <v>431</v>
      </c>
      <c r="M99" s="121">
        <f>VLOOKUP($K$91,A90:F103,6,FALSE)</f>
        <v>2000</v>
      </c>
      <c r="N99" s="123" t="s">
        <v>417</v>
      </c>
    </row>
    <row r="100" spans="1:14">
      <c r="A100" s="97">
        <v>8</v>
      </c>
      <c r="B100" t="s">
        <v>432</v>
      </c>
      <c r="C100" s="97">
        <v>260</v>
      </c>
      <c r="D100" s="97">
        <v>2625</v>
      </c>
      <c r="E100" s="97" t="s">
        <v>433</v>
      </c>
      <c r="F100" s="97">
        <v>1500</v>
      </c>
      <c r="G100" s="97">
        <v>426</v>
      </c>
      <c r="H100" s="7" t="s">
        <v>434</v>
      </c>
      <c r="M100" s="121">
        <f>VLOOKUP($K$91,A90:G103,7,FALSE)</f>
        <v>412</v>
      </c>
      <c r="N100" s="123" t="s">
        <v>52</v>
      </c>
    </row>
    <row r="101" spans="1:14">
      <c r="A101" s="97">
        <v>9</v>
      </c>
      <c r="B101" t="s">
        <v>435</v>
      </c>
      <c r="C101" s="97">
        <v>260</v>
      </c>
      <c r="D101" s="97">
        <v>2625</v>
      </c>
      <c r="E101" s="97" t="s">
        <v>433</v>
      </c>
      <c r="F101" s="97">
        <v>1500</v>
      </c>
      <c r="G101" s="97">
        <v>411</v>
      </c>
      <c r="H101" s="7" t="s">
        <v>436</v>
      </c>
    </row>
    <row r="102" spans="1:14">
      <c r="A102" s="97">
        <v>10</v>
      </c>
      <c r="B102" t="s">
        <v>437</v>
      </c>
      <c r="C102" s="97">
        <v>285</v>
      </c>
      <c r="D102" s="97">
        <v>2700</v>
      </c>
      <c r="E102" s="97" t="s">
        <v>420</v>
      </c>
      <c r="F102" s="97">
        <v>1700</v>
      </c>
      <c r="G102" s="97">
        <v>406</v>
      </c>
      <c r="H102" s="7" t="s">
        <v>436</v>
      </c>
    </row>
    <row r="103" spans="1:14" ht="17.5">
      <c r="A103" s="97">
        <v>11</v>
      </c>
      <c r="B103" t="s">
        <v>438</v>
      </c>
      <c r="C103" s="97">
        <v>285</v>
      </c>
      <c r="D103" s="97">
        <v>2700</v>
      </c>
      <c r="E103" s="97" t="s">
        <v>439</v>
      </c>
      <c r="F103" s="97">
        <v>1400</v>
      </c>
      <c r="G103" s="97">
        <v>407</v>
      </c>
      <c r="H103" s="7" t="s">
        <v>436</v>
      </c>
      <c r="L103" s="98" t="s">
        <v>449</v>
      </c>
      <c r="M103" s="124">
        <f>M96*2</f>
        <v>520</v>
      </c>
      <c r="N103" t="s">
        <v>443</v>
      </c>
    </row>
    <row r="104" spans="1:14">
      <c r="H104" s="7"/>
    </row>
  </sheetData>
  <mergeCells count="10">
    <mergeCell ref="D84:G85"/>
    <mergeCell ref="B77:F77"/>
    <mergeCell ref="K1:L1"/>
    <mergeCell ref="P1:Q1"/>
    <mergeCell ref="A20:C20"/>
    <mergeCell ref="A13:C13"/>
    <mergeCell ref="A9:C9"/>
    <mergeCell ref="F10:H10"/>
    <mergeCell ref="F14:H14"/>
    <mergeCell ref="B8:E8"/>
  </mergeCells>
  <pageMargins left="0.7" right="0.7" top="0.75" bottom="0.75" header="0.3" footer="0.3"/>
  <pageSetup orientation="portrait" r:id="rId1"/>
  <ignoredErrors>
    <ignoredError sqref="J3:P21" calculatedColumn="1"/>
  </ignoredErrors>
  <drawing r:id="rId2"/>
  <legacyDrawing r:id="rId3"/>
  <tableParts count="10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J57"/>
  <sheetViews>
    <sheetView tabSelected="1" zoomScale="80" zoomScaleNormal="80" workbookViewId="0">
      <selection activeCell="I3" sqref="I3"/>
    </sheetView>
  </sheetViews>
  <sheetFormatPr defaultRowHeight="14.5"/>
  <cols>
    <col min="1" max="1" width="12.453125" style="41" customWidth="1"/>
    <col min="2" max="3" width="11" customWidth="1"/>
  </cols>
  <sheetData>
    <row r="1" spans="1:3" ht="15" customHeight="1"/>
    <row r="2" spans="1:3" ht="12" customHeight="1"/>
    <row r="3" spans="1:3" ht="14.25" customHeight="1"/>
    <row r="5" spans="1:3">
      <c r="A5" s="41" t="s">
        <v>31</v>
      </c>
      <c r="B5" s="116" t="str">
        <f>'MTOW &amp; WEIGHTS'!I32</f>
        <v>5850</v>
      </c>
      <c r="C5" t="s">
        <v>32</v>
      </c>
    </row>
    <row r="6" spans="1:3" ht="16.5">
      <c r="A6" s="41" t="s">
        <v>658</v>
      </c>
      <c r="B6" s="23">
        <f>'Drag analysis'!E15</f>
        <v>2.521994401080592E-2</v>
      </c>
    </row>
    <row r="7" spans="1:3">
      <c r="A7" s="41" t="s">
        <v>0</v>
      </c>
      <c r="B7" s="116">
        <f>'Sref and POWER SIZING'!B17</f>
        <v>7.8</v>
      </c>
    </row>
    <row r="8" spans="1:3">
      <c r="A8" s="221" t="s">
        <v>126</v>
      </c>
      <c r="B8" s="106">
        <f>'Sref and POWER SIZING'!B30</f>
        <v>0.04</v>
      </c>
    </row>
    <row r="9" spans="1:3" ht="16.5">
      <c r="A9" s="41" t="s">
        <v>659</v>
      </c>
      <c r="B9" s="23">
        <f>'[1]take-off'!$S$26</f>
        <v>67.115778419410034</v>
      </c>
      <c r="C9" t="s">
        <v>9</v>
      </c>
    </row>
    <row r="10" spans="1:3" ht="16.5">
      <c r="A10" s="41" t="s">
        <v>652</v>
      </c>
      <c r="B10" s="23">
        <f>'[1]take-off'!$M$16</f>
        <v>0.14962326466758191</v>
      </c>
    </row>
    <row r="11" spans="1:3" ht="16.5">
      <c r="A11" s="41" t="s">
        <v>648</v>
      </c>
      <c r="B11" s="23">
        <f>'[1]take-off'!$M$17</f>
        <v>1.4869053204776603</v>
      </c>
    </row>
    <row r="12" spans="1:3" ht="16.5">
      <c r="A12" s="41" t="s">
        <v>660</v>
      </c>
      <c r="B12" s="252">
        <v>900</v>
      </c>
      <c r="C12" t="s">
        <v>12</v>
      </c>
    </row>
    <row r="13" spans="1:3">
      <c r="A13" s="41" t="s">
        <v>15</v>
      </c>
      <c r="B13" s="233">
        <v>10000</v>
      </c>
      <c r="C13" t="s">
        <v>12</v>
      </c>
    </row>
    <row r="14" spans="1:3">
      <c r="A14" s="41" t="s">
        <v>2</v>
      </c>
      <c r="B14">
        <f>1.78*(1-(0.045*B7^0.68))-0.64</f>
        <v>0.81621491008207958</v>
      </c>
    </row>
    <row r="15" spans="1:3">
      <c r="A15" s="41" t="s">
        <v>3</v>
      </c>
      <c r="B15">
        <f>1/(3.142*B7*B14)</f>
        <v>4.9991330177758135E-2</v>
      </c>
    </row>
    <row r="16" spans="1:3" ht="16.5">
      <c r="A16" s="221" t="s">
        <v>747</v>
      </c>
      <c r="B16" s="236">
        <f>'Sref and POWER SIZING'!B2</f>
        <v>2.3779999999999999E-3</v>
      </c>
    </row>
    <row r="17" spans="1:3" ht="16.5">
      <c r="A17" s="221" t="s">
        <v>746</v>
      </c>
      <c r="B17">
        <f>0.002378*(1-0.0000068756*B13)^4.2561</f>
        <v>1.756074594414648E-3</v>
      </c>
    </row>
    <row r="18" spans="1:3">
      <c r="A18" s="221" t="s">
        <v>7</v>
      </c>
      <c r="B18">
        <f>B17/B16</f>
        <v>0.73846702876982673</v>
      </c>
    </row>
    <row r="19" spans="1:3">
      <c r="A19" s="226" t="s">
        <v>450</v>
      </c>
      <c r="B19" s="230">
        <v>1.4</v>
      </c>
    </row>
    <row r="20" spans="1:3">
      <c r="A20" s="221" t="s">
        <v>35</v>
      </c>
      <c r="B20" s="230">
        <v>1500</v>
      </c>
      <c r="C20" t="s">
        <v>8</v>
      </c>
    </row>
    <row r="21" spans="1:3" ht="16.5">
      <c r="A21" s="221" t="s">
        <v>661</v>
      </c>
      <c r="B21" s="23">
        <f>[1]climb!$B$19</f>
        <v>75.225033459938444</v>
      </c>
      <c r="C21" t="s">
        <v>9</v>
      </c>
    </row>
    <row r="22" spans="1:3">
      <c r="A22" s="221" t="s">
        <v>16</v>
      </c>
      <c r="B22" s="23">
        <f>'[1]take-off'!$B$16</f>
        <v>140</v>
      </c>
      <c r="C22" t="s">
        <v>17</v>
      </c>
    </row>
    <row r="23" spans="1:3">
      <c r="A23" s="227" t="s">
        <v>22</v>
      </c>
      <c r="B23" s="237">
        <v>25000</v>
      </c>
      <c r="C23" t="s">
        <v>12</v>
      </c>
    </row>
    <row r="24" spans="1:3" ht="16.5">
      <c r="A24" s="221" t="s">
        <v>748</v>
      </c>
      <c r="B24">
        <f>0.002378*(1-0.0000068756*B23)^4.2561</f>
        <v>1.0655806140627681E-3</v>
      </c>
    </row>
    <row r="25" spans="1:3" ht="16.5">
      <c r="A25" s="221" t="s">
        <v>23</v>
      </c>
      <c r="B25" s="3">
        <f>'Sref and POWER SIZING'!K3</f>
        <v>22.691275793164802</v>
      </c>
      <c r="C25" t="s">
        <v>26</v>
      </c>
    </row>
    <row r="26" spans="1:3" ht="16.5">
      <c r="A26" s="221" t="s">
        <v>749</v>
      </c>
      <c r="B26" s="230">
        <f>'[1]take-off'!$G$16</f>
        <v>0.75</v>
      </c>
    </row>
    <row r="27" spans="1:3" ht="16.5">
      <c r="A27" s="221" t="s">
        <v>750</v>
      </c>
      <c r="B27">
        <f>B24/B16</f>
        <v>0.44809950128795967</v>
      </c>
    </row>
    <row r="28" spans="1:3" ht="16.5">
      <c r="A28" s="221" t="s">
        <v>40</v>
      </c>
      <c r="B28">
        <f>B5/B25</f>
        <v>257.80833362230652</v>
      </c>
      <c r="C28" t="s">
        <v>41</v>
      </c>
    </row>
    <row r="29" spans="1:3">
      <c r="A29" s="221" t="s">
        <v>42</v>
      </c>
      <c r="B29" s="106">
        <f>'Sref and POWER SIZING'!B11</f>
        <v>61</v>
      </c>
      <c r="C29" t="s">
        <v>9</v>
      </c>
    </row>
    <row r="34" spans="3:36" ht="15.5">
      <c r="D34" s="77" t="s">
        <v>329</v>
      </c>
    </row>
    <row r="35" spans="3:36">
      <c r="D35" s="76" t="s">
        <v>404</v>
      </c>
      <c r="E35" s="76"/>
      <c r="F35" s="76"/>
      <c r="G35" s="76"/>
      <c r="H35" s="76"/>
      <c r="I35" s="76"/>
      <c r="J35" s="76"/>
      <c r="K35" s="76"/>
      <c r="L35" s="76"/>
      <c r="M35" s="76"/>
    </row>
    <row r="36" spans="3:36">
      <c r="D36" s="76" t="s">
        <v>330</v>
      </c>
      <c r="E36" s="76"/>
      <c r="F36" s="76"/>
      <c r="G36" s="76"/>
      <c r="H36" s="76"/>
      <c r="I36" s="76"/>
      <c r="J36" s="76"/>
      <c r="K36" s="76"/>
      <c r="L36" s="76"/>
      <c r="M36" s="76"/>
    </row>
    <row r="37" spans="3:36">
      <c r="D37" s="76" t="s">
        <v>331</v>
      </c>
      <c r="E37" s="76"/>
      <c r="F37" s="76"/>
      <c r="G37" s="76"/>
      <c r="H37" s="76"/>
      <c r="I37" s="76"/>
      <c r="J37" s="76"/>
      <c r="K37" s="76"/>
      <c r="L37" s="76"/>
      <c r="M37" s="76"/>
      <c r="N37" s="76"/>
    </row>
    <row r="38" spans="3:36">
      <c r="D38" s="76" t="s">
        <v>332</v>
      </c>
    </row>
    <row r="41" spans="3:36">
      <c r="L41" s="25" t="s">
        <v>11</v>
      </c>
      <c r="N41" s="25" t="s">
        <v>1</v>
      </c>
      <c r="P41" s="25" t="s">
        <v>13</v>
      </c>
      <c r="R41" s="25" t="s">
        <v>18</v>
      </c>
      <c r="S41" s="25" t="s">
        <v>21</v>
      </c>
      <c r="T41" s="25" t="s">
        <v>24</v>
      </c>
      <c r="V41" s="271" t="s">
        <v>29</v>
      </c>
      <c r="W41" s="271"/>
      <c r="X41" s="271"/>
      <c r="Y41" s="271"/>
      <c r="Z41" s="271"/>
      <c r="AA41" s="271"/>
      <c r="AB41" s="271"/>
      <c r="AC41" s="271"/>
      <c r="AD41" s="271"/>
      <c r="AE41" s="271"/>
      <c r="AH41" t="s">
        <v>44</v>
      </c>
    </row>
    <row r="42" spans="3:36">
      <c r="C42" s="23"/>
      <c r="D42" s="23"/>
      <c r="E42" s="23"/>
      <c r="F42" s="23"/>
      <c r="G42" s="23"/>
      <c r="L42" s="26" t="s">
        <v>10</v>
      </c>
      <c r="P42" s="25" t="s">
        <v>14</v>
      </c>
      <c r="R42" s="25" t="s">
        <v>19</v>
      </c>
      <c r="S42" s="25" t="s">
        <v>20</v>
      </c>
      <c r="T42" s="25" t="s">
        <v>25</v>
      </c>
      <c r="V42" s="25" t="s">
        <v>30</v>
      </c>
      <c r="X42" s="25" t="s">
        <v>1</v>
      </c>
      <c r="Z42" s="25" t="s">
        <v>36</v>
      </c>
      <c r="AA42" s="25"/>
      <c r="AB42" s="25" t="s">
        <v>37</v>
      </c>
      <c r="AD42" s="25" t="s">
        <v>38</v>
      </c>
    </row>
    <row r="43" spans="3:36" ht="16.5">
      <c r="C43" s="23"/>
      <c r="D43" s="23"/>
      <c r="E43" s="23"/>
      <c r="F43" s="23"/>
      <c r="G43" s="23"/>
      <c r="J43" s="6" t="s">
        <v>5</v>
      </c>
      <c r="K43" s="6" t="s">
        <v>6</v>
      </c>
      <c r="L43" s="6" t="s">
        <v>4</v>
      </c>
      <c r="M43" s="6" t="s">
        <v>6</v>
      </c>
      <c r="N43" s="6" t="s">
        <v>4</v>
      </c>
      <c r="O43" s="6" t="s">
        <v>6</v>
      </c>
      <c r="P43" s="6" t="s">
        <v>4</v>
      </c>
      <c r="Q43" s="6" t="s">
        <v>6</v>
      </c>
      <c r="R43" s="6" t="s">
        <v>4</v>
      </c>
      <c r="S43" s="6" t="s">
        <v>4</v>
      </c>
      <c r="T43" s="6" t="s">
        <v>27</v>
      </c>
      <c r="U43" s="6" t="s">
        <v>28</v>
      </c>
      <c r="V43" s="6" t="s">
        <v>33</v>
      </c>
      <c r="W43" s="6" t="s">
        <v>34</v>
      </c>
      <c r="X43" s="6" t="s">
        <v>33</v>
      </c>
      <c r="Y43" s="6" t="s">
        <v>34</v>
      </c>
      <c r="Z43" s="6" t="s">
        <v>33</v>
      </c>
      <c r="AA43" s="6" t="s">
        <v>34</v>
      </c>
      <c r="AB43" s="6" t="s">
        <v>33</v>
      </c>
      <c r="AC43" s="6" t="s">
        <v>34</v>
      </c>
      <c r="AD43" s="6" t="s">
        <v>33</v>
      </c>
      <c r="AE43" s="6" t="s">
        <v>34</v>
      </c>
      <c r="AF43" s="6" t="s">
        <v>39</v>
      </c>
      <c r="AG43" s="6"/>
      <c r="AH43" s="6" t="s">
        <v>43</v>
      </c>
      <c r="AI43" s="6" t="s">
        <v>45</v>
      </c>
      <c r="AJ43" s="6" t="s">
        <v>46</v>
      </c>
    </row>
    <row r="44" spans="3:36">
      <c r="C44" s="23"/>
      <c r="D44" s="23"/>
      <c r="E44" s="23"/>
      <c r="F44" s="23"/>
      <c r="G44" s="23"/>
      <c r="J44" s="10">
        <v>6</v>
      </c>
      <c r="K44" s="10">
        <f t="shared" ref="K44:K57" si="0">0.5*B$17*(B$22*1.688)^2</f>
        <v>49.035873969648542</v>
      </c>
      <c r="L44" s="10">
        <f t="shared" ref="L44:L57" si="1">K44*( (B$6/J44)+(  B$15*(B$19/K44)^2  * J44))</f>
        <v>0.21810280773619545</v>
      </c>
      <c r="M44" s="10">
        <f t="shared" ref="M44:M57" si="2">0.5*B$16*(B$21*1.688)^2</f>
        <v>19.171298018662743</v>
      </c>
      <c r="N44" s="10">
        <f t="shared" ref="N44:N57" si="3">(B$20/(B$21*1.688*60))+(M44*B$6/J44)+(B$15*J44/M44)</f>
        <v>0.29311047760535158</v>
      </c>
      <c r="O44" s="10">
        <f t="shared" ref="O44:O57" si="4">0.5*B$16*(B$9*1.688/SQRT(2))^2</f>
        <v>7.6303771872915132</v>
      </c>
      <c r="P44" s="10">
        <f t="shared" ref="P44:P57" si="5">((B$9*1.688)^2/(2*32.174*B$12))+(O44*B$10/J44)+(B$8*(1-(O44*B$11/J44)))</f>
        <v>0.37626656394620062</v>
      </c>
      <c r="Q44" s="10">
        <f t="shared" ref="Q44:Q57" si="6">0.5*B$17*(B$22*1.688)^2</f>
        <v>49.035873969648542</v>
      </c>
      <c r="R44" s="10">
        <f t="shared" ref="R44:R57" si="7">(Q44*B$6/J44)+(B$15*J44/Q44)</f>
        <v>0.21223057505197496</v>
      </c>
      <c r="S44" s="10">
        <f t="shared" ref="S44:S57" si="8">(1.667/( SQRT((2*J44/B$24)*SQRT(B$15/(3*B$6)))))+(  4*SQRT(B$15*B$6/3))</f>
        <v>9.9424243944484875E-2</v>
      </c>
      <c r="T44" s="10">
        <f t="shared" ref="T44:T57" si="9">B$25</f>
        <v>22.691275793164802</v>
      </c>
      <c r="U44" s="10">
        <v>0</v>
      </c>
      <c r="V44" s="10">
        <f t="shared" ref="V44:V57" si="10">(L44*B$5*B$22*1.688/(B$26*550))</f>
        <v>730.96006016163278</v>
      </c>
      <c r="W44" s="10">
        <f t="shared" ref="W44:W57" si="11">V44/(1.132*B$18-0.132)</f>
        <v>1038.377140268921</v>
      </c>
      <c r="X44" s="10">
        <f t="shared" ref="X44:X57" si="12">N44*B$5*B$21*1.688/(550*B$26)</f>
        <v>527.83488319623973</v>
      </c>
      <c r="Y44" s="10">
        <f>X44/(1.132*1-0.132)</f>
        <v>527.83488319623984</v>
      </c>
      <c r="Z44" s="10">
        <f>P44*$B$5*$B$9*1.688/($B$26*550)</f>
        <v>604.53940538966674</v>
      </c>
      <c r="AA44" s="10">
        <f>Z44/(1.132*1-0.132)</f>
        <v>604.53940538966685</v>
      </c>
      <c r="AB44" s="10">
        <f t="shared" ref="AB44:AB57" si="13">(R44*B$5*B$22*1.688/(B$26*550))</f>
        <v>711.27958194728205</v>
      </c>
      <c r="AC44" s="10">
        <f t="shared" ref="AC44:AC57" si="14">AB44/(1.132*B$18-0.132)</f>
        <v>1010.4197185148194</v>
      </c>
      <c r="AD44" s="10">
        <f t="shared" ref="AD44:AD57" si="15">(S44*B$5*B$21*1.688)/(B$26*550)</f>
        <v>179.04369921559382</v>
      </c>
      <c r="AE44" s="10">
        <f t="shared" ref="AE44:AE57" si="16">AD44/(1.132*B$27-0.132)</f>
        <v>477.13351175036479</v>
      </c>
      <c r="AF44" s="10">
        <f t="shared" ref="AF44:AF57" si="17">B$25</f>
        <v>22.691275793164802</v>
      </c>
      <c r="AG44" s="10">
        <v>0</v>
      </c>
      <c r="AH44" s="10">
        <f t="shared" ref="AH44:AH57" si="18">2*J44/(B$16*(B$29*1.688)^2)</f>
        <v>0.4759538466873352</v>
      </c>
      <c r="AI44" s="10">
        <f t="shared" ref="AI44:AI57" si="19">2*J44/(B$16*((B$29+5)*1.688)^2)</f>
        <v>0.40657122670421819</v>
      </c>
      <c r="AJ44" s="10">
        <f t="shared" ref="AJ44:AJ57" si="20">2*J44/(B$16*((B$29-5)*1.688)^2)</f>
        <v>0.56473987995011943</v>
      </c>
    </row>
    <row r="45" spans="3:36">
      <c r="J45" s="10">
        <f>J44+2</f>
        <v>8</v>
      </c>
      <c r="K45" s="10">
        <f t="shared" si="0"/>
        <v>49.035873969648542</v>
      </c>
      <c r="L45" s="10">
        <f t="shared" si="1"/>
        <v>0.17057077181147862</v>
      </c>
      <c r="M45" s="10">
        <f t="shared" si="2"/>
        <v>19.171298018662743</v>
      </c>
      <c r="N45" s="10">
        <f t="shared" si="3"/>
        <v>0.27817990977052898</v>
      </c>
      <c r="O45" s="10">
        <f t="shared" si="4"/>
        <v>7.6303771872915132</v>
      </c>
      <c r="P45" s="10">
        <f t="shared" si="5"/>
        <v>0.34760589694927596</v>
      </c>
      <c r="Q45" s="10">
        <f t="shared" si="6"/>
        <v>49.035873969648542</v>
      </c>
      <c r="R45" s="10">
        <f t="shared" si="7"/>
        <v>0.16274112823251796</v>
      </c>
      <c r="S45" s="10">
        <f t="shared" si="8"/>
        <v>9.7089962278138944E-2</v>
      </c>
      <c r="T45" s="10">
        <f t="shared" si="9"/>
        <v>22.691275793164802</v>
      </c>
      <c r="U45" s="10">
        <f>U44+0.03</f>
        <v>0.03</v>
      </c>
      <c r="V45" s="10">
        <f t="shared" si="10"/>
        <v>571.65894799456589</v>
      </c>
      <c r="W45" s="10">
        <f t="shared" si="11"/>
        <v>812.07936791577708</v>
      </c>
      <c r="X45" s="10">
        <f t="shared" si="12"/>
        <v>500.94783844256136</v>
      </c>
      <c r="Y45" s="10">
        <f t="shared" ref="Y45:Y57" si="21">X45/(1.132*1-0.132)</f>
        <v>500.94783844256142</v>
      </c>
      <c r="Z45" s="10">
        <f t="shared" ref="Z45:Z57" si="22">P45*$B$5*$B$9*1.688/($B$26*550)</f>
        <v>558.49092740991864</v>
      </c>
      <c r="AA45" s="10">
        <f t="shared" ref="AA45:AA57" si="23">Z45/(1.132*1-0.132)</f>
        <v>558.49092740991875</v>
      </c>
      <c r="AB45" s="10">
        <f t="shared" si="13"/>
        <v>545.41831037543159</v>
      </c>
      <c r="AC45" s="10">
        <f t="shared" si="14"/>
        <v>774.80280557697483</v>
      </c>
      <c r="AD45" s="10">
        <f t="shared" si="15"/>
        <v>174.84011256536917</v>
      </c>
      <c r="AE45" s="10">
        <f t="shared" si="16"/>
        <v>465.93137467904836</v>
      </c>
      <c r="AF45" s="10">
        <f t="shared" si="17"/>
        <v>22.691275793164802</v>
      </c>
      <c r="AG45" s="10">
        <f>AG44+50</f>
        <v>50</v>
      </c>
      <c r="AH45" s="10">
        <f t="shared" si="18"/>
        <v>0.63460512891644694</v>
      </c>
      <c r="AI45" s="10">
        <f t="shared" si="19"/>
        <v>0.54209496893895759</v>
      </c>
      <c r="AJ45" s="10">
        <f t="shared" si="20"/>
        <v>0.7529865066001592</v>
      </c>
    </row>
    <row r="46" spans="3:36">
      <c r="J46" s="10">
        <f t="shared" ref="J46:J57" si="24">J45+2</f>
        <v>10</v>
      </c>
      <c r="K46" s="10">
        <f t="shared" si="0"/>
        <v>49.035873969648542</v>
      </c>
      <c r="L46" s="10">
        <f t="shared" si="1"/>
        <v>0.14365010248735299</v>
      </c>
      <c r="M46" s="10">
        <f t="shared" si="2"/>
        <v>19.171298018662743</v>
      </c>
      <c r="N46" s="10">
        <f t="shared" si="3"/>
        <v>0.27130765964645892</v>
      </c>
      <c r="O46" s="10">
        <f t="shared" si="4"/>
        <v>7.6303771872915132</v>
      </c>
      <c r="P46" s="10">
        <f t="shared" si="5"/>
        <v>0.33040949675112113</v>
      </c>
      <c r="Q46" s="10">
        <f t="shared" si="6"/>
        <v>49.035873969648542</v>
      </c>
      <c r="R46" s="10">
        <f t="shared" si="7"/>
        <v>0.13386304801365217</v>
      </c>
      <c r="S46" s="10">
        <f t="shared" si="8"/>
        <v>9.5496970585315005E-2</v>
      </c>
      <c r="T46" s="10">
        <f t="shared" si="9"/>
        <v>22.691275793164802</v>
      </c>
      <c r="U46" s="10">
        <f t="shared" ref="U46:U57" si="25">U45+0.03</f>
        <v>0.06</v>
      </c>
      <c r="V46" s="10">
        <f t="shared" si="10"/>
        <v>481.43574420823245</v>
      </c>
      <c r="W46" s="10">
        <f t="shared" si="11"/>
        <v>683.91133598139641</v>
      </c>
      <c r="X46" s="10">
        <f t="shared" si="12"/>
        <v>488.57225442670142</v>
      </c>
      <c r="Y46" s="10">
        <f t="shared" si="21"/>
        <v>488.57225442670148</v>
      </c>
      <c r="Z46" s="10">
        <f t="shared" si="22"/>
        <v>530.86184062206985</v>
      </c>
      <c r="AA46" s="10">
        <f t="shared" si="23"/>
        <v>530.86184062206996</v>
      </c>
      <c r="AB46" s="10">
        <f t="shared" si="13"/>
        <v>448.63494718431451</v>
      </c>
      <c r="AC46" s="10">
        <f t="shared" si="14"/>
        <v>637.31563305789348</v>
      </c>
      <c r="AD46" s="10">
        <f t="shared" si="15"/>
        <v>171.97144478186394</v>
      </c>
      <c r="AE46" s="10">
        <f t="shared" si="16"/>
        <v>458.28666258035094</v>
      </c>
      <c r="AF46" s="10">
        <f t="shared" si="17"/>
        <v>22.691275793164802</v>
      </c>
      <c r="AG46" s="10">
        <f t="shared" ref="AG46:AG57" si="26">AG45+50</f>
        <v>100</v>
      </c>
      <c r="AH46" s="10">
        <f t="shared" si="18"/>
        <v>0.79325641114555867</v>
      </c>
      <c r="AI46" s="10">
        <f t="shared" si="19"/>
        <v>0.67761871117369699</v>
      </c>
      <c r="AJ46" s="10">
        <f t="shared" si="20"/>
        <v>0.94123313325019897</v>
      </c>
    </row>
    <row r="47" spans="3:36">
      <c r="J47" s="10">
        <f t="shared" si="24"/>
        <v>12</v>
      </c>
      <c r="K47" s="10">
        <f t="shared" si="0"/>
        <v>49.035873969648542</v>
      </c>
      <c r="L47" s="10">
        <f t="shared" si="1"/>
        <v>0.12703511646352297</v>
      </c>
      <c r="M47" s="10">
        <f t="shared" si="2"/>
        <v>19.171298018662743</v>
      </c>
      <c r="N47" s="10">
        <f t="shared" si="3"/>
        <v>0.26846456837776511</v>
      </c>
      <c r="O47" s="10">
        <f t="shared" si="4"/>
        <v>7.6303771872915132</v>
      </c>
      <c r="P47" s="10">
        <f t="shared" si="5"/>
        <v>0.31894522995235125</v>
      </c>
      <c r="Q47" s="10">
        <f t="shared" si="6"/>
        <v>49.035873969648542</v>
      </c>
      <c r="R47" s="10">
        <f t="shared" si="7"/>
        <v>0.11529065109508199</v>
      </c>
      <c r="S47" s="10">
        <f t="shared" si="8"/>
        <v>9.4321072968897496E-2</v>
      </c>
      <c r="T47" s="10">
        <f t="shared" si="9"/>
        <v>22.691275793164802</v>
      </c>
      <c r="U47" s="10">
        <f t="shared" si="25"/>
        <v>0.09</v>
      </c>
      <c r="V47" s="10">
        <f t="shared" si="10"/>
        <v>425.7514946122655</v>
      </c>
      <c r="W47" s="10">
        <f t="shared" si="11"/>
        <v>604.80817425639691</v>
      </c>
      <c r="X47" s="10">
        <f t="shared" si="12"/>
        <v>483.45240077975063</v>
      </c>
      <c r="Y47" s="10">
        <f t="shared" si="21"/>
        <v>483.45240077975069</v>
      </c>
      <c r="Z47" s="10">
        <f t="shared" si="22"/>
        <v>512.44244943017054</v>
      </c>
      <c r="AA47" s="10">
        <f t="shared" si="23"/>
        <v>512.44244943017065</v>
      </c>
      <c r="AB47" s="10">
        <f t="shared" si="13"/>
        <v>386.3905381835641</v>
      </c>
      <c r="AC47" s="10">
        <f t="shared" si="14"/>
        <v>548.89333074819365</v>
      </c>
      <c r="AD47" s="10">
        <f t="shared" si="15"/>
        <v>169.85388219562248</v>
      </c>
      <c r="AE47" s="10">
        <f t="shared" si="16"/>
        <v>452.64357054443428</v>
      </c>
      <c r="AF47" s="10">
        <f t="shared" si="17"/>
        <v>22.691275793164802</v>
      </c>
      <c r="AG47" s="10">
        <f t="shared" si="26"/>
        <v>150</v>
      </c>
      <c r="AH47" s="10">
        <f t="shared" si="18"/>
        <v>0.95190769337467041</v>
      </c>
      <c r="AI47" s="10">
        <f t="shared" si="19"/>
        <v>0.81314245340843638</v>
      </c>
      <c r="AJ47" s="10">
        <f t="shared" si="20"/>
        <v>1.1294797599002389</v>
      </c>
    </row>
    <row r="48" spans="3:36">
      <c r="J48" s="10">
        <f t="shared" si="24"/>
        <v>14</v>
      </c>
      <c r="K48" s="10">
        <f t="shared" si="0"/>
        <v>49.035873969648542</v>
      </c>
      <c r="L48" s="10">
        <f t="shared" si="1"/>
        <v>0.11630909232557614</v>
      </c>
      <c r="M48" s="10">
        <f t="shared" si="2"/>
        <v>19.171298018662743</v>
      </c>
      <c r="N48" s="10">
        <f t="shared" si="3"/>
        <v>0.26792385359785764</v>
      </c>
      <c r="O48" s="10">
        <f t="shared" si="4"/>
        <v>7.6303771872915132</v>
      </c>
      <c r="P48" s="10">
        <f t="shared" si="5"/>
        <v>0.31075646795322992</v>
      </c>
      <c r="Q48" s="10">
        <f t="shared" si="6"/>
        <v>49.035873969648542</v>
      </c>
      <c r="R48" s="10">
        <f t="shared" si="7"/>
        <v>0.10260721606239499</v>
      </c>
      <c r="S48" s="10">
        <f t="shared" si="8"/>
        <v>9.3407165873137771E-2</v>
      </c>
      <c r="T48" s="10">
        <f t="shared" si="9"/>
        <v>22.691275793164802</v>
      </c>
      <c r="U48" s="10">
        <f t="shared" si="25"/>
        <v>0.12</v>
      </c>
      <c r="V48" s="10">
        <f t="shared" si="10"/>
        <v>389.80379026793668</v>
      </c>
      <c r="W48" s="10">
        <f t="shared" si="11"/>
        <v>553.74208122247262</v>
      </c>
      <c r="X48" s="10">
        <f t="shared" si="12"/>
        <v>482.47867877217647</v>
      </c>
      <c r="Y48" s="10">
        <f t="shared" si="21"/>
        <v>482.47867877217652</v>
      </c>
      <c r="Z48" s="10">
        <f t="shared" si="22"/>
        <v>499.28574143595682</v>
      </c>
      <c r="AA48" s="10">
        <f t="shared" si="23"/>
        <v>499.28574143595688</v>
      </c>
      <c r="AB48" s="10">
        <f t="shared" si="13"/>
        <v>343.8826744344517</v>
      </c>
      <c r="AC48" s="10">
        <f t="shared" si="14"/>
        <v>488.5080971295688</v>
      </c>
      <c r="AD48" s="10">
        <f t="shared" si="15"/>
        <v>168.20811351111962</v>
      </c>
      <c r="AE48" s="10">
        <f t="shared" si="16"/>
        <v>448.25776196582541</v>
      </c>
      <c r="AF48" s="10">
        <f t="shared" si="17"/>
        <v>22.691275793164802</v>
      </c>
      <c r="AG48" s="10">
        <f t="shared" si="26"/>
        <v>200</v>
      </c>
      <c r="AH48" s="10">
        <f t="shared" si="18"/>
        <v>1.1105589756037821</v>
      </c>
      <c r="AI48" s="10">
        <f t="shared" si="19"/>
        <v>0.94866619564317567</v>
      </c>
      <c r="AJ48" s="10">
        <f t="shared" si="20"/>
        <v>1.3177263865502786</v>
      </c>
    </row>
    <row r="49" spans="10:36">
      <c r="J49" s="10">
        <f t="shared" si="24"/>
        <v>16</v>
      </c>
      <c r="K49" s="10">
        <f t="shared" si="0"/>
        <v>49.035873969648542</v>
      </c>
      <c r="L49" s="10">
        <f t="shared" si="1"/>
        <v>0.1092636693663063</v>
      </c>
      <c r="M49" s="10">
        <f t="shared" si="2"/>
        <v>19.171298018662743</v>
      </c>
      <c r="N49" s="10">
        <f t="shared" si="3"/>
        <v>0.26882212412344175</v>
      </c>
      <c r="O49" s="10">
        <f t="shared" si="4"/>
        <v>7.6303771872915132</v>
      </c>
      <c r="P49" s="10">
        <f t="shared" si="5"/>
        <v>0.30461489645388889</v>
      </c>
      <c r="Q49" s="10">
        <f t="shared" si="6"/>
        <v>49.035873969648542</v>
      </c>
      <c r="R49" s="10">
        <f t="shared" si="7"/>
        <v>9.3604382208385004E-2</v>
      </c>
      <c r="S49" s="10">
        <f t="shared" si="8"/>
        <v>9.2670486573424846E-2</v>
      </c>
      <c r="T49" s="10">
        <f t="shared" si="9"/>
        <v>22.691275793164802</v>
      </c>
      <c r="U49" s="10">
        <f t="shared" si="25"/>
        <v>0.15</v>
      </c>
      <c r="V49" s="10">
        <f t="shared" si="10"/>
        <v>366.19142670588167</v>
      </c>
      <c r="W49" s="10">
        <f t="shared" si="11"/>
        <v>520.19915612047032</v>
      </c>
      <c r="X49" s="10">
        <f t="shared" si="12"/>
        <v>484.09628903921265</v>
      </c>
      <c r="Y49" s="10">
        <f t="shared" si="21"/>
        <v>484.09628903921271</v>
      </c>
      <c r="Z49" s="10">
        <f t="shared" si="22"/>
        <v>489.41821044029655</v>
      </c>
      <c r="AA49" s="10">
        <f t="shared" si="23"/>
        <v>489.4182104402966</v>
      </c>
      <c r="AB49" s="10">
        <f t="shared" si="13"/>
        <v>313.71015146761317</v>
      </c>
      <c r="AC49" s="10">
        <f t="shared" si="14"/>
        <v>445.64603144286599</v>
      </c>
      <c r="AD49" s="10">
        <f t="shared" si="15"/>
        <v>166.88149756994332</v>
      </c>
      <c r="AE49" s="10">
        <f t="shared" si="16"/>
        <v>444.72246345752507</v>
      </c>
      <c r="AF49" s="10">
        <f t="shared" si="17"/>
        <v>22.691275793164802</v>
      </c>
      <c r="AG49" s="10">
        <f t="shared" si="26"/>
        <v>250</v>
      </c>
      <c r="AH49" s="10">
        <f t="shared" si="18"/>
        <v>1.2692102578328939</v>
      </c>
      <c r="AI49" s="10">
        <f t="shared" si="19"/>
        <v>1.0841899378779152</v>
      </c>
      <c r="AJ49" s="10">
        <f t="shared" si="20"/>
        <v>1.5059730132003184</v>
      </c>
    </row>
    <row r="50" spans="10:36">
      <c r="J50" s="10">
        <f t="shared" si="24"/>
        <v>18</v>
      </c>
      <c r="K50" s="10">
        <f t="shared" si="0"/>
        <v>49.035873969648542</v>
      </c>
      <c r="L50" s="10">
        <f t="shared" si="1"/>
        <v>0.10467198052615447</v>
      </c>
      <c r="M50" s="10">
        <f t="shared" si="2"/>
        <v>19.171298018662743</v>
      </c>
      <c r="N50" s="10">
        <f t="shared" si="3"/>
        <v>0.27067971818602021</v>
      </c>
      <c r="O50" s="10">
        <f t="shared" si="4"/>
        <v>7.6303771872915132</v>
      </c>
      <c r="P50" s="10">
        <f t="shared" si="5"/>
        <v>0.29983811862106818</v>
      </c>
      <c r="Q50" s="10">
        <f t="shared" si="6"/>
        <v>49.035873969648542</v>
      </c>
      <c r="R50" s="10">
        <f t="shared" si="7"/>
        <v>8.7055282473493006E-2</v>
      </c>
      <c r="S50" s="10">
        <f t="shared" si="8"/>
        <v>9.2060284314934529E-2</v>
      </c>
      <c r="T50" s="10">
        <f t="shared" si="9"/>
        <v>22.691275793164802</v>
      </c>
      <c r="U50" s="10">
        <f t="shared" si="25"/>
        <v>0.18</v>
      </c>
      <c r="V50" s="10">
        <f t="shared" si="10"/>
        <v>350.80262366534259</v>
      </c>
      <c r="W50" s="10">
        <f t="shared" si="11"/>
        <v>498.33834297308277</v>
      </c>
      <c r="X50" s="10">
        <f t="shared" si="12"/>
        <v>487.44145415598916</v>
      </c>
      <c r="Y50" s="10">
        <f t="shared" si="21"/>
        <v>487.44145415598922</v>
      </c>
      <c r="Z50" s="10">
        <f t="shared" si="22"/>
        <v>481.74346411033861</v>
      </c>
      <c r="AA50" s="10">
        <f t="shared" si="23"/>
        <v>481.74346411033866</v>
      </c>
      <c r="AB50" s="10">
        <f t="shared" si="13"/>
        <v>291.76118902229047</v>
      </c>
      <c r="AC50" s="10">
        <f t="shared" si="14"/>
        <v>414.46607771077777</v>
      </c>
      <c r="AD50" s="10">
        <f t="shared" si="15"/>
        <v>165.78264214700624</v>
      </c>
      <c r="AE50" s="10">
        <f t="shared" si="16"/>
        <v>441.79412390048446</v>
      </c>
      <c r="AF50" s="10">
        <f t="shared" si="17"/>
        <v>22.691275793164802</v>
      </c>
      <c r="AG50" s="10">
        <f t="shared" si="26"/>
        <v>300</v>
      </c>
      <c r="AH50" s="10">
        <f t="shared" si="18"/>
        <v>1.4278615400620056</v>
      </c>
      <c r="AI50" s="10">
        <f t="shared" si="19"/>
        <v>1.2197136801126545</v>
      </c>
      <c r="AJ50" s="10">
        <f t="shared" si="20"/>
        <v>1.6942196398503582</v>
      </c>
    </row>
    <row r="51" spans="10:36">
      <c r="J51" s="10">
        <f t="shared" si="24"/>
        <v>20</v>
      </c>
      <c r="K51" s="10">
        <f t="shared" si="0"/>
        <v>49.035873969648542</v>
      </c>
      <c r="L51" s="10">
        <f t="shared" si="1"/>
        <v>0.10179790556938524</v>
      </c>
      <c r="M51" s="10">
        <f t="shared" si="2"/>
        <v>19.171298018662743</v>
      </c>
      <c r="N51" s="10">
        <f t="shared" si="3"/>
        <v>0.2732088387244947</v>
      </c>
      <c r="O51" s="10">
        <f t="shared" si="4"/>
        <v>7.6303771872915132</v>
      </c>
      <c r="P51" s="10">
        <f t="shared" si="5"/>
        <v>0.29601669635481148</v>
      </c>
      <c r="Q51" s="10">
        <f t="shared" si="6"/>
        <v>49.035873969648542</v>
      </c>
      <c r="R51" s="10">
        <f t="shared" si="7"/>
        <v>8.2223796621983619E-2</v>
      </c>
      <c r="S51" s="10">
        <f t="shared" si="8"/>
        <v>9.1544071345055211E-2</v>
      </c>
      <c r="T51" s="10">
        <f t="shared" si="9"/>
        <v>22.691275793164802</v>
      </c>
      <c r="U51" s="10">
        <f t="shared" si="25"/>
        <v>0.21</v>
      </c>
      <c r="V51" s="10">
        <f t="shared" si="10"/>
        <v>341.17031298986461</v>
      </c>
      <c r="W51" s="10">
        <f t="shared" si="11"/>
        <v>484.65500819392537</v>
      </c>
      <c r="X51" s="10">
        <f t="shared" si="12"/>
        <v>491.99590766758382</v>
      </c>
      <c r="Y51" s="10">
        <f t="shared" si="21"/>
        <v>491.99590766758388</v>
      </c>
      <c r="Z51" s="10">
        <f t="shared" si="22"/>
        <v>475.60366704637204</v>
      </c>
      <c r="AA51" s="10">
        <f t="shared" si="23"/>
        <v>475.6036670463721</v>
      </c>
      <c r="AB51" s="10">
        <f t="shared" si="13"/>
        <v>275.56871894202891</v>
      </c>
      <c r="AC51" s="10">
        <f t="shared" si="14"/>
        <v>391.46360234691986</v>
      </c>
      <c r="AD51" s="10">
        <f t="shared" si="15"/>
        <v>164.8530431272554</v>
      </c>
      <c r="AE51" s="10">
        <f t="shared" si="16"/>
        <v>439.31683569231734</v>
      </c>
      <c r="AF51" s="10">
        <f t="shared" si="17"/>
        <v>22.691275793164802</v>
      </c>
      <c r="AG51" s="10">
        <f t="shared" si="26"/>
        <v>350</v>
      </c>
      <c r="AH51" s="10">
        <f t="shared" si="18"/>
        <v>1.5865128222911173</v>
      </c>
      <c r="AI51" s="10">
        <f t="shared" si="19"/>
        <v>1.355237422347394</v>
      </c>
      <c r="AJ51" s="10">
        <f t="shared" si="20"/>
        <v>1.8824662665003979</v>
      </c>
    </row>
    <row r="52" spans="10:36">
      <c r="J52" s="10">
        <f t="shared" si="24"/>
        <v>22</v>
      </c>
      <c r="K52" s="10">
        <f t="shared" si="0"/>
        <v>49.035873969648542</v>
      </c>
      <c r="L52" s="10">
        <f t="shared" si="1"/>
        <v>0.10017300434598517</v>
      </c>
      <c r="M52" s="10">
        <f t="shared" si="2"/>
        <v>19.171298018662743</v>
      </c>
      <c r="N52" s="10">
        <f t="shared" si="3"/>
        <v>0.2762263421545299</v>
      </c>
      <c r="O52" s="10">
        <f t="shared" si="4"/>
        <v>7.6303771872915132</v>
      </c>
      <c r="P52" s="10">
        <f t="shared" si="5"/>
        <v>0.29289007813696516</v>
      </c>
      <c r="Q52" s="10">
        <f t="shared" si="6"/>
        <v>49.035873969648542</v>
      </c>
      <c r="R52" s="10">
        <f t="shared" si="7"/>
        <v>7.8641484503843381E-2</v>
      </c>
      <c r="S52" s="10">
        <f t="shared" si="8"/>
        <v>9.1099958181399168E-2</v>
      </c>
      <c r="T52" s="10">
        <f t="shared" si="9"/>
        <v>22.691275793164802</v>
      </c>
      <c r="U52" s="10">
        <f t="shared" si="25"/>
        <v>0.24</v>
      </c>
      <c r="V52" s="10">
        <f t="shared" si="10"/>
        <v>335.72454221624923</v>
      </c>
      <c r="W52" s="10">
        <f t="shared" si="11"/>
        <v>476.91893040984456</v>
      </c>
      <c r="X52" s="10">
        <f t="shared" si="12"/>
        <v>497.42984364813725</v>
      </c>
      <c r="Y52" s="10">
        <f t="shared" si="21"/>
        <v>497.42984364813731</v>
      </c>
      <c r="Z52" s="10">
        <f t="shared" si="22"/>
        <v>470.58019672130865</v>
      </c>
      <c r="AA52" s="10">
        <f t="shared" si="23"/>
        <v>470.58019672130871</v>
      </c>
      <c r="AB52" s="10">
        <f t="shared" si="13"/>
        <v>263.56278876362995</v>
      </c>
      <c r="AC52" s="10">
        <f t="shared" si="14"/>
        <v>374.40838397813843</v>
      </c>
      <c r="AD52" s="10">
        <f t="shared" si="15"/>
        <v>164.05328181616395</v>
      </c>
      <c r="AE52" s="10">
        <f t="shared" si="16"/>
        <v>437.18555196328953</v>
      </c>
      <c r="AF52" s="10">
        <f t="shared" si="17"/>
        <v>22.691275793164802</v>
      </c>
      <c r="AG52" s="10">
        <f t="shared" si="26"/>
        <v>400</v>
      </c>
      <c r="AH52" s="10">
        <f t="shared" si="18"/>
        <v>1.7451641045202291</v>
      </c>
      <c r="AI52" s="10">
        <f t="shared" si="19"/>
        <v>1.4907611645821333</v>
      </c>
      <c r="AJ52" s="10">
        <f t="shared" si="20"/>
        <v>2.0707128931504379</v>
      </c>
    </row>
    <row r="53" spans="10:36">
      <c r="J53" s="10">
        <f t="shared" si="24"/>
        <v>24</v>
      </c>
      <c r="K53" s="10">
        <f t="shared" si="0"/>
        <v>49.035873969648542</v>
      </c>
      <c r="L53" s="10">
        <f t="shared" si="1"/>
        <v>9.9484983422611958E-2</v>
      </c>
      <c r="M53" s="10">
        <f t="shared" si="2"/>
        <v>19.171298018662743</v>
      </c>
      <c r="N53" s="10">
        <f t="shared" si="3"/>
        <v>0.27961013275323571</v>
      </c>
      <c r="O53" s="10">
        <f t="shared" si="4"/>
        <v>7.6303771872915132</v>
      </c>
      <c r="P53" s="10">
        <f t="shared" si="5"/>
        <v>0.29028456295542654</v>
      </c>
      <c r="Q53" s="10">
        <f t="shared" si="6"/>
        <v>49.035873969648542</v>
      </c>
      <c r="R53" s="10">
        <f t="shared" si="7"/>
        <v>7.5996052685730023E-2</v>
      </c>
      <c r="S53" s="10">
        <f t="shared" si="8"/>
        <v>9.0712586166505293E-2</v>
      </c>
      <c r="T53" s="10">
        <f t="shared" si="9"/>
        <v>22.691275793164802</v>
      </c>
      <c r="U53" s="10">
        <f t="shared" si="25"/>
        <v>0.27</v>
      </c>
      <c r="V53" s="10">
        <f t="shared" si="10"/>
        <v>333.41867636903078</v>
      </c>
      <c r="W53" s="10">
        <f t="shared" si="11"/>
        <v>473.64329537207107</v>
      </c>
      <c r="X53" s="10">
        <f t="shared" si="12"/>
        <v>503.52339148040954</v>
      </c>
      <c r="Y53" s="10">
        <f t="shared" si="21"/>
        <v>503.5233914804096</v>
      </c>
      <c r="Z53" s="10">
        <f t="shared" si="22"/>
        <v>466.39397145042244</v>
      </c>
      <c r="AA53" s="10">
        <f t="shared" si="23"/>
        <v>466.3939714504225</v>
      </c>
      <c r="AB53" s="10">
        <f t="shared" si="13"/>
        <v>254.69676351162803</v>
      </c>
      <c r="AC53" s="10">
        <f t="shared" si="14"/>
        <v>361.81360835566454</v>
      </c>
      <c r="AD53" s="10">
        <f t="shared" si="15"/>
        <v>163.35570026293712</v>
      </c>
      <c r="AE53" s="10">
        <f t="shared" si="16"/>
        <v>435.32656704686082</v>
      </c>
      <c r="AF53" s="10">
        <f t="shared" si="17"/>
        <v>22.691275793164802</v>
      </c>
      <c r="AG53" s="10">
        <f t="shared" si="26"/>
        <v>450</v>
      </c>
      <c r="AH53" s="10">
        <f t="shared" si="18"/>
        <v>1.9038153867493408</v>
      </c>
      <c r="AI53" s="10">
        <f t="shared" si="19"/>
        <v>1.6262849068168728</v>
      </c>
      <c r="AJ53" s="10">
        <f t="shared" si="20"/>
        <v>2.2589595198004777</v>
      </c>
    </row>
    <row r="54" spans="10:36">
      <c r="J54" s="10">
        <f t="shared" si="24"/>
        <v>26</v>
      </c>
      <c r="K54" s="10">
        <f t="shared" si="0"/>
        <v>49.035873969648542</v>
      </c>
      <c r="L54" s="10">
        <f t="shared" si="1"/>
        <v>9.9517639653105602E-2</v>
      </c>
      <c r="M54" s="10">
        <f t="shared" si="2"/>
        <v>19.171298018662743</v>
      </c>
      <c r="N54" s="10">
        <f t="shared" si="3"/>
        <v>0.28327568271245729</v>
      </c>
      <c r="O54" s="10">
        <f t="shared" si="4"/>
        <v>7.6303771872915132</v>
      </c>
      <c r="P54" s="10">
        <f t="shared" si="5"/>
        <v>0.2880798962633554</v>
      </c>
      <c r="Q54" s="10">
        <f t="shared" si="6"/>
        <v>49.035873969648542</v>
      </c>
      <c r="R54" s="10">
        <f t="shared" si="7"/>
        <v>7.4071298021483489E-2</v>
      </c>
      <c r="S54" s="10">
        <f t="shared" si="8"/>
        <v>9.0370818447943299E-2</v>
      </c>
      <c r="T54" s="10">
        <f t="shared" si="9"/>
        <v>22.691275793164802</v>
      </c>
      <c r="U54" s="10">
        <f t="shared" si="25"/>
        <v>0.30000000000000004</v>
      </c>
      <c r="V54" s="10">
        <f t="shared" si="10"/>
        <v>333.52812200365622</v>
      </c>
      <c r="W54" s="10">
        <f t="shared" si="11"/>
        <v>473.7987701391495</v>
      </c>
      <c r="X54" s="10">
        <f t="shared" si="12"/>
        <v>510.12433304477344</v>
      </c>
      <c r="Y54" s="10">
        <f t="shared" si="21"/>
        <v>510.12433304477349</v>
      </c>
      <c r="Z54" s="10">
        <f t="shared" si="22"/>
        <v>462.85178083659565</v>
      </c>
      <c r="AA54" s="10">
        <f t="shared" si="23"/>
        <v>462.85178083659571</v>
      </c>
      <c r="AB54" s="10">
        <f t="shared" si="13"/>
        <v>248.24604974146985</v>
      </c>
      <c r="AC54" s="10">
        <f t="shared" si="14"/>
        <v>352.64994253804235</v>
      </c>
      <c r="AD54" s="10">
        <f t="shared" si="15"/>
        <v>162.74024316539075</v>
      </c>
      <c r="AE54" s="10">
        <f t="shared" si="16"/>
        <v>433.68643557297753</v>
      </c>
      <c r="AF54" s="10">
        <f t="shared" si="17"/>
        <v>22.691275793164802</v>
      </c>
      <c r="AG54" s="10">
        <f t="shared" si="26"/>
        <v>500</v>
      </c>
      <c r="AH54" s="10">
        <f t="shared" si="18"/>
        <v>2.0624666689784528</v>
      </c>
      <c r="AI54" s="10">
        <f t="shared" si="19"/>
        <v>1.7618086490516121</v>
      </c>
      <c r="AJ54" s="10">
        <f t="shared" si="20"/>
        <v>2.4472061464505175</v>
      </c>
    </row>
    <row r="55" spans="10:36">
      <c r="J55" s="10">
        <f t="shared" si="24"/>
        <v>28</v>
      </c>
      <c r="K55" s="10">
        <f t="shared" si="0"/>
        <v>49.035873969648542</v>
      </c>
      <c r="L55" s="10">
        <f t="shared" si="1"/>
        <v>0.10011654221878032</v>
      </c>
      <c r="M55" s="10">
        <f t="shared" si="2"/>
        <v>19.171298018662743</v>
      </c>
      <c r="N55" s="10">
        <f t="shared" si="3"/>
        <v>0.28716261502636997</v>
      </c>
      <c r="O55" s="10">
        <f t="shared" si="4"/>
        <v>7.6303771872915132</v>
      </c>
      <c r="P55" s="10">
        <f t="shared" si="5"/>
        <v>0.28619018195586587</v>
      </c>
      <c r="Q55" s="10">
        <f t="shared" si="6"/>
        <v>49.035873969648542</v>
      </c>
      <c r="R55" s="10">
        <f t="shared" si="7"/>
        <v>7.2712789692418026E-2</v>
      </c>
      <c r="S55" s="10">
        <f t="shared" si="8"/>
        <v>9.0066356261719091E-2</v>
      </c>
      <c r="T55" s="10">
        <f t="shared" si="9"/>
        <v>22.691275793164802</v>
      </c>
      <c r="U55" s="10">
        <f t="shared" si="25"/>
        <v>0.33000000000000007</v>
      </c>
      <c r="V55" s="10">
        <f t="shared" si="10"/>
        <v>335.53531237401609</v>
      </c>
      <c r="W55" s="10">
        <f t="shared" si="11"/>
        <v>476.65011689575442</v>
      </c>
      <c r="X55" s="10">
        <f t="shared" si="12"/>
        <v>517.1239411129236</v>
      </c>
      <c r="Y55" s="10">
        <f t="shared" si="21"/>
        <v>517.12394111292372</v>
      </c>
      <c r="Z55" s="10">
        <f t="shared" si="22"/>
        <v>459.81561745331561</v>
      </c>
      <c r="AA55" s="10">
        <f t="shared" si="23"/>
        <v>459.81561745331567</v>
      </c>
      <c r="AB55" s="10">
        <f t="shared" si="13"/>
        <v>243.69308070704614</v>
      </c>
      <c r="AC55" s="10">
        <f t="shared" si="14"/>
        <v>346.18214870994666</v>
      </c>
      <c r="AD55" s="10">
        <f t="shared" si="15"/>
        <v>162.19196606586073</v>
      </c>
      <c r="AE55" s="10">
        <f t="shared" si="16"/>
        <v>432.2253320599404</v>
      </c>
      <c r="AF55" s="10">
        <f t="shared" si="17"/>
        <v>22.691275793164802</v>
      </c>
      <c r="AG55" s="10">
        <f t="shared" si="26"/>
        <v>550</v>
      </c>
      <c r="AH55" s="10">
        <f t="shared" si="18"/>
        <v>2.2211179512075643</v>
      </c>
      <c r="AI55" s="10">
        <f t="shared" si="19"/>
        <v>1.8973323912863513</v>
      </c>
      <c r="AJ55" s="10">
        <f t="shared" si="20"/>
        <v>2.6354527731005573</v>
      </c>
    </row>
    <row r="56" spans="10:36">
      <c r="J56" s="10">
        <f t="shared" si="24"/>
        <v>30</v>
      </c>
      <c r="K56" s="10">
        <f t="shared" si="0"/>
        <v>49.035873969648542</v>
      </c>
      <c r="L56" s="10">
        <f t="shared" si="1"/>
        <v>0.10116844185259988</v>
      </c>
      <c r="M56" s="10">
        <f t="shared" si="2"/>
        <v>19.171298018662743</v>
      </c>
      <c r="N56" s="10">
        <f t="shared" si="3"/>
        <v>0.29122665322403535</v>
      </c>
      <c r="O56" s="10">
        <f t="shared" si="4"/>
        <v>7.6303771872915132</v>
      </c>
      <c r="P56" s="10">
        <f t="shared" si="5"/>
        <v>0.2845524295560416</v>
      </c>
      <c r="Q56" s="10">
        <f t="shared" si="6"/>
        <v>49.035873969648542</v>
      </c>
      <c r="R56" s="10">
        <f t="shared" si="7"/>
        <v>7.1807278431497437E-2</v>
      </c>
      <c r="S56" s="10">
        <f t="shared" si="8"/>
        <v>8.979287198383655E-2</v>
      </c>
      <c r="T56" s="10">
        <f t="shared" si="9"/>
        <v>22.691275793164802</v>
      </c>
      <c r="U56" s="10">
        <f t="shared" si="25"/>
        <v>0.3600000000000001</v>
      </c>
      <c r="V56" s="10">
        <f t="shared" si="10"/>
        <v>339.06069853296356</v>
      </c>
      <c r="W56" s="10">
        <f t="shared" si="11"/>
        <v>481.65816124398054</v>
      </c>
      <c r="X56" s="10">
        <f t="shared" si="12"/>
        <v>524.44248238410262</v>
      </c>
      <c r="Y56" s="10">
        <f t="shared" si="21"/>
        <v>524.44248238410273</v>
      </c>
      <c r="Z56" s="10">
        <f t="shared" si="22"/>
        <v>457.18427585447284</v>
      </c>
      <c r="AA56" s="10">
        <f t="shared" si="23"/>
        <v>457.1842758544729</v>
      </c>
      <c r="AB56" s="10">
        <f t="shared" si="13"/>
        <v>240.65830746121</v>
      </c>
      <c r="AC56" s="10">
        <f t="shared" si="14"/>
        <v>341.87105247347222</v>
      </c>
      <c r="AD56" s="10">
        <f t="shared" si="15"/>
        <v>161.69947414591473</v>
      </c>
      <c r="AE56" s="10">
        <f t="shared" si="16"/>
        <v>430.91289045880058</v>
      </c>
      <c r="AF56" s="10">
        <f t="shared" si="17"/>
        <v>22.691275793164802</v>
      </c>
      <c r="AG56" s="10">
        <f t="shared" si="26"/>
        <v>600</v>
      </c>
      <c r="AH56" s="10">
        <f t="shared" si="18"/>
        <v>2.3797692334366762</v>
      </c>
      <c r="AI56" s="10">
        <f t="shared" si="19"/>
        <v>2.0328561335210908</v>
      </c>
      <c r="AJ56" s="10">
        <f t="shared" si="20"/>
        <v>2.823699399750597</v>
      </c>
    </row>
    <row r="57" spans="10:36">
      <c r="J57" s="10">
        <f t="shared" si="24"/>
        <v>32</v>
      </c>
      <c r="K57" s="10">
        <f t="shared" si="0"/>
        <v>49.035873969648542</v>
      </c>
      <c r="L57" s="10">
        <f t="shared" si="1"/>
        <v>0.10258840160428714</v>
      </c>
      <c r="M57" s="10">
        <f t="shared" si="2"/>
        <v>19.171298018662743</v>
      </c>
      <c r="N57" s="10">
        <f t="shared" si="3"/>
        <v>0.29543458995224992</v>
      </c>
      <c r="O57" s="10">
        <f t="shared" si="4"/>
        <v>7.6303771872915132</v>
      </c>
      <c r="P57" s="10">
        <f t="shared" si="5"/>
        <v>0.28311939620619536</v>
      </c>
      <c r="Q57" s="10">
        <f t="shared" si="6"/>
        <v>49.035873969648542</v>
      </c>
      <c r="R57" s="10">
        <f t="shared" si="7"/>
        <v>7.126982728844454E-2</v>
      </c>
      <c r="S57" s="10">
        <f t="shared" si="8"/>
        <v>8.9545445333332321E-2</v>
      </c>
      <c r="T57" s="10">
        <f t="shared" si="9"/>
        <v>22.691275793164802</v>
      </c>
      <c r="U57" s="10">
        <f t="shared" si="25"/>
        <v>0.39000000000000012</v>
      </c>
      <c r="V57" s="10">
        <f t="shared" si="10"/>
        <v>343.81961877013833</v>
      </c>
      <c r="W57" s="10">
        <f t="shared" si="11"/>
        <v>488.41852238539877</v>
      </c>
      <c r="X57" s="10">
        <f t="shared" si="12"/>
        <v>532.02015688274287</v>
      </c>
      <c r="Y57" s="10">
        <f t="shared" si="21"/>
        <v>532.02015688274298</v>
      </c>
      <c r="Z57" s="10">
        <f t="shared" si="22"/>
        <v>454.88185195548539</v>
      </c>
      <c r="AA57" s="10">
        <f t="shared" si="23"/>
        <v>454.88185195548544</v>
      </c>
      <c r="AB57" s="10">
        <f t="shared" si="13"/>
        <v>238.85706829360117</v>
      </c>
      <c r="AC57" s="10">
        <f t="shared" si="14"/>
        <v>339.31227303018989</v>
      </c>
      <c r="AD57" s="10">
        <f t="shared" si="15"/>
        <v>161.25390693782475</v>
      </c>
      <c r="AE57" s="10">
        <f t="shared" si="16"/>
        <v>429.72549851120243</v>
      </c>
      <c r="AF57" s="10">
        <f t="shared" si="17"/>
        <v>22.691275793164802</v>
      </c>
      <c r="AG57" s="10">
        <f t="shared" si="26"/>
        <v>650</v>
      </c>
      <c r="AH57" s="10">
        <f t="shared" si="18"/>
        <v>2.5384205156657877</v>
      </c>
      <c r="AI57" s="10">
        <f t="shared" si="19"/>
        <v>2.1683798757558304</v>
      </c>
      <c r="AJ57" s="10">
        <f t="shared" si="20"/>
        <v>3.0119460264006368</v>
      </c>
    </row>
  </sheetData>
  <mergeCells count="1">
    <mergeCell ref="V41:AE41"/>
  </mergeCells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3:T40"/>
  <sheetViews>
    <sheetView workbookViewId="0">
      <selection activeCell="B25" sqref="B25"/>
    </sheetView>
  </sheetViews>
  <sheetFormatPr defaultRowHeight="14.5"/>
  <cols>
    <col min="1" max="1" width="12.81640625" customWidth="1"/>
    <col min="2" max="2" width="11" customWidth="1"/>
    <col min="3" max="3" width="11.54296875" customWidth="1"/>
    <col min="4" max="4" width="11.1796875" customWidth="1"/>
    <col min="5" max="9" width="11" customWidth="1"/>
    <col min="10" max="10" width="12" customWidth="1"/>
    <col min="11" max="11" width="14" customWidth="1"/>
    <col min="12" max="13" width="12" customWidth="1"/>
    <col min="14" max="14" width="13" customWidth="1"/>
  </cols>
  <sheetData>
    <row r="3" spans="1:20" ht="15.5">
      <c r="C3" s="47" t="s">
        <v>203</v>
      </c>
      <c r="D3" s="46"/>
      <c r="E3" s="2"/>
      <c r="G3" s="40"/>
      <c r="H3" s="47" t="s">
        <v>249</v>
      </c>
      <c r="I3" s="48"/>
      <c r="J3" s="48"/>
      <c r="K3" s="48"/>
      <c r="L3" s="48"/>
      <c r="M3" s="85"/>
      <c r="N3" s="48"/>
      <c r="P3" s="40"/>
    </row>
    <row r="4" spans="1:20" ht="22.5" customHeight="1">
      <c r="E4" s="65" t="s">
        <v>277</v>
      </c>
      <c r="F4" s="65" t="s">
        <v>278</v>
      </c>
      <c r="G4" s="65" t="s">
        <v>202</v>
      </c>
      <c r="H4" s="65" t="s">
        <v>279</v>
      </c>
      <c r="I4" s="65" t="s">
        <v>280</v>
      </c>
      <c r="J4" s="65" t="s">
        <v>281</v>
      </c>
      <c r="K4" s="65" t="s">
        <v>282</v>
      </c>
      <c r="L4" s="53" t="s">
        <v>362</v>
      </c>
      <c r="M4" s="53" t="s">
        <v>363</v>
      </c>
      <c r="N4" s="53" t="s">
        <v>243</v>
      </c>
      <c r="O4" t="s">
        <v>242</v>
      </c>
      <c r="P4" s="40"/>
      <c r="R4" t="s">
        <v>253</v>
      </c>
      <c r="S4" s="3">
        <v>29.97</v>
      </c>
      <c r="T4" t="s">
        <v>176</v>
      </c>
    </row>
    <row r="5" spans="1:20" ht="16.5">
      <c r="A5" s="40"/>
      <c r="B5" s="40"/>
      <c r="C5" s="40" t="s">
        <v>204</v>
      </c>
      <c r="D5" s="40" t="s">
        <v>205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R5" t="s">
        <v>254</v>
      </c>
      <c r="S5" s="3">
        <f>'Drag analysis'!P8-0.966</f>
        <v>8.1340000000000003</v>
      </c>
      <c r="T5" t="s">
        <v>184</v>
      </c>
    </row>
    <row r="6" spans="1:20">
      <c r="A6" s="228" t="s">
        <v>751</v>
      </c>
      <c r="B6" s="24"/>
      <c r="C6" s="56">
        <f>0.09*Table9[[#Headers],[5850]]</f>
        <v>526.5</v>
      </c>
      <c r="D6" s="56">
        <f>0.11*Table9[[#Headers],[5850]]</f>
        <v>643.5</v>
      </c>
      <c r="E6" s="58">
        <f>0.036*('Sref and POWER SIZING'!H80*10.7639)^0.758*('MTOW &amp; WEIGHTS'!I35)^0.0035*('Sref and POWER SIZING'!B17/((COS(RADIANS('Wing &amp; Airfoil'!B12)))^2))^0.6*([1]cruise!$B$12)^0.006*(Table12[[#This Row],[Column2]])^0.04*((100*'Wing &amp; Airfoil'!B32)/(COS(RADIANS('Wing &amp; Airfoil'!B12))))^(-0.3)*('V-n'!C4*Table9[[#Headers],[5850]])^0.49</f>
        <v>754.50693894212691</v>
      </c>
      <c r="F6" s="58"/>
      <c r="G6" s="87">
        <f>Table20[[#This Row],[Column11]]</f>
        <v>595.80426664322999</v>
      </c>
      <c r="H6" s="87">
        <f>0.00125*Table9[[#Headers],[5850]]*( (Table12[[#This Row],[Column2]]*3.28)/(COS(RADIANS('Wing &amp; Airfoil'!B14))))^0.75* ( 1+( (6.3*COS(RADIANS('Wing &amp; Airfoil'!B14)))/(Table12[[#This Row],[Column2]]*3.28))^0.5)*'V-n'!C4^0.55* ( (Table12[[#This Row],[Column2]]*3.28*'Sref and POWER SIZING'!H80*10.7639)/('Wing &amp; Airfoil'!B32*'Wing &amp; Airfoil'!B8*3.28*Table9[[#Headers],[5850]]*COS(RADIANS('Wing &amp; Airfoil'!B14))))^0.3</f>
        <v>578.02797982962784</v>
      </c>
      <c r="I6" s="58"/>
      <c r="J6" s="58">
        <f>0.04674*Table9[[#Headers],[5850]]^0.397*('Sref and POWER SIZING'!H80*10.7639)^0.36*'V-n'!C4^0.397*'PERFORMANCE SIZING '!B7^1.712</f>
        <v>725.54544808308447</v>
      </c>
      <c r="K6" s="58">
        <f>96.948*( (('V-n'!C4*Table9[[#Headers],[5850]])/(10^5))^0.65*('Sref and POWER SIZING'!B17/(COS(RADIANS('Wing &amp; Airfoil'!B12)))^2)^0.57*(('Sref and POWER SIZING'!H80*10.7639)/100)^0.61*((1+'Wing &amp; Airfoil'!B5)/(2*'Wing &amp; Airfoil'!B32))^0.36* SQRT(1+('[1]take-off'!$B$17/500)))^0.993</f>
        <v>595.80426664322999</v>
      </c>
      <c r="L6" s="60">
        <f>AVERAGE(E6:K6)</f>
        <v>649.93778002825979</v>
      </c>
      <c r="M6" s="89">
        <f>Table20[[#This Row],[Column12]]/Table9[[#Headers],[5850]]</f>
        <v>0.11110047521850595</v>
      </c>
      <c r="N6" s="54">
        <f>3.819138</f>
        <v>3.8191380000000001</v>
      </c>
      <c r="O6" s="40">
        <f t="shared" ref="O6:O18" si="0">L6*N6</f>
        <v>2482.2020733415679</v>
      </c>
      <c r="P6" s="40"/>
      <c r="R6" s="1" t="s">
        <v>255</v>
      </c>
      <c r="S6" s="3">
        <v>0</v>
      </c>
    </row>
    <row r="7" spans="1:20" ht="16.5">
      <c r="A7" s="228" t="s">
        <v>752</v>
      </c>
      <c r="B7" s="55"/>
      <c r="C7" s="57" t="s">
        <v>206</v>
      </c>
      <c r="D7" s="57" t="s">
        <v>206</v>
      </c>
      <c r="E7" s="58">
        <f>0.095*('V-n'!C5*Table9[[#Headers],[5850]])^0.768*('Detailed Weights'!S11/12)^0.409</f>
        <v>349.93743799415648</v>
      </c>
      <c r="F7" s="58"/>
      <c r="G7" s="58"/>
      <c r="H7" s="58">
        <f>1*(20+(0.1*Table9[[#Headers],[5850]]^0.75)+(0.019*Table9[[#Headers],[5850]]))</f>
        <v>198.04087847515285</v>
      </c>
      <c r="I7" s="87"/>
      <c r="J7" s="58"/>
      <c r="K7" s="58">
        <f>0.054*('V-n'!C5*Table9[[#Headers],[5850]])^0.684*('Detailed Weights'!S11/12)^0.601</f>
        <v>101.81750382569537</v>
      </c>
      <c r="L7" s="60">
        <f t="shared" ref="L7:L18" si="1">AVERAGE(E7:K7)</f>
        <v>216.59860676500156</v>
      </c>
      <c r="M7" s="89">
        <f>Table20[[#This Row],[Column12]]/Table9[[#Headers],[5850]]</f>
        <v>3.7025402865812233E-2</v>
      </c>
      <c r="N7" s="54">
        <f>3.728233</f>
        <v>3.7282329999999999</v>
      </c>
      <c r="O7" s="40">
        <f t="shared" si="0"/>
        <v>807.53007349530208</v>
      </c>
      <c r="P7" s="40"/>
      <c r="R7" s="1" t="s">
        <v>256</v>
      </c>
      <c r="S7" s="3">
        <v>40</v>
      </c>
      <c r="T7" t="s">
        <v>257</v>
      </c>
    </row>
    <row r="8" spans="1:20" ht="16.5">
      <c r="A8" s="228" t="s">
        <v>753</v>
      </c>
      <c r="B8" s="55"/>
      <c r="C8" s="57" t="s">
        <v>206</v>
      </c>
      <c r="D8" s="57" t="s">
        <v>206</v>
      </c>
      <c r="E8" s="58">
        <f>0.125*('V-n'!C5*Table9[[#Headers],[5850]])^0.566*('Detailed Weights'!S12/12)^0.845</f>
        <v>89.743454129673893</v>
      </c>
      <c r="F8" s="58"/>
      <c r="G8" s="58"/>
      <c r="H8" s="58">
        <f>1*(25+0.0024*Table9[[#Headers],[5850]])</f>
        <v>39.04</v>
      </c>
      <c r="I8" s="58"/>
      <c r="J8" s="58"/>
      <c r="K8" s="58"/>
      <c r="L8" s="60">
        <f t="shared" si="1"/>
        <v>64.391727064836942</v>
      </c>
      <c r="M8" s="89">
        <f>Table20[[#This Row],[Column12]]/Table9[[#Headers],[5850]]</f>
        <v>1.1007132831596059E-2</v>
      </c>
      <c r="N8" s="54">
        <f>0.8</f>
        <v>0.8</v>
      </c>
      <c r="O8" s="40">
        <f t="shared" si="0"/>
        <v>51.513381651869558</v>
      </c>
      <c r="P8" s="40"/>
      <c r="R8" s="1" t="s">
        <v>258</v>
      </c>
      <c r="S8" s="3">
        <v>5</v>
      </c>
      <c r="T8" t="s">
        <v>12</v>
      </c>
    </row>
    <row r="9" spans="1:20" ht="16.5">
      <c r="A9" s="228" t="s">
        <v>754</v>
      </c>
      <c r="B9" s="55"/>
      <c r="C9" s="56">
        <f>0.018*Table9[[#Headers],[5850]]</f>
        <v>105.3</v>
      </c>
      <c r="D9" s="56">
        <f>0.022*Table9[[#Headers],[5850]]</f>
        <v>128.69999999999999</v>
      </c>
      <c r="E9" s="58">
        <f>0.016* ('V-n'!C4*Table9[[#Headers],[5850]])^0.414*[1]cruise!$B$12^0.168*([2]Aileron!$B$8*10.7639)^0.896*((100*'Wing &amp; Airfoil'!B32)/COS(RADIANS([2]Aileron!$B$20)))^(-0.12)*([2]Aileron!$B$17/(COS(RADIANS([2]Aileron!$B$19)))^2)^0.043*[2]Aileron!$B$20^(-0.02)</f>
        <v>79.738373715425126</v>
      </c>
      <c r="F9" s="58"/>
      <c r="G9" s="87">
        <f>127*(((Table9[[#Headers],[5850]]*'V-n'!C4)/(10^5))^0.87* (([2]Aileron!$B$8*10.7639)/100)^1.2*0.289*([2]Elevator!$H$9*3.28*0.1)^0.483*( ([2]Elevator!$E$39*3.28)/([2]Aileron!$L$8*[2]Aileron!$L$7*3.28))^0.5)^0.459</f>
        <v>97.07491774076793</v>
      </c>
      <c r="H9" s="59"/>
      <c r="I9" s="58"/>
      <c r="J9" s="101"/>
      <c r="K9" s="58">
        <f>127*(  (('V-n'!C4*Table9[[#Headers],[5850]])/(10^5))^0.87* ((10.7639*[2]Aileron!$B$8)/100)^1.2*([2]Elevator!$H$9*3.28/10)^0.483*SQRT( ([2]Aileron!$L$6*3.28)/([2]Aileron!$L$8*[2]Aileron!$L$7*3.28*12)))^0.458</f>
        <v>97.081740765752087</v>
      </c>
      <c r="L9" s="60">
        <f t="shared" si="1"/>
        <v>91.29834407398171</v>
      </c>
      <c r="M9" s="89">
        <f>Table20[[#This Row],[Column12]]/Table9[[#Headers],[5850]]</f>
        <v>1.5606554542560975E-2</v>
      </c>
      <c r="N9" s="54">
        <v>8.1646439999999991</v>
      </c>
      <c r="O9" s="40">
        <f t="shared" si="0"/>
        <v>745.41847715357028</v>
      </c>
      <c r="P9" s="40"/>
      <c r="R9" s="1" t="s">
        <v>259</v>
      </c>
      <c r="S9" s="3">
        <v>3.75</v>
      </c>
      <c r="T9" t="s">
        <v>12</v>
      </c>
    </row>
    <row r="10" spans="1:20" ht="16.5">
      <c r="A10" s="228" t="s">
        <v>755</v>
      </c>
      <c r="B10" s="55"/>
      <c r="C10" s="56">
        <f>0.014*Table9[[#Headers],[5850]]</f>
        <v>81.900000000000006</v>
      </c>
      <c r="D10" s="56">
        <f>0.016*Table9[[#Headers],[5850]]</f>
        <v>93.600000000000009</v>
      </c>
      <c r="E10" s="58">
        <f>0.073*('V-n'!C4*Table9[[#Headers],[5850]])^0.376*[1]cruise!$B$12^0.122*([2]Rudder!$B$2*10.7639)^0.873*((100*[2]Rudder!$K$5)/COS(RADIANS([2]Rudder!$K$4)))^(-0.49)*([2]Rudder!$K$3/(COS(RADIANS([2]Rudder!$K$4)))^2)^0.357*[2]Rudder!$K$8^0.039</f>
        <v>60.230103231809913</v>
      </c>
      <c r="F10" s="58"/>
      <c r="G10" s="87"/>
      <c r="H10" s="58"/>
      <c r="I10" s="87"/>
      <c r="J10" s="87"/>
      <c r="K10" s="58"/>
      <c r="L10" s="60">
        <f t="shared" si="1"/>
        <v>60.230103231809913</v>
      </c>
      <c r="M10" s="89">
        <f>Table20[[#This Row],[Column12]]/Table9[[#Headers],[5850]]</f>
        <v>1.029574414218973E-2</v>
      </c>
      <c r="N10" s="54">
        <f>7.897237</f>
        <v>7.8972369999999996</v>
      </c>
      <c r="O10" s="40">
        <f t="shared" si="0"/>
        <v>475.65139975606883</v>
      </c>
      <c r="P10" s="40"/>
      <c r="R10" s="1" t="s">
        <v>260</v>
      </c>
      <c r="S10" s="3">
        <f>S8</f>
        <v>5</v>
      </c>
      <c r="T10" t="s">
        <v>12</v>
      </c>
    </row>
    <row r="11" spans="1:20">
      <c r="A11" s="228" t="s">
        <v>756</v>
      </c>
      <c r="B11" s="55"/>
      <c r="C11" s="56">
        <f>0.06*Table9[[#Headers],[5850]]</f>
        <v>351</v>
      </c>
      <c r="D11" s="56">
        <f>0.1*Table9[[#Headers],[5850]]</f>
        <v>585</v>
      </c>
      <c r="E11" s="58">
        <f>(0.052*(S4*10.7639)^1.086*('V-n'!C4*Table9[[#Headers],[5850]])^0.177*[2]Elevator!$H$9^(-0.051)*(('Detailed Weights'!S5*3.28)/'Detailed Weights'!S8)^(-0.072)*[1]cruise!$B$12^0.241)  + (11.9*('Detailed Weights'!S7*'Detailed Weights'!S6)^0.271)</f>
        <v>363.0369778247001</v>
      </c>
      <c r="F11" s="58"/>
      <c r="G11" s="58"/>
      <c r="H11" s="58"/>
      <c r="I11" s="58"/>
      <c r="J11" s="58"/>
      <c r="K11" s="58">
        <f>200*( (('V-n'!C4*Table9[[#Headers],[5850]])/(10^5))^0.286*(('Detailed Weights'!S5*3.28)/10)^0.857*(('Detailed Weights'!S9+'Detailed Weights'!S10)/10)*('[1]take-off'!$B$17/100)^0.338)^1.1</f>
        <v>375.51149823591999</v>
      </c>
      <c r="L11" s="60">
        <f t="shared" si="1"/>
        <v>369.27423803031002</v>
      </c>
      <c r="M11" s="89">
        <f>Table20[[#This Row],[Column12]]/Table9[[#Headers],[5850]]</f>
        <v>6.312380137270257E-2</v>
      </c>
      <c r="N11" s="54">
        <f>0.38*'Drag analysis'!P8</f>
        <v>3.4579999999999997</v>
      </c>
      <c r="O11" s="40">
        <f t="shared" si="0"/>
        <v>1276.950315108812</v>
      </c>
      <c r="P11" s="40"/>
      <c r="R11" s="1" t="s">
        <v>261</v>
      </c>
      <c r="S11" s="3">
        <v>31.5</v>
      </c>
      <c r="T11" t="s">
        <v>262</v>
      </c>
    </row>
    <row r="12" spans="1:20">
      <c r="A12" s="228" t="s">
        <v>757</v>
      </c>
      <c r="B12" s="55"/>
      <c r="C12" s="56">
        <f>0.18*Table9[[#Headers],[5850]]</f>
        <v>1053</v>
      </c>
      <c r="D12" s="56">
        <f>0.2*Table9[[#Headers],[5850]]</f>
        <v>1170</v>
      </c>
      <c r="E12" s="58">
        <f>2.575*S13^0.922*S14</f>
        <v>1326.6075426504374</v>
      </c>
      <c r="F12" s="58"/>
      <c r="G12" s="58"/>
      <c r="H12" s="87">
        <f>1.35*((S13*S14)+(0.24*'[1]take-off'!$C$7))</f>
        <v>1280.8800000000001</v>
      </c>
      <c r="I12" s="58"/>
      <c r="J12" s="58">
        <f>0.24*Table9[[#Headers],[5850]]</f>
        <v>1404</v>
      </c>
      <c r="K12" s="58">
        <f>E12</f>
        <v>1326.6075426504374</v>
      </c>
      <c r="L12" s="60">
        <f t="shared" si="1"/>
        <v>1334.5237713252188</v>
      </c>
      <c r="M12" s="89">
        <f>Table20[[#This Row],[Column12]]/Table9[[#Headers],[5850]]</f>
        <v>0.2281237215940545</v>
      </c>
      <c r="N12" s="54">
        <f>2.3286175</f>
        <v>2.3286175</v>
      </c>
      <c r="O12" s="40">
        <f t="shared" si="0"/>
        <v>3107.5954080739029</v>
      </c>
      <c r="P12" s="40"/>
      <c r="R12" s="1" t="s">
        <v>263</v>
      </c>
      <c r="S12" s="3">
        <v>31.5</v>
      </c>
      <c r="T12" t="s">
        <v>262</v>
      </c>
    </row>
    <row r="13" spans="1:20" ht="16.5">
      <c r="A13" s="228" t="s">
        <v>758</v>
      </c>
      <c r="B13" s="52"/>
      <c r="C13" s="56">
        <f>0.014*Table9[[#Headers],[5850]]</f>
        <v>81.900000000000006</v>
      </c>
      <c r="D13" s="56">
        <f>0.018*Table9[[#Headers],[5850]]</f>
        <v>105.3</v>
      </c>
      <c r="E13" s="58">
        <f>2.49*'MTOW &amp; WEIGHTS'!K35^0.726*('MTOW &amp; WEIGHTS'!K35/('MTOW &amp; WEIGHTS'!K35+S20))^0.363*'Detailed Weights'!S15^0.242*'Detailed Weights'!S14^0.157</f>
        <v>120.81825503714408</v>
      </c>
      <c r="F13" s="58"/>
      <c r="G13" s="58"/>
      <c r="H13" s="87">
        <f>4.5*('MTOW &amp; WEIGHTS'!I35/5.87)^0.6</f>
        <v>88.568743539957296</v>
      </c>
      <c r="I13" s="87">
        <f>4.5*('MTOW &amp; WEIGHTS'!I35/5.87)^0.6</f>
        <v>88.568743539957296</v>
      </c>
      <c r="J13" s="87">
        <f>(0.4*'MTOW &amp; WEIGHTS'!I35)/5.87</f>
        <v>57.390491115107551</v>
      </c>
      <c r="K13" s="58">
        <f>2.49*('MTOW &amp; WEIGHTS'!K35^0.6*('MTOW &amp; WEIGHTS'!K35/('MTOW &amp; WEIGHTS'!K35+S20))^0.3*'Detailed Weights'!S15^0.2*'Detailed Weights'!S14^0.13)^1.21</f>
        <v>120.84338109931417</v>
      </c>
      <c r="L13" s="60">
        <f t="shared" si="1"/>
        <v>95.237922866296088</v>
      </c>
      <c r="M13" s="89">
        <f>Table20[[#This Row],[Column12]]/Table9[[#Headers],[5850]]</f>
        <v>1.6279986814751467E-2</v>
      </c>
      <c r="N13" s="54">
        <v>2.6</v>
      </c>
      <c r="O13" s="40">
        <f t="shared" si="0"/>
        <v>247.61859945236984</v>
      </c>
      <c r="P13" s="40"/>
      <c r="R13" s="1" t="s">
        <v>266</v>
      </c>
      <c r="S13" s="23">
        <f>'Sref and POWER SIZING'!M100</f>
        <v>412</v>
      </c>
      <c r="T13" t="s">
        <v>269</v>
      </c>
    </row>
    <row r="14" spans="1:20" ht="16.5">
      <c r="A14" s="228" t="s">
        <v>759</v>
      </c>
      <c r="B14" s="55"/>
      <c r="C14" s="56">
        <f>0.014*Table9[[#Headers],[5850]]</f>
        <v>81.900000000000006</v>
      </c>
      <c r="D14" s="56">
        <f>0.016*Table9[[#Headers],[5850]]</f>
        <v>93.600000000000009</v>
      </c>
      <c r="E14" s="58">
        <f>0.053*(3.28*S5)^1.536*('Wing &amp; Airfoil'!B6*3.28)^0.371*('V-n'!C4*Table9[[#Headers],[5850]]*10^(-4))^0.8</f>
        <v>88.317701270839166</v>
      </c>
      <c r="F14" s="58"/>
      <c r="G14" s="58"/>
      <c r="H14" s="58">
        <f>0.23*Table9[[#Headers],[5850]]^(2/3)</f>
        <v>74.673254566163848</v>
      </c>
      <c r="I14" s="58"/>
      <c r="J14" s="58">
        <f>0.0168*Table9[[#Headers],[5850]]</f>
        <v>98.279999999999987</v>
      </c>
      <c r="K14" s="58"/>
      <c r="L14" s="60">
        <f t="shared" si="1"/>
        <v>87.090318612334329</v>
      </c>
      <c r="M14" s="89">
        <f>Table20[[#This Row],[Column12]]/Table9[[#Headers],[5850]]</f>
        <v>1.4887233950826381E-2</v>
      </c>
      <c r="N14" s="54">
        <v>2.2999999999999998</v>
      </c>
      <c r="O14" s="40">
        <f t="shared" si="0"/>
        <v>200.30773280836894</v>
      </c>
      <c r="P14" s="40"/>
      <c r="R14" s="1" t="s">
        <v>270</v>
      </c>
      <c r="S14" s="23">
        <f>'Sref and POWER SIZING'!K86</f>
        <v>2</v>
      </c>
    </row>
    <row r="15" spans="1:20" ht="16.5">
      <c r="A15" s="228" t="s">
        <v>760</v>
      </c>
      <c r="B15" s="55"/>
      <c r="C15" s="56">
        <f>0.06*Table9[[#Headers],[5850]]</f>
        <v>351</v>
      </c>
      <c r="D15" s="56">
        <f>0.06*Table9[[#Headers],[5850]]</f>
        <v>351</v>
      </c>
      <c r="E15" s="58">
        <f>0.001*Table9[[#Headers],[5850]]</f>
        <v>5.8500000000000005</v>
      </c>
      <c r="F15" s="58"/>
      <c r="G15" s="58"/>
      <c r="H15" s="58"/>
      <c r="I15" s="58"/>
      <c r="J15" s="58"/>
      <c r="K15" s="58"/>
      <c r="L15" s="60">
        <f t="shared" si="1"/>
        <v>5.8500000000000005</v>
      </c>
      <c r="M15" s="89">
        <f>Table20[[#This Row],[Column12]]/Table9[[#Headers],[5850]]</f>
        <v>1E-3</v>
      </c>
      <c r="N15" s="54">
        <v>2.6</v>
      </c>
      <c r="O15" s="40">
        <f t="shared" si="0"/>
        <v>15.210000000000003</v>
      </c>
      <c r="P15" s="40"/>
      <c r="R15" s="1" t="s">
        <v>273</v>
      </c>
      <c r="S15" s="3">
        <v>2</v>
      </c>
    </row>
    <row r="16" spans="1:20" ht="16.5">
      <c r="A16" s="228" t="s">
        <v>761</v>
      </c>
      <c r="B16" s="55"/>
      <c r="C16" s="56">
        <f>0.004*Table9[[#Headers],[5850]]</f>
        <v>23.400000000000002</v>
      </c>
      <c r="D16" s="56">
        <f>0.006*Table9[[#Headers],[5850]]</f>
        <v>35.1</v>
      </c>
      <c r="E16" s="58">
        <f>0.04*'MTOW &amp; WEIGHTS'!I34</f>
        <v>147.51178171543185</v>
      </c>
      <c r="F16" s="58"/>
      <c r="G16" s="58"/>
      <c r="H16" s="58"/>
      <c r="I16" s="58"/>
      <c r="J16" s="58"/>
      <c r="K16" s="58"/>
      <c r="L16" s="60">
        <f t="shared" si="1"/>
        <v>147.51178171543185</v>
      </c>
      <c r="M16" s="89">
        <f>Table20[[#This Row],[Column12]]/Table9[[#Headers],[5850]]</f>
        <v>2.5215689182125103E-2</v>
      </c>
      <c r="N16" s="54">
        <v>2.3214419999999998</v>
      </c>
      <c r="O16" s="40">
        <f t="shared" si="0"/>
        <v>342.44004556903553</v>
      </c>
      <c r="P16" s="40"/>
      <c r="R16" s="1" t="s">
        <v>274</v>
      </c>
      <c r="S16" s="3">
        <v>2.6</v>
      </c>
      <c r="T16" t="s">
        <v>184</v>
      </c>
    </row>
    <row r="17" spans="1:20">
      <c r="A17" s="228" t="s">
        <v>762</v>
      </c>
      <c r="B17" s="55"/>
      <c r="C17" s="56">
        <f>0.02*Table9[[#Headers],[5850]]</f>
        <v>117</v>
      </c>
      <c r="D17" s="56">
        <f>0.03*Table9[[#Headers],[5850]]</f>
        <v>175.5</v>
      </c>
      <c r="E17" s="58">
        <f>12.57*(L13+E16)^0.51</f>
        <v>206.90272941291087</v>
      </c>
      <c r="F17" s="58"/>
      <c r="G17" s="58">
        <f>426*((L13+S17)/1000)^0.51</f>
        <v>178.68666921546972</v>
      </c>
      <c r="H17" s="58"/>
      <c r="I17" s="58"/>
      <c r="J17" s="58">
        <f>0.0268*Table9[[#Headers],[5850]]</f>
        <v>156.78</v>
      </c>
      <c r="K17" s="58">
        <f>E17</f>
        <v>206.90272941291087</v>
      </c>
      <c r="L17" s="60">
        <f t="shared" si="1"/>
        <v>187.31803201032287</v>
      </c>
      <c r="M17" s="89">
        <f>Table20[[#This Row],[Column12]]/Table9[[#Headers],[5850]]</f>
        <v>3.2020176412021005E-2</v>
      </c>
      <c r="N17" s="54">
        <v>2</v>
      </c>
      <c r="O17" s="40">
        <f t="shared" si="0"/>
        <v>374.63606402064573</v>
      </c>
      <c r="P17" s="40"/>
      <c r="R17" s="1" t="s">
        <v>290</v>
      </c>
      <c r="S17">
        <f>40+(0.008*Table9[[#Headers],[5850]])</f>
        <v>86.800000000000011</v>
      </c>
      <c r="T17" t="s">
        <v>269</v>
      </c>
    </row>
    <row r="18" spans="1:20" ht="16.5">
      <c r="A18" s="228" t="s">
        <v>763</v>
      </c>
      <c r="B18" s="55"/>
      <c r="C18" s="56">
        <f>0.04*Table9[[#Headers],[5850]]</f>
        <v>234</v>
      </c>
      <c r="D18" s="56">
        <f>0.06*Table9[[#Headers],[5850]]</f>
        <v>351</v>
      </c>
      <c r="E18" s="58">
        <f>(0.0582*Table9[[#Headers],[5850]])-65</f>
        <v>275.47000000000003</v>
      </c>
      <c r="F18" s="58"/>
      <c r="G18" s="58"/>
      <c r="H18" s="58"/>
      <c r="I18" s="58"/>
      <c r="J18" s="58">
        <f>0.412*('MTOW &amp; WEIGHTS'!B7+'MTOW &amp; WEIGHTS'!B14)^1.145*Table9[[#Headers],[5850]]^0.489</f>
        <v>222.85358056225792</v>
      </c>
      <c r="K18" s="58">
        <f>34.5*'MTOW &amp; WEIGHTS'!B14*(('[1]take-off'!$B$17*1.688)^2*'Sref and POWER SIZING'!B2*0.5)^0.25</f>
        <v>217.04772405716938</v>
      </c>
      <c r="L18" s="60">
        <f t="shared" si="1"/>
        <v>238.45710153980909</v>
      </c>
      <c r="M18" s="89">
        <f>Table20[[#This Row],[Column12]]/Table9[[#Headers],[5850]]</f>
        <v>4.0761897699112662E-2</v>
      </c>
      <c r="N18" s="54">
        <f>(N24+N26)/2</f>
        <v>3.5506500000000001</v>
      </c>
      <c r="O18" s="40">
        <f t="shared" si="0"/>
        <v>846.67770758232314</v>
      </c>
      <c r="P18" s="40"/>
      <c r="R18" s="1" t="s">
        <v>532</v>
      </c>
      <c r="S18">
        <v>0</v>
      </c>
    </row>
    <row r="19" spans="1:20" ht="16.5">
      <c r="A19" s="24"/>
      <c r="B19" s="55"/>
      <c r="C19" s="40"/>
      <c r="D19" s="40"/>
      <c r="E19" s="40"/>
      <c r="F19" s="40"/>
      <c r="G19" s="40"/>
      <c r="H19" s="40"/>
      <c r="I19" s="40"/>
      <c r="J19" s="40"/>
      <c r="K19" s="41" t="s">
        <v>276</v>
      </c>
      <c r="L19" s="61">
        <f>SUM(L6:L18)</f>
        <v>3547.7197272636131</v>
      </c>
      <c r="M19" s="90">
        <f>Table20[[#This Row],[Column12]]/Table9[[#Headers],[5850]]</f>
        <v>0.60644781662625868</v>
      </c>
      <c r="N19" s="40"/>
      <c r="O19" s="40">
        <f>SUM(O6:O18)</f>
        <v>10973.751278013837</v>
      </c>
      <c r="P19" s="40"/>
      <c r="R19" s="1" t="s">
        <v>533</v>
      </c>
      <c r="S19">
        <v>0</v>
      </c>
    </row>
    <row r="20" spans="1:20" ht="16.5">
      <c r="A20" s="78"/>
      <c r="B20" s="55"/>
      <c r="C20" s="40"/>
      <c r="D20" s="40"/>
      <c r="E20" s="40"/>
      <c r="F20" s="40"/>
      <c r="G20" s="40"/>
      <c r="H20" s="40"/>
      <c r="I20" s="40"/>
      <c r="J20" s="24"/>
      <c r="K20" s="79" t="s">
        <v>360</v>
      </c>
      <c r="L20" s="61">
        <f>'MTOW &amp; WEIGHTS'!I34</f>
        <v>3687.7945428857965</v>
      </c>
      <c r="M20" s="90">
        <f>Table20[[#This Row],[Column12]]/Table9[[#Headers],[5850]]</f>
        <v>0.63039222955312757</v>
      </c>
      <c r="N20" s="40"/>
      <c r="O20" s="40"/>
      <c r="P20" s="40"/>
      <c r="R20" s="1" t="s">
        <v>534</v>
      </c>
      <c r="S20">
        <f>S18*S19</f>
        <v>0</v>
      </c>
    </row>
    <row r="21" spans="1:20">
      <c r="A21" s="78"/>
      <c r="B21" s="55"/>
      <c r="C21" s="40"/>
      <c r="D21" s="40"/>
      <c r="E21" s="40"/>
      <c r="F21" s="40"/>
      <c r="G21" s="40"/>
      <c r="H21" s="40"/>
      <c r="I21" s="40"/>
      <c r="J21" s="40"/>
      <c r="K21" s="41" t="s">
        <v>250</v>
      </c>
      <c r="L21" s="62">
        <f>(L19-L20)/L20</f>
        <v>-3.798335671720237E-2</v>
      </c>
      <c r="M21" s="62"/>
      <c r="N21" s="40"/>
      <c r="O21" s="40"/>
      <c r="P21" s="40"/>
    </row>
    <row r="22" spans="1:20">
      <c r="K22" s="84" t="s">
        <v>283</v>
      </c>
      <c r="L22">
        <f>'MTOW &amp; WEIGHTS'!I35</f>
        <v>842.20545711420323</v>
      </c>
      <c r="M22" s="91">
        <f>Table22[[#This Row],[Column2]]/Table9[[#Headers],[5850]]</f>
        <v>0.1439667448058467</v>
      </c>
      <c r="N22" s="3">
        <f>3.435081</f>
        <v>3.4350809999999998</v>
      </c>
      <c r="O22">
        <f>L22*N22</f>
        <v>2893.0439638293142</v>
      </c>
    </row>
    <row r="23" spans="1:20">
      <c r="K23" s="84" t="s">
        <v>284</v>
      </c>
      <c r="L23" s="23">
        <v>15</v>
      </c>
      <c r="M23" s="92">
        <f>Table22[[#This Row],[Column2]]/Table9[[#Headers],[5850]]</f>
        <v>2.5641025641025641E-3</v>
      </c>
      <c r="N23" s="3">
        <v>2.6</v>
      </c>
      <c r="O23">
        <f>L23*N23</f>
        <v>39</v>
      </c>
    </row>
    <row r="24" spans="1:20">
      <c r="K24" s="86" t="s">
        <v>285</v>
      </c>
      <c r="L24">
        <f>'MTOW &amp; WEIGHTS'!B11</f>
        <v>720</v>
      </c>
      <c r="M24" s="91">
        <f>Table22[[#This Row],[Column2]]/Table9[[#Headers],[5850]]</f>
        <v>0.12307692307692308</v>
      </c>
      <c r="N24" s="3">
        <v>4.2350599999999998</v>
      </c>
      <c r="O24">
        <f>L24*N24</f>
        <v>3049.2431999999999</v>
      </c>
      <c r="R24" s="150"/>
    </row>
    <row r="25" spans="1:20">
      <c r="K25" s="84" t="s">
        <v>286</v>
      </c>
      <c r="L25">
        <f>'MTOW &amp; WEIGHTS'!B9</f>
        <v>200</v>
      </c>
      <c r="M25" s="91">
        <f>Table22[[#This Row],[Column2]]/Table9[[#Headers],[5850]]</f>
        <v>3.4188034188034191E-2</v>
      </c>
      <c r="N25" s="3">
        <v>5.2640000000000002</v>
      </c>
      <c r="O25">
        <f>L25*N25</f>
        <v>1052.8</v>
      </c>
    </row>
    <row r="26" spans="1:20">
      <c r="K26" s="84" t="s">
        <v>287</v>
      </c>
      <c r="L26">
        <f>'MTOW &amp; WEIGHTS'!B16</f>
        <v>400</v>
      </c>
      <c r="M26" s="91">
        <f>Table22[[#This Row],[Column2]]/Table9[[#Headers],[5850]]</f>
        <v>6.8376068376068383E-2</v>
      </c>
      <c r="N26" s="3">
        <v>2.8662399999999999</v>
      </c>
      <c r="O26">
        <f>L26*N26</f>
        <v>1146.4959999999999</v>
      </c>
    </row>
    <row r="27" spans="1:20">
      <c r="J27" s="4" t="s">
        <v>244</v>
      </c>
    </row>
    <row r="28" spans="1:20" ht="15.5">
      <c r="C28" s="77" t="s">
        <v>522</v>
      </c>
      <c r="J28" s="52" t="s">
        <v>247</v>
      </c>
      <c r="K28" s="50"/>
      <c r="L28">
        <f>L19+L22+L23+L26</f>
        <v>4804.9251843778165</v>
      </c>
      <c r="M28" s="63">
        <f>Table23[[#This Row],[Column3]]/Table9[[#Headers],[5850]]</f>
        <v>0.8213547323722763</v>
      </c>
      <c r="N28">
        <f>O28/L28</f>
        <v>3.1326796285574736</v>
      </c>
      <c r="O28">
        <f>O19+O22+O23+O26</f>
        <v>15052.29124184315</v>
      </c>
    </row>
    <row r="29" spans="1:20" ht="15.5">
      <c r="B29" s="77" t="s">
        <v>523</v>
      </c>
      <c r="J29" s="52"/>
      <c r="K29" s="50"/>
      <c r="M29" s="4" t="s">
        <v>220</v>
      </c>
      <c r="N29" s="63">
        <f>(N28-S16)/'Wing &amp; Airfoil'!B7</f>
        <v>0.30398345209718897</v>
      </c>
      <c r="O29" s="39" t="s">
        <v>275</v>
      </c>
    </row>
    <row r="30" spans="1:20" ht="15.5">
      <c r="B30" s="77" t="s">
        <v>524</v>
      </c>
      <c r="J30" s="52" t="s">
        <v>245</v>
      </c>
      <c r="K30" s="49"/>
      <c r="L30">
        <f>L19</f>
        <v>3547.7197272636131</v>
      </c>
      <c r="M30" s="63">
        <f>Table23[[#This Row],[Column3]]/Table9[[#Headers],[5850]]</f>
        <v>0.60644781662625868</v>
      </c>
      <c r="N30">
        <f>O30/L30</f>
        <v>3.0931843893085618</v>
      </c>
      <c r="O30">
        <f>O19</f>
        <v>10973.751278013837</v>
      </c>
    </row>
    <row r="31" spans="1:20" ht="15.5">
      <c r="B31" s="77" t="s">
        <v>525</v>
      </c>
      <c r="J31" s="52"/>
      <c r="K31" s="49"/>
      <c r="M31" s="4" t="s">
        <v>220</v>
      </c>
      <c r="N31" s="63">
        <f>(N30-S16)/'Wing &amp; Airfoil'!B7</f>
        <v>0.28144476556847514</v>
      </c>
      <c r="O31" s="39" t="s">
        <v>275</v>
      </c>
    </row>
    <row r="32" spans="1:20" ht="15.5">
      <c r="B32" s="77" t="s">
        <v>526</v>
      </c>
      <c r="J32" s="50" t="s">
        <v>248</v>
      </c>
      <c r="L32">
        <f>L19+L22+L23+L24+L26</f>
        <v>5524.9251843778165</v>
      </c>
      <c r="M32" s="63">
        <f>Table23[[#This Row],[Column3]]/Table9[[#Headers],[5850]]</f>
        <v>0.94443165544919938</v>
      </c>
      <c r="N32">
        <f>O32/L32</f>
        <v>3.2763401924476256</v>
      </c>
      <c r="O32">
        <f>O19+O22+O23+O24+O26</f>
        <v>18101.534441843149</v>
      </c>
    </row>
    <row r="33" spans="10:15">
      <c r="J33" s="50"/>
      <c r="M33" s="4" t="s">
        <v>220</v>
      </c>
      <c r="N33" s="63">
        <f>(N32-S16)/'Wing &amp; Airfoil'!B7</f>
        <v>0.38596600183317042</v>
      </c>
      <c r="O33" s="39" t="s">
        <v>275</v>
      </c>
    </row>
    <row r="34" spans="10:15" ht="17.5">
      <c r="J34" s="51" t="s">
        <v>246</v>
      </c>
      <c r="K34" s="51"/>
      <c r="L34" s="110">
        <f>L26+L25+L24+L22+L19</f>
        <v>5709.9251843778165</v>
      </c>
      <c r="M34" s="63">
        <f>Table23[[#This Row],[Column3]]/Table9[[#Headers],[5850]]</f>
        <v>0.976055587073131</v>
      </c>
      <c r="N34" s="152">
        <f>O34/L34</f>
        <v>3.3545683740741175</v>
      </c>
      <c r="O34">
        <f>O19+O22+O23+O24+O25+O26</f>
        <v>19154.334441843148</v>
      </c>
    </row>
    <row r="35" spans="10:15" ht="21">
      <c r="M35" s="4" t="s">
        <v>220</v>
      </c>
      <c r="N35" s="151">
        <f>(N34-S16)/'Wing &amp; Airfoil'!B7</f>
        <v>0.43060835612500742</v>
      </c>
      <c r="O35" s="60" t="s">
        <v>275</v>
      </c>
    </row>
    <row r="36" spans="10:15">
      <c r="K36" t="s">
        <v>288</v>
      </c>
      <c r="L36" s="41" t="str">
        <f>Table9[[#Headers],[5850]]</f>
        <v>5850</v>
      </c>
      <c r="M36" t="s">
        <v>52</v>
      </c>
    </row>
    <row r="37" spans="10:15">
      <c r="K37" t="s">
        <v>289</v>
      </c>
      <c r="L37" s="88">
        <f>(L34-L36)</f>
        <v>-140.07481562218345</v>
      </c>
      <c r="M37" t="s">
        <v>52</v>
      </c>
    </row>
    <row r="38" spans="10:15">
      <c r="K38" s="4" t="s">
        <v>220</v>
      </c>
      <c r="L38" s="63">
        <f>L37/L36</f>
        <v>-2.3944412926868965E-2</v>
      </c>
      <c r="M38" s="63"/>
    </row>
    <row r="40" spans="10:15">
      <c r="L40" s="64"/>
    </row>
  </sheetData>
  <pageMargins left="0.7" right="0.7" top="0.75" bottom="0.75" header="0.3" footer="0.3"/>
  <pageSetup orientation="portrait" r:id="rId1"/>
  <ignoredErrors>
    <ignoredError sqref="M29 M31 M33 M35:M37" calculatedColumn="1"/>
    <ignoredError sqref="N29 N31 N33" formula="1"/>
  </ignoredErrors>
  <legacy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I49"/>
  <sheetViews>
    <sheetView workbookViewId="0">
      <selection activeCell="A7" sqref="A7:B7"/>
    </sheetView>
  </sheetViews>
  <sheetFormatPr defaultRowHeight="14.5"/>
  <cols>
    <col min="2" max="2" width="10.7265625" customWidth="1"/>
    <col min="4" max="4" width="6.7265625" customWidth="1"/>
    <col min="5" max="5" width="7.7265625" customWidth="1"/>
    <col min="7" max="7" width="6.7265625" customWidth="1"/>
    <col min="9" max="9" width="9.453125" customWidth="1"/>
    <col min="11" max="11" width="6.54296875" customWidth="1"/>
    <col min="15" max="15" width="11.453125" customWidth="1"/>
    <col min="35" max="35" width="9.81640625" customWidth="1"/>
  </cols>
  <sheetData>
    <row r="1" spans="1:12">
      <c r="I1" s="267" t="s">
        <v>336</v>
      </c>
      <c r="J1" s="267"/>
      <c r="K1" s="267"/>
      <c r="L1" s="267"/>
    </row>
    <row r="2" spans="1:12">
      <c r="A2" s="273" t="s">
        <v>333</v>
      </c>
      <c r="B2" s="273"/>
      <c r="C2" s="23">
        <f>2.1+(24000/(Table9[[#Headers],[5850]]+10000))</f>
        <v>3.6141955835962145</v>
      </c>
      <c r="F2" s="70" t="s">
        <v>310</v>
      </c>
      <c r="H2" s="70" t="s">
        <v>311</v>
      </c>
      <c r="I2" s="273" t="s">
        <v>339</v>
      </c>
      <c r="J2" s="273"/>
      <c r="K2">
        <v>50</v>
      </c>
      <c r="L2" t="s">
        <v>340</v>
      </c>
    </row>
    <row r="3" spans="1:12" ht="16.5">
      <c r="B3" s="71" t="s">
        <v>334</v>
      </c>
      <c r="C3" s="3">
        <v>3.8</v>
      </c>
      <c r="E3" s="70" t="s">
        <v>335</v>
      </c>
      <c r="F3">
        <f>(SQRT(C3/G36))/1.688</f>
        <v>118.91094624262631</v>
      </c>
      <c r="G3" t="s">
        <v>306</v>
      </c>
      <c r="H3" s="70">
        <f>C3</f>
        <v>3.8</v>
      </c>
      <c r="I3" s="273" t="s">
        <v>341</v>
      </c>
      <c r="J3" s="273"/>
      <c r="K3">
        <v>25</v>
      </c>
      <c r="L3" t="s">
        <v>340</v>
      </c>
    </row>
    <row r="4" spans="1:12" ht="16.5">
      <c r="A4" s="273" t="s">
        <v>251</v>
      </c>
      <c r="B4" s="273"/>
      <c r="C4">
        <f>1.5*C3</f>
        <v>5.6999999999999993</v>
      </c>
      <c r="E4" s="70" t="s">
        <v>312</v>
      </c>
      <c r="F4">
        <f>'Sref and POWER SIZING'!B11</f>
        <v>61</v>
      </c>
      <c r="G4" t="s">
        <v>190</v>
      </c>
      <c r="H4" s="70">
        <f>1</f>
        <v>1</v>
      </c>
      <c r="I4" s="273" t="s">
        <v>346</v>
      </c>
      <c r="J4" s="273"/>
      <c r="K4">
        <v>66</v>
      </c>
      <c r="L4" t="s">
        <v>340</v>
      </c>
    </row>
    <row r="5" spans="1:12">
      <c r="A5" s="273" t="s">
        <v>264</v>
      </c>
      <c r="B5" s="273"/>
      <c r="C5">
        <f>1.5*C6</f>
        <v>4.5</v>
      </c>
      <c r="E5" s="70" t="s">
        <v>313</v>
      </c>
      <c r="F5">
        <f>(SQRT((-2*Table9[[#Headers],[5850]])/('Sref and POWER SIZING'!B2*'Sref and POWER SIZING'!H80*10.7639*'V-n'!C8)))/1.688</f>
        <v>66.822183055558398</v>
      </c>
      <c r="G5" t="s">
        <v>190</v>
      </c>
      <c r="H5" s="70">
        <v>-1</v>
      </c>
    </row>
    <row r="6" spans="1:12">
      <c r="A6" s="273" t="s">
        <v>265</v>
      </c>
      <c r="B6" s="273"/>
      <c r="C6" s="3">
        <v>3</v>
      </c>
      <c r="E6" s="70" t="s">
        <v>316</v>
      </c>
      <c r="F6">
        <f>(SQRT(C7/I36))/1.688</f>
        <v>82.383920187328101</v>
      </c>
      <c r="G6" t="s">
        <v>190</v>
      </c>
      <c r="H6" s="70">
        <v>-3</v>
      </c>
    </row>
    <row r="7" spans="1:12">
      <c r="A7" s="274" t="s">
        <v>302</v>
      </c>
      <c r="B7" s="274"/>
      <c r="C7" s="23">
        <f>-(C3*0.4)</f>
        <v>-1.52</v>
      </c>
      <c r="E7" s="70" t="s">
        <v>318</v>
      </c>
      <c r="F7">
        <f>C9</f>
        <v>196</v>
      </c>
      <c r="H7" s="70">
        <f>C3</f>
        <v>3.8</v>
      </c>
    </row>
    <row r="8" spans="1:12" ht="16.5">
      <c r="A8" s="273" t="s">
        <v>303</v>
      </c>
      <c r="B8" s="273"/>
      <c r="C8" s="3">
        <v>-1.5</v>
      </c>
    </row>
    <row r="9" spans="1:12" ht="16.5">
      <c r="B9" t="s">
        <v>304</v>
      </c>
      <c r="C9">
        <f>1.4*'[1]take-off'!$B$16</f>
        <v>196</v>
      </c>
      <c r="D9" t="s">
        <v>190</v>
      </c>
    </row>
    <row r="33" spans="1:35">
      <c r="X33" s="83" t="s">
        <v>351</v>
      </c>
    </row>
    <row r="34" spans="1:35" ht="16.5">
      <c r="G34" s="264" t="s">
        <v>309</v>
      </c>
      <c r="H34" s="264"/>
      <c r="I34" s="264" t="s">
        <v>315</v>
      </c>
      <c r="J34" s="264"/>
      <c r="K34" s="264" t="s">
        <v>319</v>
      </c>
      <c r="L34" s="264"/>
      <c r="X34" s="12" t="s">
        <v>354</v>
      </c>
      <c r="AA34" s="12" t="s">
        <v>355</v>
      </c>
      <c r="AD34" s="12" t="s">
        <v>358</v>
      </c>
      <c r="AG34" s="12" t="s">
        <v>359</v>
      </c>
    </row>
    <row r="35" spans="1:35" ht="16.5">
      <c r="A35" s="10" t="s">
        <v>307</v>
      </c>
      <c r="B35" s="80" t="s">
        <v>308</v>
      </c>
      <c r="C35" s="80" t="s">
        <v>7</v>
      </c>
      <c r="D35" s="80" t="s">
        <v>6</v>
      </c>
      <c r="E35" s="10" t="s">
        <v>305</v>
      </c>
      <c r="F35" s="10" t="s">
        <v>306</v>
      </c>
      <c r="G35" s="10"/>
      <c r="H35" s="81" t="s">
        <v>314</v>
      </c>
      <c r="I35" s="10"/>
      <c r="J35" s="81" t="s">
        <v>317</v>
      </c>
      <c r="K35" s="10" t="s">
        <v>27</v>
      </c>
      <c r="L35" s="81" t="s">
        <v>28</v>
      </c>
      <c r="M35" s="82" t="s">
        <v>338</v>
      </c>
      <c r="N35" s="82" t="s">
        <v>337</v>
      </c>
      <c r="O35" s="82" t="s">
        <v>342</v>
      </c>
      <c r="P35" s="82" t="s">
        <v>343</v>
      </c>
      <c r="Q35" s="82" t="s">
        <v>347</v>
      </c>
      <c r="R35" s="272" t="s">
        <v>344</v>
      </c>
      <c r="S35" s="272"/>
      <c r="T35" s="82" t="s">
        <v>345</v>
      </c>
      <c r="U35" s="10" t="s">
        <v>349</v>
      </c>
      <c r="V35" s="82" t="s">
        <v>348</v>
      </c>
      <c r="W35" s="82" t="s">
        <v>350</v>
      </c>
      <c r="X35" s="82" t="s">
        <v>352</v>
      </c>
      <c r="Y35" s="82" t="s">
        <v>353</v>
      </c>
      <c r="Z35" s="82" t="s">
        <v>28</v>
      </c>
      <c r="AA35" s="82" t="s">
        <v>356</v>
      </c>
      <c r="AB35" s="82" t="s">
        <v>357</v>
      </c>
      <c r="AC35" s="82" t="s">
        <v>28</v>
      </c>
      <c r="AD35" s="10" t="s">
        <v>356</v>
      </c>
      <c r="AE35" s="82" t="s">
        <v>357</v>
      </c>
      <c r="AF35" s="82" t="s">
        <v>28</v>
      </c>
      <c r="AG35" s="82" t="s">
        <v>356</v>
      </c>
      <c r="AH35" s="82" t="s">
        <v>357</v>
      </c>
      <c r="AI35" s="82" t="s">
        <v>28</v>
      </c>
    </row>
    <row r="36" spans="1:35">
      <c r="A36" s="3">
        <v>0</v>
      </c>
      <c r="B36" s="72">
        <f>0.002378*(1-0.0000068756*A36)^4.2561</f>
        <v>2.3779999999999999E-3</v>
      </c>
      <c r="C36">
        <f>B36/'Sref and POWER SIZING'!$B$2</f>
        <v>1</v>
      </c>
      <c r="D36">
        <f>0.5*B36*(F36*1.688)^2</f>
        <v>0</v>
      </c>
      <c r="E36">
        <v>0</v>
      </c>
      <c r="F36">
        <f>E36/SQRT(C36)</f>
        <v>0</v>
      </c>
      <c r="G36">
        <f>(0.5*$B$36*'Sref and POWER SIZING'!$H$80*10.7639*'Sref and POWER SIZING'!$B$10)/Table9[[#Headers],[5850]]</f>
        <v>9.4318099660740259E-5</v>
      </c>
      <c r="H36">
        <f>G36*(E36*1.688)^2</f>
        <v>0</v>
      </c>
      <c r="I36">
        <f>(0.5*$B$36*'Sref and POWER SIZING'!$H$80*10.7639*$C$8)/Table9[[#Headers],[5850]]</f>
        <v>-7.8598416383950223E-5</v>
      </c>
      <c r="J36">
        <f>I36*(E36*1.688)^2</f>
        <v>0</v>
      </c>
      <c r="K36">
        <f>$C$9</f>
        <v>196</v>
      </c>
      <c r="L36">
        <f>C7</f>
        <v>-1.52</v>
      </c>
      <c r="M36">
        <f>(2*(Table9[[#Headers],[5850]]/('Sref and POWER SIZING'!$H$80*10.7639))/($B$36*32.174*'Wing &amp; Airfoil'!$B$7*3.28*'Wing &amp; Airfoil'!$L$11))</f>
        <v>21.808566619838427</v>
      </c>
      <c r="N36">
        <f>(0.88*M36)/(5.3+M36)</f>
        <v>0.7079510656020146</v>
      </c>
      <c r="O36">
        <f>1+(N36*$K$2*E36*1.688*'Wing &amp; Airfoil'!$L$11)/(498*(Table9[[#Headers],[5850]]/('Sref and POWER SIZING'!$H$80*10.7639)))</f>
        <v>1</v>
      </c>
      <c r="P36">
        <f>1+(N36*$K$3*E36*1.688*'Wing &amp; Airfoil'!$L$11)/(498*(Table9[[#Headers],[5850]]/('Sref and POWER SIZING'!$H$80*10.7639)))</f>
        <v>1</v>
      </c>
      <c r="Q36">
        <f>1+(N36*$K$4*E36*1.688*'Wing &amp; Airfoil'!$L$11)/(498*(Table9[[#Headers],[5850]]/('Sref and POWER SIZING'!$H$80*10.7639)))</f>
        <v>1</v>
      </c>
      <c r="R36" s="70" t="s">
        <v>27</v>
      </c>
      <c r="S36" t="s">
        <v>28</v>
      </c>
      <c r="T36">
        <f>$F$5</f>
        <v>66.822183055558398</v>
      </c>
      <c r="U36">
        <f>1-(N36*$K$3*E36*1.688*'Wing &amp; Airfoil'!$L$11)/(498*(Table9[[#Headers],[5850]]/('Sref and POWER SIZING'!$H$80*10.7639)))</f>
        <v>1</v>
      </c>
      <c r="V36">
        <f>1-(N36*$K$2*E36*1.688*'Wing &amp; Airfoil'!$L$11)/(498*(Table9[[#Headers],[5850]]/('Sref and POWER SIZING'!$H$80*10.7639)))</f>
        <v>1</v>
      </c>
      <c r="W36">
        <f>1-(N36*$K$4*E36*1.688*'Wing &amp; Airfoil'!$L$11)/(498*(Table9[[#Headers],[5850]]/('Sref and POWER SIZING'!$H$80*10.7639)))</f>
        <v>1</v>
      </c>
      <c r="X36">
        <f>($Q$43-$O$44)/($E$43-$E$44)</f>
        <v>-2.3019725858040463E-2</v>
      </c>
      <c r="Y36">
        <f>$Q$43-($X$36*$E$43)</f>
        <v>7.7257633811318289</v>
      </c>
      <c r="Z36">
        <f>(X36*E36)+Y36</f>
        <v>7.7257633811318289</v>
      </c>
      <c r="AA36">
        <f>($O$44-$P$49)/($E$44-$E$49)</f>
        <v>-1.8766080862533025E-2</v>
      </c>
      <c r="AB36">
        <f>$O$44-($E$44*$AA$36)</f>
        <v>7.1302530817607881</v>
      </c>
      <c r="AC36">
        <f>(E36*AA36)+AB36</f>
        <v>7.1302530817607881</v>
      </c>
      <c r="AD36">
        <f>($W$43-$V$44)/($E$43-$E$44)</f>
        <v>2.3019725858040463E-2</v>
      </c>
      <c r="AE36">
        <f>$W$43-(AD36*$E$43)</f>
        <v>-5.7257633811318289</v>
      </c>
      <c r="AF36">
        <f>(AD36*E36)+AE36</f>
        <v>-5.7257633811318289</v>
      </c>
      <c r="AG36">
        <f>($V$44-$U$49)/($E$44-$E$49)</f>
        <v>1.8766080862533025E-2</v>
      </c>
      <c r="AH36">
        <f>$V$44-(AG36*$E$44)</f>
        <v>-5.1302530817607881</v>
      </c>
      <c r="AI36">
        <f>(E36*AG36)+AH36</f>
        <v>-5.1302530817607881</v>
      </c>
    </row>
    <row r="37" spans="1:35">
      <c r="A37" s="3">
        <v>0</v>
      </c>
      <c r="B37" s="72">
        <f t="shared" ref="B37:B49" si="0">0.002378*(1-0.0000068756*A37)^4.2561</f>
        <v>2.3779999999999999E-3</v>
      </c>
      <c r="C37">
        <f>B37/'Sref and POWER SIZING'!$B$2</f>
        <v>1</v>
      </c>
      <c r="D37">
        <f t="shared" ref="D37:D49" si="1">0.5*B37*(F37*1.688)^2</f>
        <v>1.3551480063999999</v>
      </c>
      <c r="E37">
        <f>E36+20</f>
        <v>20</v>
      </c>
      <c r="F37">
        <f t="shared" ref="F37:F49" si="2">E37/SQRT(C37)</f>
        <v>20</v>
      </c>
      <c r="G37">
        <f>(0.5*$B$36*'Sref and POWER SIZING'!$H$80*10.7639*'Sref and POWER SIZING'!$B$10)/Table9[[#Headers],[5850]]</f>
        <v>9.4318099660740259E-5</v>
      </c>
      <c r="H37">
        <f t="shared" ref="H37:H41" si="3">G37*(E37*1.688)^2</f>
        <v>0.1074978845438929</v>
      </c>
      <c r="I37">
        <f>(0.5*$B$36*'Sref and POWER SIZING'!$H$80*10.7639*$C$8)/Table9[[#Headers],[5850]]</f>
        <v>-7.8598416383950223E-5</v>
      </c>
      <c r="J37">
        <f t="shared" ref="J37:J41" si="4">I37*(E37*1.688)^2</f>
        <v>-8.9581570453244094E-2</v>
      </c>
      <c r="K37">
        <f t="shared" ref="K37:K49" si="5">$C$9</f>
        <v>196</v>
      </c>
      <c r="L37">
        <f>L36+0.5</f>
        <v>-1.02</v>
      </c>
      <c r="M37">
        <f>(2*(Table9[[#Headers],[5850]]/('Sref and POWER SIZING'!$H$80*10.7639))/($B$36*32.174*'Wing &amp; Airfoil'!$B$7*3.28*'Wing &amp; Airfoil'!$L$11))</f>
        <v>21.808566619838427</v>
      </c>
      <c r="N37">
        <f t="shared" ref="N37:N49" si="6">(0.88*M37)/(5.3+M37)</f>
        <v>0.7079510656020146</v>
      </c>
      <c r="O37">
        <f>1+(N37*$K$2*E37*1.688*'Wing &amp; Airfoil'!$L$11)/(498*(Table9[[#Headers],[5850]]/('Sref and POWER SIZING'!$H$80*10.7639)))</f>
        <v>1.5004288230008807</v>
      </c>
      <c r="P37">
        <f>1+(N37*$K$3*E37*1.688*'Wing &amp; Airfoil'!$L$11)/(498*(Table9[[#Headers],[5850]]/('Sref and POWER SIZING'!$H$80*10.7639)))</f>
        <v>1.2502144115004403</v>
      </c>
      <c r="Q37">
        <f>1+(N37*$K$4*E37*1.688*'Wing &amp; Airfoil'!$L$11)/(498*(Table9[[#Headers],[5850]]/('Sref and POWER SIZING'!$H$80*10.7639)))</f>
        <v>1.6605660463611622</v>
      </c>
      <c r="R37">
        <f>$E$39</f>
        <v>61</v>
      </c>
      <c r="S37">
        <f>H36</f>
        <v>0</v>
      </c>
      <c r="T37">
        <f t="shared" ref="T37:T40" si="7">$F$5</f>
        <v>66.822183055558398</v>
      </c>
      <c r="U37">
        <f>1-(N37*$K$3*E37*1.688*'Wing &amp; Airfoil'!$L$11)/(498*(Table9[[#Headers],[5850]]/('Sref and POWER SIZING'!$H$80*10.7639)))</f>
        <v>0.74978558849955967</v>
      </c>
      <c r="V37">
        <f>1-(N37*$K$2*E37*1.688*'Wing &amp; Airfoil'!$L$11)/(498*(Table9[[#Headers],[5850]]/('Sref and POWER SIZING'!$H$80*10.7639)))</f>
        <v>0.49957117699911946</v>
      </c>
      <c r="W37">
        <f>1-(N37*$K$4*E37*1.688*'Wing &amp; Airfoil'!$L$11)/(498*(Table9[[#Headers],[5850]]/('Sref and POWER SIZING'!$H$80*10.7639)))</f>
        <v>0.33943395363883766</v>
      </c>
      <c r="X37">
        <f t="shared" ref="X37:X49" si="8">($Q$43-$O$44)/($E$43-$E$44)</f>
        <v>-2.3019725858040463E-2</v>
      </c>
      <c r="Y37">
        <f t="shared" ref="Y37:Y49" si="9">$Q$43-($X$36*$E$43)</f>
        <v>7.7257633811318289</v>
      </c>
      <c r="Z37">
        <f t="shared" ref="Z37:Z49" si="10">(X37*E37)+Y37</f>
        <v>7.2653688639710197</v>
      </c>
      <c r="AA37">
        <f t="shared" ref="AA37:AA49" si="11">($O$44-$P$49)/($E$44-$E$49)</f>
        <v>-1.8766080862533025E-2</v>
      </c>
      <c r="AB37">
        <f t="shared" ref="AB37:AB49" si="12">$O$44-($E$44*$AA$36)</f>
        <v>7.1302530817607881</v>
      </c>
      <c r="AC37">
        <f t="shared" ref="AC37:AC49" si="13">(E37*AA37)+AB37</f>
        <v>6.7549314645101273</v>
      </c>
      <c r="AD37">
        <f t="shared" ref="AD37:AD49" si="14">($W$43-$V$44)/($E$43-$E$44)</f>
        <v>2.3019725858040463E-2</v>
      </c>
      <c r="AE37">
        <f t="shared" ref="AE37:AE49" si="15">$W$43-(AD37*$E$43)</f>
        <v>-5.7257633811318289</v>
      </c>
      <c r="AF37">
        <f t="shared" ref="AF37:AF49" si="16">(AD37*E37)+AE37</f>
        <v>-5.2653688639710197</v>
      </c>
      <c r="AG37">
        <f t="shared" ref="AG37:AG49" si="17">($V$44-$U$49)/($E$44-$E$49)</f>
        <v>1.8766080862533025E-2</v>
      </c>
      <c r="AH37">
        <f t="shared" ref="AH37:AH49" si="18">$V$44-(AG37*$E$44)</f>
        <v>-5.1302530817607881</v>
      </c>
      <c r="AI37">
        <f t="shared" ref="AI37:AI49" si="19">(E37*AG37)+AH37</f>
        <v>-4.7549314645101273</v>
      </c>
    </row>
    <row r="38" spans="1:35">
      <c r="A38" s="3">
        <v>0</v>
      </c>
      <c r="B38" s="72">
        <f t="shared" si="0"/>
        <v>2.3779999999999999E-3</v>
      </c>
      <c r="C38">
        <f>B38/'Sref and POWER SIZING'!$B$2</f>
        <v>1</v>
      </c>
      <c r="D38">
        <f t="shared" si="1"/>
        <v>5.4205920255999995</v>
      </c>
      <c r="E38">
        <f>E37+20</f>
        <v>40</v>
      </c>
      <c r="F38">
        <f t="shared" si="2"/>
        <v>40</v>
      </c>
      <c r="G38">
        <f>(0.5*$B$36*'Sref and POWER SIZING'!$H$80*10.7639*'Sref and POWER SIZING'!$B$10)/Table9[[#Headers],[5850]]</f>
        <v>9.4318099660740259E-5</v>
      </c>
      <c r="H38">
        <f t="shared" si="3"/>
        <v>0.42999153817557162</v>
      </c>
      <c r="I38">
        <f>(0.5*$B$36*'Sref and POWER SIZING'!$H$80*10.7639*$C$8)/Table9[[#Headers],[5850]]</f>
        <v>-7.8598416383950223E-5</v>
      </c>
      <c r="J38">
        <f t="shared" si="4"/>
        <v>-0.35832628181297638</v>
      </c>
      <c r="K38">
        <f t="shared" si="5"/>
        <v>196</v>
      </c>
      <c r="L38">
        <f t="shared" ref="L38:L47" si="20">L37+0.5</f>
        <v>-0.52</v>
      </c>
      <c r="M38">
        <f>(2*(Table9[[#Headers],[5850]]/('Sref and POWER SIZING'!$H$80*10.7639))/($B$36*32.174*'Wing &amp; Airfoil'!$B$7*3.28*'Wing &amp; Airfoil'!$L$11))</f>
        <v>21.808566619838427</v>
      </c>
      <c r="N38">
        <f t="shared" si="6"/>
        <v>0.7079510656020146</v>
      </c>
      <c r="O38">
        <f>1+(N38*$K$2*E38*1.688*'Wing &amp; Airfoil'!$L$11)/(498*(Table9[[#Headers],[5850]]/('Sref and POWER SIZING'!$H$80*10.7639)))</f>
        <v>2.0008576460017613</v>
      </c>
      <c r="P38">
        <f>1+(N38*$K$3*E38*1.688*'Wing &amp; Airfoil'!$L$11)/(498*(Table9[[#Headers],[5850]]/('Sref and POWER SIZING'!$H$80*10.7639)))</f>
        <v>1.5004288230008807</v>
      </c>
      <c r="Q38">
        <f>1+(N38*$K$4*E38*1.688*'Wing &amp; Airfoil'!$L$11)/(498*(Table9[[#Headers],[5850]]/('Sref and POWER SIZING'!$H$80*10.7639)))</f>
        <v>2.3211320927223245</v>
      </c>
      <c r="R38">
        <f t="shared" ref="R38:R39" si="21">$E$39</f>
        <v>61</v>
      </c>
      <c r="S38">
        <v>0.5</v>
      </c>
      <c r="T38">
        <f t="shared" si="7"/>
        <v>66.822183055558398</v>
      </c>
      <c r="U38">
        <f>1-(N38*$K$3*E38*1.688*'Wing &amp; Airfoil'!$L$11)/(498*(Table9[[#Headers],[5850]]/('Sref and POWER SIZING'!$H$80*10.7639)))</f>
        <v>0.49957117699911946</v>
      </c>
      <c r="V38">
        <f>1-(N38*$K$2*E38*1.688*'Wing &amp; Airfoil'!$L$11)/(498*(Table9[[#Headers],[5850]]/('Sref and POWER SIZING'!$H$80*10.7639)))</f>
        <v>-8.5764600176108097E-4</v>
      </c>
      <c r="W38">
        <f>1-(N38*$K$4*E38*1.688*'Wing &amp; Airfoil'!$L$11)/(498*(Table9[[#Headers],[5850]]/('Sref and POWER SIZING'!$H$80*10.7639)))</f>
        <v>-0.32113209272232468</v>
      </c>
      <c r="X38">
        <f t="shared" si="8"/>
        <v>-2.3019725858040463E-2</v>
      </c>
      <c r="Y38">
        <f t="shared" si="9"/>
        <v>7.7257633811318289</v>
      </c>
      <c r="Z38">
        <f t="shared" si="10"/>
        <v>6.8049743468102104</v>
      </c>
      <c r="AA38">
        <f t="shared" si="11"/>
        <v>-1.8766080862533025E-2</v>
      </c>
      <c r="AB38">
        <f t="shared" si="12"/>
        <v>7.1302530817607881</v>
      </c>
      <c r="AC38">
        <f t="shared" si="13"/>
        <v>6.3796098472594673</v>
      </c>
      <c r="AD38">
        <f t="shared" si="14"/>
        <v>2.3019725858040463E-2</v>
      </c>
      <c r="AE38">
        <f t="shared" si="15"/>
        <v>-5.7257633811318289</v>
      </c>
      <c r="AF38">
        <f t="shared" si="16"/>
        <v>-4.8049743468102104</v>
      </c>
      <c r="AG38">
        <f t="shared" si="17"/>
        <v>1.8766080862533025E-2</v>
      </c>
      <c r="AH38">
        <f t="shared" si="18"/>
        <v>-5.1302530817607881</v>
      </c>
      <c r="AI38">
        <f t="shared" si="19"/>
        <v>-4.3796098472594673</v>
      </c>
    </row>
    <row r="39" spans="1:35">
      <c r="A39" s="3">
        <v>0</v>
      </c>
      <c r="B39" s="72">
        <f t="shared" si="0"/>
        <v>2.3779999999999999E-3</v>
      </c>
      <c r="C39">
        <f>B39/'Sref and POWER SIZING'!$B$2</f>
        <v>1</v>
      </c>
      <c r="D39">
        <f t="shared" si="1"/>
        <v>12.606264329536</v>
      </c>
      <c r="E39" s="15">
        <f>'Sref and POWER SIZING'!B11</f>
        <v>61</v>
      </c>
      <c r="F39">
        <f t="shared" si="2"/>
        <v>61</v>
      </c>
      <c r="G39">
        <f>(0.5*$B$36*'Sref and POWER SIZING'!$H$80*10.7639*'Sref and POWER SIZING'!$B$10)/Table9[[#Headers],[5850]]</f>
        <v>9.4318099660740259E-5</v>
      </c>
      <c r="H39">
        <f t="shared" si="3"/>
        <v>0.99999907096956386</v>
      </c>
      <c r="I39">
        <f>(0.5*$B$36*'Sref and POWER SIZING'!$H$80*10.7639*$C$8)/Table9[[#Headers],[5850]]</f>
        <v>-7.8598416383950223E-5</v>
      </c>
      <c r="J39">
        <f t="shared" si="4"/>
        <v>-0.83333255914130333</v>
      </c>
      <c r="K39">
        <f t="shared" si="5"/>
        <v>196</v>
      </c>
      <c r="L39">
        <f t="shared" si="20"/>
        <v>-2.0000000000000018E-2</v>
      </c>
      <c r="M39">
        <f>(2*(Table9[[#Headers],[5850]]/('Sref and POWER SIZING'!$H$80*10.7639))/($B$36*32.174*'Wing &amp; Airfoil'!$B$7*3.28*'Wing &amp; Airfoil'!$L$11))</f>
        <v>21.808566619838427</v>
      </c>
      <c r="N39">
        <f t="shared" si="6"/>
        <v>0.7079510656020146</v>
      </c>
      <c r="O39">
        <f>1+(N39*$K$2*E39*1.688*'Wing &amp; Airfoil'!$L$11)/(498*(Table9[[#Headers],[5850]]/('Sref and POWER SIZING'!$H$80*10.7639)))</f>
        <v>2.5263079101526857</v>
      </c>
      <c r="P39">
        <f>1+(N39*$K$3*E39*1.688*'Wing &amp; Airfoil'!$L$11)/(498*(Table9[[#Headers],[5850]]/('Sref and POWER SIZING'!$H$80*10.7639)))</f>
        <v>1.7631539550763429</v>
      </c>
      <c r="Q39">
        <f>1+(N39*$K$4*E39*1.688*'Wing &amp; Airfoil'!$L$11)/(498*(Table9[[#Headers],[5850]]/('Sref and POWER SIZING'!$H$80*10.7639)))</f>
        <v>3.0147264414015451</v>
      </c>
      <c r="R39">
        <f t="shared" si="21"/>
        <v>61</v>
      </c>
      <c r="S39">
        <f>H39</f>
        <v>0.99999907096956386</v>
      </c>
      <c r="T39">
        <f t="shared" si="7"/>
        <v>66.822183055558398</v>
      </c>
      <c r="U39">
        <f>1-(N39*$K$3*E39*1.688*'Wing &amp; Airfoil'!$L$11)/(498*(Table9[[#Headers],[5850]]/('Sref and POWER SIZING'!$H$80*10.7639)))</f>
        <v>0.23684604492365702</v>
      </c>
      <c r="V39">
        <f>1-(N39*$K$2*E39*1.688*'Wing &amp; Airfoil'!$L$11)/(498*(Table9[[#Headers],[5850]]/('Sref and POWER SIZING'!$H$80*10.7639)))</f>
        <v>-0.52630791015268596</v>
      </c>
      <c r="W39">
        <f>1-(N39*$K$4*E39*1.688*'Wing &amp; Airfoil'!$L$11)/(498*(Table9[[#Headers],[5850]]/('Sref and POWER SIZING'!$H$80*10.7639)))</f>
        <v>-1.0147264414015451</v>
      </c>
      <c r="X39">
        <f t="shared" si="8"/>
        <v>-2.3019725858040463E-2</v>
      </c>
      <c r="Y39">
        <f t="shared" si="9"/>
        <v>7.7257633811318289</v>
      </c>
      <c r="Z39">
        <f t="shared" si="10"/>
        <v>6.3215601037913611</v>
      </c>
      <c r="AA39">
        <f t="shared" si="11"/>
        <v>-1.8766080862533025E-2</v>
      </c>
      <c r="AB39">
        <f t="shared" si="12"/>
        <v>7.1302530817607881</v>
      </c>
      <c r="AC39">
        <f t="shared" si="13"/>
        <v>5.9855221491462736</v>
      </c>
      <c r="AD39">
        <f t="shared" si="14"/>
        <v>2.3019725858040463E-2</v>
      </c>
      <c r="AE39">
        <f t="shared" si="15"/>
        <v>-5.7257633811318289</v>
      </c>
      <c r="AF39">
        <f t="shared" si="16"/>
        <v>-4.3215601037913611</v>
      </c>
      <c r="AG39">
        <f t="shared" si="17"/>
        <v>1.8766080862533025E-2</v>
      </c>
      <c r="AH39">
        <f t="shared" si="18"/>
        <v>-5.1302530817607881</v>
      </c>
      <c r="AI39">
        <f t="shared" si="19"/>
        <v>-3.9855221491462736</v>
      </c>
    </row>
    <row r="40" spans="1:35">
      <c r="A40" s="3">
        <v>0</v>
      </c>
      <c r="B40" s="72">
        <f t="shared" si="0"/>
        <v>2.3779999999999999E-3</v>
      </c>
      <c r="C40">
        <f>B40/'Sref and POWER SIZING'!$B$2</f>
        <v>1</v>
      </c>
      <c r="D40">
        <f t="shared" si="1"/>
        <v>15.127531249380148</v>
      </c>
      <c r="E40" s="15">
        <f>F5</f>
        <v>66.822183055558398</v>
      </c>
      <c r="F40">
        <f t="shared" si="2"/>
        <v>66.822183055558398</v>
      </c>
      <c r="G40">
        <f>(0.5*$B$36*'Sref and POWER SIZING'!$H$80*10.7639*'Sref and POWER SIZING'!$B$10)/Table9[[#Headers],[5850]]</f>
        <v>9.4318099660740259E-5</v>
      </c>
      <c r="H40">
        <f t="shared" si="3"/>
        <v>1.1999999999999995</v>
      </c>
      <c r="I40">
        <f>(0.5*$B$36*'Sref and POWER SIZING'!$H$80*10.7639*$C$8)/Table9[[#Headers],[5850]]</f>
        <v>-7.8598416383950223E-5</v>
      </c>
      <c r="J40">
        <f t="shared" si="4"/>
        <v>-0.99999999999999967</v>
      </c>
      <c r="K40">
        <f t="shared" si="5"/>
        <v>196</v>
      </c>
      <c r="L40">
        <f t="shared" si="20"/>
        <v>0.48</v>
      </c>
      <c r="M40">
        <f>(2*(Table9[[#Headers],[5850]]/('Sref and POWER SIZING'!$H$80*10.7639))/($B$36*32.174*'Wing &amp; Airfoil'!$B$7*3.28*'Wing &amp; Airfoil'!$L$11))</f>
        <v>21.808566619838427</v>
      </c>
      <c r="N40">
        <f t="shared" si="6"/>
        <v>0.7079510656020146</v>
      </c>
      <c r="O40">
        <f>1+(N40*$K$2*E40*1.688*'Wing &amp; Airfoil'!$L$11)/(498*(Table9[[#Headers],[5850]]/('Sref and POWER SIZING'!$H$80*10.7639)))</f>
        <v>2.6719873208421236</v>
      </c>
      <c r="P40">
        <f>1+(N40*$K$3*E40*1.688*'Wing &amp; Airfoil'!$L$11)/(498*(Table9[[#Headers],[5850]]/('Sref and POWER SIZING'!$H$80*10.7639)))</f>
        <v>1.8359936604210618</v>
      </c>
      <c r="Q40">
        <f>1+(N40*$K$4*E40*1.688*'Wing &amp; Airfoil'!$L$11)/(498*(Table9[[#Headers],[5850]]/('Sref and POWER SIZING'!$H$80*10.7639)))</f>
        <v>3.2070232635116032</v>
      </c>
      <c r="T40">
        <f t="shared" si="7"/>
        <v>66.822183055558398</v>
      </c>
      <c r="U40">
        <f>1-(N40*$K$3*E40*1.688*'Wing &amp; Airfoil'!$L$11)/(498*(Table9[[#Headers],[5850]]/('Sref and POWER SIZING'!$H$80*10.7639)))</f>
        <v>0.16400633957893818</v>
      </c>
      <c r="V40">
        <f>1-(N40*$K$2*E40*1.688*'Wing &amp; Airfoil'!$L$11)/(498*(Table9[[#Headers],[5850]]/('Sref and POWER SIZING'!$H$80*10.7639)))</f>
        <v>-0.67198732084212365</v>
      </c>
      <c r="W40">
        <f>1-(N40*$K$4*E40*1.688*'Wing &amp; Airfoil'!$L$11)/(498*(Table9[[#Headers],[5850]]/('Sref and POWER SIZING'!$H$80*10.7639)))</f>
        <v>-1.2070232635116032</v>
      </c>
      <c r="X40">
        <f t="shared" si="8"/>
        <v>-2.3019725858040463E-2</v>
      </c>
      <c r="Y40">
        <f t="shared" si="9"/>
        <v>7.7257633811318289</v>
      </c>
      <c r="Z40">
        <f t="shared" si="10"/>
        <v>6.1875350459570777</v>
      </c>
      <c r="AA40">
        <f t="shared" si="11"/>
        <v>-1.8766080862533025E-2</v>
      </c>
      <c r="AB40">
        <f t="shared" si="12"/>
        <v>7.1302530817607881</v>
      </c>
      <c r="AC40">
        <f t="shared" si="13"/>
        <v>5.876262591129195</v>
      </c>
      <c r="AD40">
        <f t="shared" si="14"/>
        <v>2.3019725858040463E-2</v>
      </c>
      <c r="AE40">
        <f t="shared" si="15"/>
        <v>-5.7257633811318289</v>
      </c>
      <c r="AF40">
        <f t="shared" si="16"/>
        <v>-4.1875350459570777</v>
      </c>
      <c r="AG40">
        <f t="shared" si="17"/>
        <v>1.8766080862533025E-2</v>
      </c>
      <c r="AH40">
        <f t="shared" si="18"/>
        <v>-5.1302530817607881</v>
      </c>
      <c r="AI40">
        <f t="shared" si="19"/>
        <v>-3.876262591129195</v>
      </c>
    </row>
    <row r="41" spans="1:35">
      <c r="A41" s="3">
        <v>0</v>
      </c>
      <c r="B41" s="72">
        <f t="shared" si="0"/>
        <v>2.3779999999999999E-3</v>
      </c>
      <c r="C41">
        <f>B41/'Sref and POWER SIZING'!$B$2</f>
        <v>1</v>
      </c>
      <c r="D41">
        <f t="shared" si="1"/>
        <v>22.993847499057832</v>
      </c>
      <c r="E41" s="15">
        <f>F6</f>
        <v>82.383920187328101</v>
      </c>
      <c r="F41">
        <f t="shared" si="2"/>
        <v>82.383920187328101</v>
      </c>
      <c r="G41">
        <f>(0.5*$B$36*'Sref and POWER SIZING'!$H$80*10.7639*'Sref and POWER SIZING'!$B$10)/Table9[[#Headers],[5850]]</f>
        <v>9.4318099660740259E-5</v>
      </c>
      <c r="H41">
        <f t="shared" si="3"/>
        <v>1.8239999999999998</v>
      </c>
      <c r="I41">
        <f>(0.5*$B$36*'Sref and POWER SIZING'!$H$80*10.7639*$C$8)/Table9[[#Headers],[5850]]</f>
        <v>-7.8598416383950223E-5</v>
      </c>
      <c r="J41">
        <f t="shared" si="4"/>
        <v>-1.52</v>
      </c>
      <c r="K41">
        <f t="shared" si="5"/>
        <v>196</v>
      </c>
      <c r="L41">
        <f t="shared" si="20"/>
        <v>0.98</v>
      </c>
      <c r="M41">
        <f>(2*(Table9[[#Headers],[5850]]/('Sref and POWER SIZING'!$H$80*10.7639))/($B$36*32.174*'Wing &amp; Airfoil'!$B$7*3.28*'Wing &amp; Airfoil'!$L$11))</f>
        <v>21.808566619838427</v>
      </c>
      <c r="N41">
        <f t="shared" si="6"/>
        <v>0.7079510656020146</v>
      </c>
      <c r="O41">
        <f>1+(N41*$K$2*E41*1.688*'Wing &amp; Airfoil'!$L$11)/(498*(Table9[[#Headers],[5850]]/('Sref and POWER SIZING'!$H$80*10.7639)))</f>
        <v>3.0613644106771543</v>
      </c>
      <c r="P41">
        <f>1+(N41*$K$3*E41*1.688*'Wing &amp; Airfoil'!$L$11)/(498*(Table9[[#Headers],[5850]]/('Sref and POWER SIZING'!$H$80*10.7639)))</f>
        <v>2.0306822053385769</v>
      </c>
      <c r="Q41">
        <f>1+(N41*$K$4*E41*1.688*'Wing &amp; Airfoil'!$L$11)/(498*(Table9[[#Headers],[5850]]/('Sref and POWER SIZING'!$H$80*10.7639)))</f>
        <v>3.7210010220938434</v>
      </c>
      <c r="U41">
        <f>1-(N41*$K$3*E41*1.688*'Wing &amp; Airfoil'!$L$11)/(498*(Table9[[#Headers],[5850]]/('Sref and POWER SIZING'!$H$80*10.7639)))</f>
        <v>-3.0682205338577129E-2</v>
      </c>
      <c r="V41">
        <f>1-(N41*$K$2*E41*1.688*'Wing &amp; Airfoil'!$L$11)/(498*(Table9[[#Headers],[5850]]/('Sref and POWER SIZING'!$H$80*10.7639)))</f>
        <v>-1.0613644106771543</v>
      </c>
      <c r="W41">
        <f>1-(N41*$K$4*E41*1.688*'Wing &amp; Airfoil'!$L$11)/(498*(Table9[[#Headers],[5850]]/('Sref and POWER SIZING'!$H$80*10.7639)))</f>
        <v>-1.7210010220938434</v>
      </c>
      <c r="X41">
        <f t="shared" si="8"/>
        <v>-2.3019725858040463E-2</v>
      </c>
      <c r="Y41">
        <f t="shared" si="9"/>
        <v>7.7257633811318289</v>
      </c>
      <c r="Z41">
        <f t="shared" si="10"/>
        <v>5.8293081233088504</v>
      </c>
      <c r="AA41">
        <f t="shared" si="11"/>
        <v>-1.8766080862533025E-2</v>
      </c>
      <c r="AB41">
        <f t="shared" si="12"/>
        <v>7.1302530817607881</v>
      </c>
      <c r="AC41">
        <f t="shared" si="13"/>
        <v>5.5842297737529218</v>
      </c>
      <c r="AD41">
        <f t="shared" si="14"/>
        <v>2.3019725858040463E-2</v>
      </c>
      <c r="AE41">
        <f t="shared" si="15"/>
        <v>-5.7257633811318289</v>
      </c>
      <c r="AF41">
        <f t="shared" si="16"/>
        <v>-3.8293081233088504</v>
      </c>
      <c r="AG41">
        <f t="shared" si="17"/>
        <v>1.8766080862533025E-2</v>
      </c>
      <c r="AH41">
        <f t="shared" si="18"/>
        <v>-5.1302530817607881</v>
      </c>
      <c r="AI41">
        <f t="shared" si="19"/>
        <v>-3.5842297737529218</v>
      </c>
    </row>
    <row r="42" spans="1:35">
      <c r="A42" s="3">
        <v>0</v>
      </c>
      <c r="B42" s="72">
        <f t="shared" si="0"/>
        <v>2.3779999999999999E-3</v>
      </c>
      <c r="C42">
        <f>B42/'Sref and POWER SIZING'!$B$2</f>
        <v>1</v>
      </c>
      <c r="D42">
        <f t="shared" si="1"/>
        <v>47.903848956370489</v>
      </c>
      <c r="E42" s="15">
        <f>F3</f>
        <v>118.91094624262631</v>
      </c>
      <c r="F42">
        <f t="shared" si="2"/>
        <v>118.91094624262631</v>
      </c>
      <c r="G42">
        <f>(0.5*$B$36*'Sref and POWER SIZING'!$H$80*10.7639*'Sref and POWER SIZING'!$B$10)/Table9[[#Headers],[5850]]</f>
        <v>9.4318099660740259E-5</v>
      </c>
      <c r="H42">
        <f>G42*(E42*1.688)^2</f>
        <v>3.8000000000000003</v>
      </c>
      <c r="J42">
        <f>J41</f>
        <v>-1.52</v>
      </c>
      <c r="K42">
        <f t="shared" si="5"/>
        <v>196</v>
      </c>
      <c r="L42">
        <v>1</v>
      </c>
      <c r="M42">
        <f>(2*(Table9[[#Headers],[5850]]/('Sref and POWER SIZING'!$H$80*10.7639))/($B$36*32.174*'Wing &amp; Airfoil'!$B$7*3.28*'Wing &amp; Airfoil'!$L$11))</f>
        <v>21.808566619838427</v>
      </c>
      <c r="N42">
        <f t="shared" si="6"/>
        <v>0.7079510656020146</v>
      </c>
      <c r="O42">
        <f>1+(N42*$K$2*E42*1.688*'Wing &amp; Airfoil'!$L$11)/(498*(Table9[[#Headers],[5850]]/('Sref and POWER SIZING'!$H$80*10.7639)))</f>
        <v>3.9753232435059229</v>
      </c>
      <c r="P42">
        <f>1+(N42*$K$3*E42*1.688*'Wing &amp; Airfoil'!$L$11)/(498*(Table9[[#Headers],[5850]]/('Sref and POWER SIZING'!$H$80*10.7639)))</f>
        <v>2.4876616217529612</v>
      </c>
      <c r="Q42">
        <f>1+(N42*$K$4*E42*1.688*'Wing &amp; Airfoil'!$L$11)/(498*(Table9[[#Headers],[5850]]/('Sref and POWER SIZING'!$H$80*10.7639)))</f>
        <v>4.9274266814278187</v>
      </c>
      <c r="U42">
        <f>1-(N42*$K$3*E42*1.688*'Wing &amp; Airfoil'!$L$11)/(498*(Table9[[#Headers],[5850]]/('Sref and POWER SIZING'!$H$80*10.7639)))</f>
        <v>-0.48766162175296146</v>
      </c>
      <c r="V42">
        <f>1-(N42*$K$2*E42*1.688*'Wing &amp; Airfoil'!$L$11)/(498*(Table9[[#Headers],[5850]]/('Sref and POWER SIZING'!$H$80*10.7639)))</f>
        <v>-1.9753232435059229</v>
      </c>
      <c r="W42">
        <f>1-(N42*$K$4*E42*1.688*'Wing &amp; Airfoil'!$L$11)/(498*(Table9[[#Headers],[5850]]/('Sref and POWER SIZING'!$H$80*10.7639)))</f>
        <v>-2.9274266814278187</v>
      </c>
      <c r="X42">
        <f t="shared" si="8"/>
        <v>-2.3019725858040463E-2</v>
      </c>
      <c r="Y42">
        <f t="shared" si="9"/>
        <v>7.7257633811318289</v>
      </c>
      <c r="Z42">
        <f t="shared" si="10"/>
        <v>4.9884659971063847</v>
      </c>
      <c r="AA42">
        <f t="shared" si="11"/>
        <v>-1.8766080862533025E-2</v>
      </c>
      <c r="AB42">
        <f t="shared" si="12"/>
        <v>7.1302530817607881</v>
      </c>
      <c r="AC42">
        <f t="shared" si="13"/>
        <v>4.8987606491313453</v>
      </c>
      <c r="AD42">
        <f t="shared" si="14"/>
        <v>2.3019725858040463E-2</v>
      </c>
      <c r="AE42">
        <f t="shared" si="15"/>
        <v>-5.7257633811318289</v>
      </c>
      <c r="AF42">
        <f t="shared" si="16"/>
        <v>-2.9884659971063847</v>
      </c>
      <c r="AG42">
        <f t="shared" si="17"/>
        <v>1.8766080862533025E-2</v>
      </c>
      <c r="AH42">
        <f t="shared" si="18"/>
        <v>-5.1302530817607881</v>
      </c>
      <c r="AI42">
        <f t="shared" si="19"/>
        <v>-2.8987606491313453</v>
      </c>
    </row>
    <row r="43" spans="1:35">
      <c r="A43" s="3">
        <v>10000</v>
      </c>
      <c r="B43" s="72">
        <f t="shared" si="0"/>
        <v>1.756074594414648E-3</v>
      </c>
      <c r="C43">
        <f>B43/'Sref and POWER SIZING'!$B$2</f>
        <v>0.73846702876982673</v>
      </c>
      <c r="D43">
        <f t="shared" si="1"/>
        <v>48.785328230399998</v>
      </c>
      <c r="E43">
        <v>120</v>
      </c>
      <c r="F43">
        <f t="shared" si="2"/>
        <v>139.64188133445009</v>
      </c>
      <c r="G43">
        <f>(0.5*$B$36*'Sref and POWER SIZING'!$H$80*10.7639*'Sref and POWER SIZING'!$B$10)/Table9[[#Headers],[5850]]</f>
        <v>9.4318099660740259E-5</v>
      </c>
      <c r="H43">
        <f>H42</f>
        <v>3.8000000000000003</v>
      </c>
      <c r="J43">
        <f t="shared" ref="J43:J49" si="22">J42</f>
        <v>-1.52</v>
      </c>
      <c r="K43">
        <f t="shared" si="5"/>
        <v>196</v>
      </c>
      <c r="L43">
        <v>1.2</v>
      </c>
      <c r="M43">
        <f>(2*(Table9[[#Headers],[5850]]/('Sref and POWER SIZING'!$H$80*10.7639))/($B$36*32.174*'Wing &amp; Airfoil'!$B$7*3.28*'Wing &amp; Airfoil'!$L$11))</f>
        <v>21.808566619838427</v>
      </c>
      <c r="N43">
        <f t="shared" si="6"/>
        <v>0.7079510656020146</v>
      </c>
      <c r="O43">
        <f>1+(N43*$K$2*E43*1.688*'Wing &amp; Airfoil'!$L$11)/(498*(Table9[[#Headers],[5850]]/('Sref and POWER SIZING'!$H$80*10.7639)))</f>
        <v>4.0025729380052839</v>
      </c>
      <c r="P43">
        <f>1+(N43*$K$3*E43*1.688*'Wing &amp; Airfoil'!$L$11)/(498*(Table9[[#Headers],[5850]]/('Sref and POWER SIZING'!$H$80*10.7639)))</f>
        <v>2.501286469002642</v>
      </c>
      <c r="Q43">
        <f>1+(N43*$K$4*E43*1.688*'Wing &amp; Airfoil'!$L$11)/(498*(Table9[[#Headers],[5850]]/('Sref and POWER SIZING'!$H$80*10.7639)))</f>
        <v>4.9633962781669734</v>
      </c>
      <c r="U43">
        <f>1-(N43*$K$3*E43*1.688*'Wing &amp; Airfoil'!$L$11)/(498*(Table9[[#Headers],[5850]]/('Sref and POWER SIZING'!$H$80*10.7639)))</f>
        <v>-0.50128646900264195</v>
      </c>
      <c r="V43">
        <f>1-(N43*$K$2*E43*1.688*'Wing &amp; Airfoil'!$L$11)/(498*(Table9[[#Headers],[5850]]/('Sref and POWER SIZING'!$H$80*10.7639)))</f>
        <v>-2.0025729380052839</v>
      </c>
      <c r="W43">
        <f>1-(N43*$K$4*E43*1.688*'Wing &amp; Airfoil'!$L$11)/(498*(Table9[[#Headers],[5850]]/('Sref and POWER SIZING'!$H$80*10.7639)))</f>
        <v>-2.9633962781669734</v>
      </c>
      <c r="X43">
        <f t="shared" si="8"/>
        <v>-2.3019725858040463E-2</v>
      </c>
      <c r="Y43">
        <f t="shared" si="9"/>
        <v>7.7257633811318289</v>
      </c>
      <c r="Z43">
        <f t="shared" si="10"/>
        <v>4.9633962781669734</v>
      </c>
      <c r="AA43">
        <f t="shared" si="11"/>
        <v>-1.8766080862533025E-2</v>
      </c>
      <c r="AB43">
        <f t="shared" si="12"/>
        <v>7.1302530817607881</v>
      </c>
      <c r="AC43">
        <f t="shared" si="13"/>
        <v>4.8783233782568249</v>
      </c>
      <c r="AD43">
        <f t="shared" si="14"/>
        <v>2.3019725858040463E-2</v>
      </c>
      <c r="AE43">
        <f t="shared" si="15"/>
        <v>-5.7257633811318289</v>
      </c>
      <c r="AF43">
        <f t="shared" si="16"/>
        <v>-2.9633962781669734</v>
      </c>
      <c r="AG43">
        <f t="shared" si="17"/>
        <v>1.8766080862533025E-2</v>
      </c>
      <c r="AH43">
        <f t="shared" si="18"/>
        <v>-5.1302530817607881</v>
      </c>
      <c r="AI43">
        <f t="shared" si="19"/>
        <v>-2.8783233782568249</v>
      </c>
    </row>
    <row r="44" spans="1:35">
      <c r="A44" s="3">
        <v>10000</v>
      </c>
      <c r="B44" s="72">
        <f t="shared" si="0"/>
        <v>1.756074594414648E-3</v>
      </c>
      <c r="C44">
        <f>B44/'Sref and POWER SIZING'!$B$2</f>
        <v>0.73846702876982673</v>
      </c>
      <c r="D44">
        <f t="shared" si="1"/>
        <v>66.402252313600002</v>
      </c>
      <c r="E44" s="15">
        <f>'[1]take-off'!$B$16</f>
        <v>140</v>
      </c>
      <c r="F44">
        <f t="shared" si="2"/>
        <v>162.91552822352511</v>
      </c>
      <c r="G44">
        <f>(0.5*$B$36*'Sref and POWER SIZING'!$H$80*10.7639*'Sref and POWER SIZING'!$B$10)/Table9[[#Headers],[5850]]</f>
        <v>9.4318099660740259E-5</v>
      </c>
      <c r="H44">
        <f t="shared" ref="H44:H49" si="23">H43</f>
        <v>3.8000000000000003</v>
      </c>
      <c r="J44">
        <f t="shared" si="22"/>
        <v>-1.52</v>
      </c>
      <c r="K44">
        <f t="shared" si="5"/>
        <v>196</v>
      </c>
      <c r="L44">
        <f>L43+0.5</f>
        <v>1.7</v>
      </c>
      <c r="M44">
        <f>(2*(Table9[[#Headers],[5850]]/('Sref and POWER SIZING'!$H$80*10.7639))/($B$36*32.174*'Wing &amp; Airfoil'!$B$7*3.28*'Wing &amp; Airfoil'!$L$11))</f>
        <v>21.808566619838427</v>
      </c>
      <c r="N44">
        <f t="shared" si="6"/>
        <v>0.7079510656020146</v>
      </c>
      <c r="O44">
        <f>1+(N44*$K$2*E44*1.688*'Wing &amp; Airfoil'!$L$11)/(498*(Table9[[#Headers],[5850]]/('Sref and POWER SIZING'!$H$80*10.7639)))</f>
        <v>4.5030017610061641</v>
      </c>
      <c r="P44">
        <f>1+(N44*$K$3*E44*1.688*'Wing &amp; Airfoil'!$L$11)/(498*(Table9[[#Headers],[5850]]/('Sref and POWER SIZING'!$H$80*10.7639)))</f>
        <v>2.7515008805030821</v>
      </c>
      <c r="U44">
        <f>1-(N44*$K$3*E44*1.688*'Wing &amp; Airfoil'!$L$11)/(498*(Table9[[#Headers],[5850]]/('Sref and POWER SIZING'!$H$80*10.7639)))</f>
        <v>-0.75150088050308206</v>
      </c>
      <c r="V44">
        <f>1-(N44*$K$2*E44*1.688*'Wing &amp; Airfoil'!$L$11)/(498*(Table9[[#Headers],[5850]]/('Sref and POWER SIZING'!$H$80*10.7639)))</f>
        <v>-2.5030017610061641</v>
      </c>
      <c r="X44">
        <f t="shared" si="8"/>
        <v>-2.3019725858040463E-2</v>
      </c>
      <c r="Y44">
        <f t="shared" si="9"/>
        <v>7.7257633811318289</v>
      </c>
      <c r="Z44">
        <f t="shared" si="10"/>
        <v>4.5030017610061641</v>
      </c>
      <c r="AA44">
        <f t="shared" si="11"/>
        <v>-1.8766080862533025E-2</v>
      </c>
      <c r="AB44">
        <f t="shared" si="12"/>
        <v>7.1302530817607881</v>
      </c>
      <c r="AC44">
        <f t="shared" si="13"/>
        <v>4.5030017610061641</v>
      </c>
      <c r="AD44">
        <f t="shared" si="14"/>
        <v>2.3019725858040463E-2</v>
      </c>
      <c r="AE44">
        <f t="shared" si="15"/>
        <v>-5.7257633811318289</v>
      </c>
      <c r="AF44">
        <f t="shared" si="16"/>
        <v>-2.5030017610061641</v>
      </c>
      <c r="AG44">
        <f t="shared" si="17"/>
        <v>1.8766080862533025E-2</v>
      </c>
      <c r="AH44">
        <f t="shared" si="18"/>
        <v>-5.1302530817607881</v>
      </c>
      <c r="AI44">
        <f t="shared" si="19"/>
        <v>-2.5030017610061646</v>
      </c>
    </row>
    <row r="45" spans="1:35">
      <c r="A45" s="3">
        <v>10000</v>
      </c>
      <c r="B45" s="72">
        <f t="shared" si="0"/>
        <v>1.756074594414648E-3</v>
      </c>
      <c r="C45">
        <f>B45/'Sref and POWER SIZING'!$B$2</f>
        <v>0.73846702876982673</v>
      </c>
      <c r="D45">
        <f t="shared" si="1"/>
        <v>97.909443462399992</v>
      </c>
      <c r="E45">
        <v>170</v>
      </c>
      <c r="F45">
        <f t="shared" si="2"/>
        <v>197.82599855713764</v>
      </c>
      <c r="G45">
        <f>(0.5*$B$36*'Sref and POWER SIZING'!$H$80*10.7639*'Sref and POWER SIZING'!$B$10)/Table9[[#Headers],[5850]]</f>
        <v>9.4318099660740259E-5</v>
      </c>
      <c r="H45">
        <f t="shared" si="23"/>
        <v>3.8000000000000003</v>
      </c>
      <c r="J45">
        <f t="shared" si="22"/>
        <v>-1.52</v>
      </c>
      <c r="K45">
        <f t="shared" si="5"/>
        <v>196</v>
      </c>
      <c r="L45">
        <f t="shared" si="20"/>
        <v>2.2000000000000002</v>
      </c>
      <c r="M45">
        <f>(2*(Table9[[#Headers],[5850]]/('Sref and POWER SIZING'!$H$80*10.7639))/($B$36*32.174*'Wing &amp; Airfoil'!$B$7*3.28*'Wing &amp; Airfoil'!$L$11))</f>
        <v>21.808566619838427</v>
      </c>
      <c r="N45">
        <f t="shared" si="6"/>
        <v>0.7079510656020146</v>
      </c>
      <c r="P45">
        <f>1+(N45*$K$3*E45*1.688*'Wing &amp; Airfoil'!$L$11)/(498*(Table9[[#Headers],[5850]]/('Sref and POWER SIZING'!$H$80*10.7639)))</f>
        <v>3.126822497753742</v>
      </c>
      <c r="U45">
        <f>1-(N45*$K$3*E45*1.688*'Wing &amp; Airfoil'!$L$11)/(498*(Table9[[#Headers],[5850]]/('Sref and POWER SIZING'!$H$80*10.7639)))</f>
        <v>-1.126822497753742</v>
      </c>
      <c r="X45">
        <f t="shared" si="8"/>
        <v>-2.3019725858040463E-2</v>
      </c>
      <c r="Y45">
        <f t="shared" si="9"/>
        <v>7.7257633811318289</v>
      </c>
      <c r="Z45">
        <f t="shared" si="10"/>
        <v>3.8124099852649502</v>
      </c>
      <c r="AA45">
        <f t="shared" si="11"/>
        <v>-1.8766080862533025E-2</v>
      </c>
      <c r="AB45">
        <f t="shared" si="12"/>
        <v>7.1302530817607881</v>
      </c>
      <c r="AC45">
        <f t="shared" si="13"/>
        <v>3.9400193351301738</v>
      </c>
      <c r="AD45">
        <f t="shared" si="14"/>
        <v>2.3019725858040463E-2</v>
      </c>
      <c r="AE45">
        <f t="shared" si="15"/>
        <v>-5.7257633811318289</v>
      </c>
      <c r="AF45">
        <f t="shared" si="16"/>
        <v>-1.8124099852649502</v>
      </c>
      <c r="AG45">
        <f t="shared" si="17"/>
        <v>1.8766080862533025E-2</v>
      </c>
      <c r="AH45">
        <f t="shared" si="18"/>
        <v>-5.1302530817607881</v>
      </c>
      <c r="AI45">
        <f t="shared" si="19"/>
        <v>-1.9400193351301738</v>
      </c>
    </row>
    <row r="46" spans="1:35">
      <c r="A46" s="3">
        <v>10000</v>
      </c>
      <c r="B46" s="72">
        <f t="shared" si="0"/>
        <v>1.756074594414648E-3</v>
      </c>
      <c r="C46">
        <f>B46/'Sref and POWER SIZING'!$B$2</f>
        <v>0.73846702876982673</v>
      </c>
      <c r="D46">
        <f t="shared" si="1"/>
        <v>103.75351924000003</v>
      </c>
      <c r="E46">
        <v>175</v>
      </c>
      <c r="F46">
        <f t="shared" si="2"/>
        <v>203.6444102794064</v>
      </c>
      <c r="G46">
        <f>(0.5*$B$36*'Sref and POWER SIZING'!$H$80*10.7639*'Sref and POWER SIZING'!$B$10)/Table9[[#Headers],[5850]]</f>
        <v>9.4318099660740259E-5</v>
      </c>
      <c r="H46">
        <f t="shared" si="23"/>
        <v>3.8000000000000003</v>
      </c>
      <c r="J46">
        <f t="shared" si="22"/>
        <v>-1.52</v>
      </c>
      <c r="K46">
        <f t="shared" si="5"/>
        <v>196</v>
      </c>
      <c r="L46">
        <f t="shared" si="20"/>
        <v>2.7</v>
      </c>
      <c r="M46">
        <f>(2*(Table9[[#Headers],[5850]]/('Sref and POWER SIZING'!$H$80*10.7639))/($B$36*32.174*'Wing &amp; Airfoil'!$B$7*3.28*'Wing &amp; Airfoil'!$L$11))</f>
        <v>21.808566619838427</v>
      </c>
      <c r="N46">
        <f t="shared" si="6"/>
        <v>0.7079510656020146</v>
      </c>
      <c r="P46">
        <f>1+(N46*$K$3*E46*1.688*'Wing &amp; Airfoil'!$L$11)/(498*(Table9[[#Headers],[5850]]/('Sref and POWER SIZING'!$H$80*10.7639)))</f>
        <v>3.1893761006288521</v>
      </c>
      <c r="U46">
        <f>1-(N46*$K$3*E46*1.688*'Wing &amp; Airfoil'!$L$11)/(498*(Table9[[#Headers],[5850]]/('Sref and POWER SIZING'!$H$80*10.7639)))</f>
        <v>-1.1893761006288521</v>
      </c>
      <c r="X46">
        <f t="shared" si="8"/>
        <v>-2.3019725858040463E-2</v>
      </c>
      <c r="Y46">
        <f t="shared" si="9"/>
        <v>7.7257633811318289</v>
      </c>
      <c r="Z46">
        <f t="shared" si="10"/>
        <v>3.6973113559747475</v>
      </c>
      <c r="AA46">
        <f t="shared" si="11"/>
        <v>-1.8766080862533025E-2</v>
      </c>
      <c r="AB46">
        <f t="shared" si="12"/>
        <v>7.1302530817607881</v>
      </c>
      <c r="AC46">
        <f t="shared" si="13"/>
        <v>3.8461889308175086</v>
      </c>
      <c r="AD46">
        <f t="shared" si="14"/>
        <v>2.3019725858040463E-2</v>
      </c>
      <c r="AE46">
        <f t="shared" si="15"/>
        <v>-5.7257633811318289</v>
      </c>
      <c r="AF46">
        <f t="shared" si="16"/>
        <v>-1.6973113559747475</v>
      </c>
      <c r="AG46">
        <f t="shared" si="17"/>
        <v>1.8766080862533025E-2</v>
      </c>
      <c r="AH46">
        <f t="shared" si="18"/>
        <v>-5.1302530817607881</v>
      </c>
      <c r="AI46">
        <f t="shared" si="19"/>
        <v>-1.8461889308175086</v>
      </c>
    </row>
    <row r="47" spans="1:35">
      <c r="A47" s="3">
        <v>10000</v>
      </c>
      <c r="B47" s="72">
        <f t="shared" si="0"/>
        <v>1.756074594414648E-3</v>
      </c>
      <c r="C47">
        <f>B47/'Sref and POWER SIZING'!$B$2</f>
        <v>0.73846702876982673</v>
      </c>
      <c r="D47">
        <f t="shared" si="1"/>
        <v>109.76698851840001</v>
      </c>
      <c r="E47">
        <v>180</v>
      </c>
      <c r="F47">
        <f t="shared" si="2"/>
        <v>209.46282200167514</v>
      </c>
      <c r="G47">
        <f>(0.5*$B$36*'Sref and POWER SIZING'!$H$80*10.7639*'Sref and POWER SIZING'!$B$10)/Table9[[#Headers],[5850]]</f>
        <v>9.4318099660740259E-5</v>
      </c>
      <c r="H47">
        <f t="shared" si="23"/>
        <v>3.8000000000000003</v>
      </c>
      <c r="J47">
        <f t="shared" si="22"/>
        <v>-1.52</v>
      </c>
      <c r="K47">
        <f t="shared" si="5"/>
        <v>196</v>
      </c>
      <c r="L47">
        <f t="shared" si="20"/>
        <v>3.2</v>
      </c>
      <c r="M47">
        <f>(2*(Table9[[#Headers],[5850]]/('Sref and POWER SIZING'!$H$80*10.7639))/($B$36*32.174*'Wing &amp; Airfoil'!$B$7*3.28*'Wing &amp; Airfoil'!$L$11))</f>
        <v>21.808566619838427</v>
      </c>
      <c r="N47">
        <f t="shared" si="6"/>
        <v>0.7079510656020146</v>
      </c>
      <c r="P47">
        <f>1+(N47*$K$3*E47*1.688*'Wing &amp; Airfoil'!$L$11)/(498*(Table9[[#Headers],[5850]]/('Sref and POWER SIZING'!$H$80*10.7639)))</f>
        <v>3.2519297035039627</v>
      </c>
      <c r="U47">
        <f>1-(N47*$K$3*E47*1.688*'Wing &amp; Airfoil'!$L$11)/(498*(Table9[[#Headers],[5850]]/('Sref and POWER SIZING'!$H$80*10.7639)))</f>
        <v>-1.2519297035039627</v>
      </c>
      <c r="X47">
        <f t="shared" si="8"/>
        <v>-2.3019725858040463E-2</v>
      </c>
      <c r="Y47">
        <f t="shared" si="9"/>
        <v>7.7257633811318289</v>
      </c>
      <c r="Z47">
        <f t="shared" si="10"/>
        <v>3.5822127266845456</v>
      </c>
      <c r="AA47">
        <f t="shared" si="11"/>
        <v>-1.8766080862533025E-2</v>
      </c>
      <c r="AB47">
        <f t="shared" si="12"/>
        <v>7.1302530817607881</v>
      </c>
      <c r="AC47">
        <f t="shared" si="13"/>
        <v>3.7523585265048434</v>
      </c>
      <c r="AD47">
        <f t="shared" si="14"/>
        <v>2.3019725858040463E-2</v>
      </c>
      <c r="AE47">
        <f t="shared" si="15"/>
        <v>-5.7257633811318289</v>
      </c>
      <c r="AF47">
        <f t="shared" si="16"/>
        <v>-1.5822127266845456</v>
      </c>
      <c r="AG47">
        <f t="shared" si="17"/>
        <v>1.8766080862533025E-2</v>
      </c>
      <c r="AH47">
        <f t="shared" si="18"/>
        <v>-5.1302530817607881</v>
      </c>
      <c r="AI47">
        <f t="shared" si="19"/>
        <v>-1.7523585265048434</v>
      </c>
    </row>
    <row r="48" spans="1:35">
      <c r="A48" s="3">
        <v>10000</v>
      </c>
      <c r="B48" s="72">
        <f t="shared" si="0"/>
        <v>1.756074594414648E-3</v>
      </c>
      <c r="C48">
        <f>B48/'Sref and POWER SIZING'!$B$2</f>
        <v>0.73846702876982673</v>
      </c>
      <c r="D48">
        <f t="shared" si="1"/>
        <v>122.30210757760001</v>
      </c>
      <c r="E48">
        <f t="shared" ref="E48" si="24">E47+10</f>
        <v>190</v>
      </c>
      <c r="F48">
        <f t="shared" si="2"/>
        <v>221.09964544621266</v>
      </c>
      <c r="G48">
        <f>(0.5*$B$36*'Sref and POWER SIZING'!$H$80*10.7639*'Sref and POWER SIZING'!$B$10)/Table9[[#Headers],[5850]]</f>
        <v>9.4318099660740259E-5</v>
      </c>
      <c r="H48">
        <f t="shared" si="23"/>
        <v>3.8000000000000003</v>
      </c>
      <c r="J48">
        <f t="shared" si="22"/>
        <v>-1.52</v>
      </c>
      <c r="K48">
        <f t="shared" si="5"/>
        <v>196</v>
      </c>
      <c r="L48">
        <v>3.5</v>
      </c>
      <c r="M48">
        <f>(2*(Table9[[#Headers],[5850]]/('Sref and POWER SIZING'!$H$80*10.7639))/($B$36*32.174*'Wing &amp; Airfoil'!$B$7*3.28*'Wing &amp; Airfoil'!$L$11))</f>
        <v>21.808566619838427</v>
      </c>
      <c r="N48">
        <f t="shared" si="6"/>
        <v>0.7079510656020146</v>
      </c>
      <c r="P48">
        <f>1+(N48*$K$3*E48*1.688*'Wing &amp; Airfoil'!$L$11)/(498*(Table9[[#Headers],[5850]]/('Sref and POWER SIZING'!$H$80*10.7639)))</f>
        <v>3.3770369092541825</v>
      </c>
      <c r="U48">
        <f>1-(N48*$K$3*E48*1.688*'Wing &amp; Airfoil'!$L$11)/(498*(Table9[[#Headers],[5850]]/('Sref and POWER SIZING'!$H$80*10.7639)))</f>
        <v>-1.3770369092541825</v>
      </c>
      <c r="X48">
        <f t="shared" si="8"/>
        <v>-2.3019725858040463E-2</v>
      </c>
      <c r="Y48">
        <f t="shared" si="9"/>
        <v>7.7257633811318289</v>
      </c>
      <c r="Z48">
        <f t="shared" si="10"/>
        <v>3.352015468104141</v>
      </c>
      <c r="AA48">
        <f t="shared" si="11"/>
        <v>-1.8766080862533025E-2</v>
      </c>
      <c r="AB48">
        <f t="shared" si="12"/>
        <v>7.1302530817607881</v>
      </c>
      <c r="AC48">
        <f t="shared" si="13"/>
        <v>3.5646977178795134</v>
      </c>
      <c r="AD48">
        <f t="shared" si="14"/>
        <v>2.3019725858040463E-2</v>
      </c>
      <c r="AE48">
        <f t="shared" si="15"/>
        <v>-5.7257633811318289</v>
      </c>
      <c r="AF48">
        <f t="shared" si="16"/>
        <v>-1.352015468104141</v>
      </c>
      <c r="AG48">
        <f t="shared" si="17"/>
        <v>1.8766080862533025E-2</v>
      </c>
      <c r="AH48">
        <f t="shared" si="18"/>
        <v>-5.1302530817607881</v>
      </c>
      <c r="AI48">
        <f t="shared" si="19"/>
        <v>-1.5646977178795134</v>
      </c>
    </row>
    <row r="49" spans="1:35">
      <c r="A49" s="3">
        <v>10000</v>
      </c>
      <c r="B49" s="72">
        <f t="shared" si="0"/>
        <v>1.756074594414648E-3</v>
      </c>
      <c r="C49">
        <f>B49/'Sref and POWER SIZING'!$B$2</f>
        <v>0.73846702876982673</v>
      </c>
      <c r="D49">
        <f t="shared" si="1"/>
        <v>130.14841453465601</v>
      </c>
      <c r="E49" s="15">
        <f>C9</f>
        <v>196</v>
      </c>
      <c r="F49">
        <f t="shared" si="2"/>
        <v>228.08173951293514</v>
      </c>
      <c r="G49">
        <f>(0.5*$B$36*'Sref and POWER SIZING'!$H$80*10.7639*'Sref and POWER SIZING'!$B$10)/Table9[[#Headers],[5850]]</f>
        <v>9.4318099660740259E-5</v>
      </c>
      <c r="H49">
        <f t="shared" si="23"/>
        <v>3.8000000000000003</v>
      </c>
      <c r="J49">
        <f t="shared" si="22"/>
        <v>-1.52</v>
      </c>
      <c r="K49">
        <f t="shared" si="5"/>
        <v>196</v>
      </c>
      <c r="L49">
        <f>C3</f>
        <v>3.8</v>
      </c>
      <c r="M49">
        <f>(2*(Table9[[#Headers],[5850]]/('Sref and POWER SIZING'!$H$80*10.7639))/($B$36*32.174*'Wing &amp; Airfoil'!$B$7*3.28*'Wing &amp; Airfoil'!$L$11))</f>
        <v>21.808566619838427</v>
      </c>
      <c r="N49">
        <f t="shared" si="6"/>
        <v>0.7079510656020146</v>
      </c>
      <c r="P49">
        <f>1+(N49*$K$3*E49*1.688*'Wing &amp; Airfoil'!$L$11)/(498*(Table9[[#Headers],[5850]]/('Sref and POWER SIZING'!$H$80*10.7639)))</f>
        <v>3.4521012327043148</v>
      </c>
      <c r="U49">
        <f>1-(N49*$K$3*E49*1.688*'Wing &amp; Airfoil'!$L$11)/(498*(Table9[[#Headers],[5850]]/('Sref and POWER SIZING'!$H$80*10.7639)))</f>
        <v>-1.4521012327043148</v>
      </c>
      <c r="X49">
        <f t="shared" si="8"/>
        <v>-2.3019725858040463E-2</v>
      </c>
      <c r="Y49">
        <f t="shared" si="9"/>
        <v>7.7257633811318289</v>
      </c>
      <c r="Z49">
        <f t="shared" si="10"/>
        <v>3.2138971129558982</v>
      </c>
      <c r="AA49">
        <f t="shared" si="11"/>
        <v>-1.8766080862533025E-2</v>
      </c>
      <c r="AB49">
        <f t="shared" si="12"/>
        <v>7.1302530817607881</v>
      </c>
      <c r="AC49">
        <f t="shared" si="13"/>
        <v>3.4521012327043152</v>
      </c>
      <c r="AD49">
        <f t="shared" si="14"/>
        <v>2.3019725858040463E-2</v>
      </c>
      <c r="AE49">
        <f t="shared" si="15"/>
        <v>-5.7257633811318289</v>
      </c>
      <c r="AF49">
        <f t="shared" si="16"/>
        <v>-1.2138971129558982</v>
      </c>
      <c r="AG49">
        <f t="shared" si="17"/>
        <v>1.8766080862533025E-2</v>
      </c>
      <c r="AH49">
        <f t="shared" si="18"/>
        <v>-5.1302530817607881</v>
      </c>
      <c r="AI49">
        <f t="shared" si="19"/>
        <v>-1.4521012327043152</v>
      </c>
    </row>
  </sheetData>
  <mergeCells count="14">
    <mergeCell ref="I1:L1"/>
    <mergeCell ref="R35:S35"/>
    <mergeCell ref="A8:B8"/>
    <mergeCell ref="I34:J34"/>
    <mergeCell ref="G34:H34"/>
    <mergeCell ref="K34:L34"/>
    <mergeCell ref="A6:B6"/>
    <mergeCell ref="A7:B7"/>
    <mergeCell ref="I4:J4"/>
    <mergeCell ref="I2:J2"/>
    <mergeCell ref="I3:J3"/>
    <mergeCell ref="A2:B2"/>
    <mergeCell ref="A4:B4"/>
    <mergeCell ref="A5:B5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2:P33"/>
  <sheetViews>
    <sheetView topLeftCell="A22" workbookViewId="0">
      <selection activeCell="J35" sqref="J35"/>
    </sheetView>
  </sheetViews>
  <sheetFormatPr defaultRowHeight="14.5"/>
  <cols>
    <col min="1" max="1" width="11.1796875" customWidth="1"/>
    <col min="2" max="3" width="11" customWidth="1"/>
    <col min="5" max="5" width="13.453125" customWidth="1"/>
    <col min="6" max="6" width="14.54296875" customWidth="1"/>
    <col min="8" max="13" width="11" customWidth="1"/>
  </cols>
  <sheetData>
    <row r="2" spans="1:15" ht="18.5">
      <c r="I2" s="45" t="s">
        <v>241</v>
      </c>
    </row>
    <row r="3" spans="1:15">
      <c r="H3" s="28"/>
      <c r="I3" s="28" t="s">
        <v>208</v>
      </c>
      <c r="J3" s="27" t="s">
        <v>209</v>
      </c>
      <c r="K3" s="28" t="s">
        <v>210</v>
      </c>
      <c r="L3" s="2" t="s">
        <v>211</v>
      </c>
      <c r="M3" t="s">
        <v>227</v>
      </c>
      <c r="N3" t="s">
        <v>230</v>
      </c>
    </row>
    <row r="4" spans="1:15">
      <c r="B4" s="28" t="s">
        <v>180</v>
      </c>
      <c r="E4" s="30" t="s">
        <v>191</v>
      </c>
      <c r="F4" s="30"/>
      <c r="H4" t="s">
        <v>207</v>
      </c>
      <c r="I4" s="41">
        <v>1.53</v>
      </c>
      <c r="J4" s="41">
        <v>-4</v>
      </c>
      <c r="K4" s="41">
        <v>0.4</v>
      </c>
      <c r="L4" s="39">
        <v>0.106</v>
      </c>
      <c r="M4" s="39">
        <v>0.4</v>
      </c>
      <c r="N4" s="39">
        <v>6.8000000000000005E-2</v>
      </c>
    </row>
    <row r="5" spans="1:15">
      <c r="A5" t="s">
        <v>182</v>
      </c>
      <c r="B5" s="3">
        <v>0.45</v>
      </c>
      <c r="E5" s="69" t="s">
        <v>294</v>
      </c>
      <c r="F5" s="68"/>
      <c r="H5" t="s">
        <v>225</v>
      </c>
      <c r="I5" s="41">
        <v>1.66</v>
      </c>
      <c r="J5" s="41">
        <v>-4</v>
      </c>
      <c r="K5" s="41">
        <v>0.4</v>
      </c>
      <c r="L5" s="39">
        <v>0.106</v>
      </c>
      <c r="M5" s="39">
        <v>0.4</v>
      </c>
      <c r="N5" s="39">
        <v>6.2E-2</v>
      </c>
    </row>
    <row r="6" spans="1:15">
      <c r="A6" t="s">
        <v>183</v>
      </c>
      <c r="B6">
        <f>SQRT('Sref and POWER SIZING'!H80*'Sref and POWER SIZING'!B17)</f>
        <v>13.668181850306434</v>
      </c>
      <c r="C6" t="s">
        <v>184</v>
      </c>
      <c r="E6" t="s">
        <v>186</v>
      </c>
      <c r="F6" s="29">
        <f>('Sref and POWER SIZING'!B11*1.688*'Wing &amp; Airfoil'!B7*3.28*'Sref and POWER SIZING'!B2/(3.737*10^-7))</f>
        <v>3766006.0993291442</v>
      </c>
      <c r="H6" t="s">
        <v>226</v>
      </c>
      <c r="I6" s="41">
        <v>1.87</v>
      </c>
      <c r="J6" s="41">
        <v>-4</v>
      </c>
      <c r="K6" s="41">
        <v>0.4</v>
      </c>
      <c r="L6" s="39">
        <v>0.106</v>
      </c>
      <c r="M6" s="39">
        <v>0.4</v>
      </c>
      <c r="N6" s="39">
        <v>0.06</v>
      </c>
    </row>
    <row r="7" spans="1:15">
      <c r="A7" t="s">
        <v>185</v>
      </c>
      <c r="B7">
        <f>B6/'PERFORMANCE SIZING '!B7</f>
        <v>1.7523310064495428</v>
      </c>
      <c r="C7" t="s">
        <v>184</v>
      </c>
      <c r="E7" t="s">
        <v>187</v>
      </c>
      <c r="F7" s="29">
        <f>'[1]take-off'!$S$26*1.688*B7*3.28*'Sref and POWER SIZING'!B2/(3.737*10^-7)</f>
        <v>4143580.8342413362</v>
      </c>
    </row>
    <row r="8" spans="1:15" ht="16.5">
      <c r="A8" t="s">
        <v>189</v>
      </c>
      <c r="B8">
        <f>((3/2)*B7)/( (1+B5+B5^2)/(1+B5))</f>
        <v>2.3063963322406993</v>
      </c>
      <c r="C8" t="s">
        <v>184</v>
      </c>
      <c r="E8" t="s">
        <v>61</v>
      </c>
      <c r="F8" s="29">
        <f>'PERFORMANCE SIZING '!B22*1.688*'Sref and POWER SIZING'!B2*'Wing &amp; Airfoil'!B7*3.28/(3.534*10^-7)</f>
        <v>9139780.6370296124</v>
      </c>
    </row>
    <row r="9" spans="1:15" ht="16.5">
      <c r="A9" t="s">
        <v>188</v>
      </c>
      <c r="B9">
        <f>B8*B5</f>
        <v>1.0378783495083148</v>
      </c>
      <c r="C9" t="s">
        <v>184</v>
      </c>
      <c r="E9" s="67" t="s">
        <v>295</v>
      </c>
      <c r="F9" s="66"/>
    </row>
    <row r="10" spans="1:15">
      <c r="A10" t="s">
        <v>214</v>
      </c>
      <c r="B10" s="3">
        <v>5</v>
      </c>
      <c r="C10" t="s">
        <v>193</v>
      </c>
      <c r="E10" t="s">
        <v>186</v>
      </c>
      <c r="F10">
        <f>('Sref and POWER SIZING'!B11*1.688*B8*3.28*'Sref and POWER SIZING'!B2/(3.737*10^-7))</f>
        <v>4956770.5089506134</v>
      </c>
      <c r="I10" s="40"/>
      <c r="K10" s="42" t="s">
        <v>200</v>
      </c>
      <c r="L10" s="34"/>
    </row>
    <row r="11" spans="1:15">
      <c r="A11" t="s">
        <v>215</v>
      </c>
      <c r="B11" s="3">
        <v>-3.6</v>
      </c>
      <c r="C11" t="s">
        <v>193</v>
      </c>
      <c r="E11" s="67" t="s">
        <v>296</v>
      </c>
      <c r="F11" s="66"/>
      <c r="G11" s="23"/>
      <c r="H11" s="23"/>
      <c r="J11" s="41" t="s">
        <v>291</v>
      </c>
      <c r="K11" s="33"/>
      <c r="L11">
        <f>(2*3.142*'Sref and POWER SIZING'!B17)/( 2+ SQRT(  (('Sref and POWER SIZING'!B17*'Wing &amp; Airfoil'!F16)/'Wing &amp; Airfoil'!F17)^2 *(1 +( (TAN(RADIANS('Wing &amp; Airfoil'!B14)))^2/('Wing &amp; Airfoil'!F16^2)))+4))</f>
        <v>4.7321150412315607</v>
      </c>
      <c r="M11" t="s">
        <v>219</v>
      </c>
      <c r="N11" s="25" t="s">
        <v>293</v>
      </c>
      <c r="O11" s="25"/>
    </row>
    <row r="12" spans="1:15" ht="15.75" customHeight="1">
      <c r="A12" s="31" t="s">
        <v>217</v>
      </c>
      <c r="B12" s="3">
        <v>0</v>
      </c>
      <c r="C12" t="s">
        <v>193</v>
      </c>
      <c r="E12" t="s">
        <v>186</v>
      </c>
      <c r="F12">
        <f>('Sref and POWER SIZING'!B11*1.688*B9*3.28*'Sref and POWER SIZING'!B2/(3.737*10^-7))</f>
        <v>2230546.729027776</v>
      </c>
      <c r="G12" s="23"/>
      <c r="K12" s="4" t="s">
        <v>220</v>
      </c>
      <c r="L12">
        <f>L11/57.3</f>
        <v>8.2584904733535094E-2</v>
      </c>
      <c r="M12" t="s">
        <v>221</v>
      </c>
    </row>
    <row r="13" spans="1:15">
      <c r="A13" t="s">
        <v>216</v>
      </c>
      <c r="B13" s="3">
        <v>2.4350000000000001</v>
      </c>
      <c r="C13" t="s">
        <v>193</v>
      </c>
      <c r="J13" s="41" t="s">
        <v>292</v>
      </c>
      <c r="K13" s="33"/>
      <c r="L13">
        <f>(2*3.142*'Sref and POWER SIZING'!B17)/( 2+ SQRT('Sref and POWER SIZING'!B17^2+4))</f>
        <v>4.876004426805971</v>
      </c>
    </row>
    <row r="14" spans="1:15" ht="16.5">
      <c r="A14" s="31" t="s">
        <v>218</v>
      </c>
      <c r="B14" s="3">
        <v>8</v>
      </c>
      <c r="C14" t="s">
        <v>193</v>
      </c>
      <c r="K14" s="37" t="s">
        <v>764</v>
      </c>
      <c r="L14" s="37">
        <f>ABS(B24/57.3)*L11</f>
        <v>0.33033961893414038</v>
      </c>
    </row>
    <row r="15" spans="1:15" ht="16.5">
      <c r="A15" t="s">
        <v>224</v>
      </c>
      <c r="B15" s="3">
        <v>1.8</v>
      </c>
      <c r="C15" t="s">
        <v>193</v>
      </c>
      <c r="E15" s="39" t="s">
        <v>237</v>
      </c>
      <c r="F15">
        <f>(1.688*'Sref and POWER SIZING'!B11)/(340.29*3.28)</f>
        <v>9.2252734217371263E-2</v>
      </c>
      <c r="K15" s="39" t="s">
        <v>240</v>
      </c>
      <c r="L15">
        <f>L12*(B28/(B21/57.3))</f>
        <v>-7.1677464485709705E-2</v>
      </c>
    </row>
    <row r="16" spans="1:15" ht="16.5">
      <c r="A16" t="s">
        <v>232</v>
      </c>
      <c r="B16">
        <f xml:space="preserve"> ( (B6/6)*((1+2*B5)/(1+B5)))</f>
        <v>2.985005231676118</v>
      </c>
      <c r="C16" t="s">
        <v>184</v>
      </c>
      <c r="E16" s="39" t="s">
        <v>236</v>
      </c>
      <c r="F16">
        <f>(1-F15^2)^0.5</f>
        <v>0.99573562406364624</v>
      </c>
      <c r="K16" s="39" t="s">
        <v>208</v>
      </c>
      <c r="L16">
        <f>( (I5)+( ( (2*Table12[[#This Row],[Column2]])/B6)*(I4-I5)))</f>
        <v>1.6032183908045976</v>
      </c>
    </row>
    <row r="17" spans="1:16" ht="16.5">
      <c r="A17" t="s">
        <v>408</v>
      </c>
      <c r="B17" s="23">
        <f>Table2[[#This Row],[170]]</f>
        <v>7.8</v>
      </c>
      <c r="E17" s="38" t="s">
        <v>3</v>
      </c>
      <c r="F17" s="23">
        <f>B21/(2*3.142)</f>
        <v>0.9665499681731381</v>
      </c>
      <c r="K17" s="39" t="s">
        <v>239</v>
      </c>
      <c r="L17">
        <f>0.9*L16</f>
        <v>1.4428965517241379</v>
      </c>
    </row>
    <row r="18" spans="1:16" ht="20.5">
      <c r="E18" s="39" t="s">
        <v>300</v>
      </c>
      <c r="F18">
        <f>0.38-(B13/3000)+(B13^2/15000)</f>
        <v>0.37958361500000004</v>
      </c>
      <c r="K18" s="43" t="s">
        <v>238</v>
      </c>
      <c r="L18" s="44">
        <f>L17*COS(RADIANS(B120))</f>
        <v>1.4428965517241379</v>
      </c>
    </row>
    <row r="20" spans="1:16" ht="16.5">
      <c r="A20" s="1"/>
      <c r="B20" s="28" t="s">
        <v>192</v>
      </c>
      <c r="D20" s="6" t="s">
        <v>212</v>
      </c>
      <c r="E20" s="6"/>
      <c r="F20" s="6"/>
      <c r="G20" s="6"/>
      <c r="H20" s="6"/>
      <c r="N20" t="s">
        <v>410</v>
      </c>
      <c r="O20" s="113">
        <f>(SQRT((Table9[[#Headers],[5850]]/(0.5*'Sref and POWER SIZING'!B2*'Sref and POWER SIZING'!H80*10.7639*'Wing &amp; Airfoil'!L18))))/1.688</f>
        <v>68.131616240365631</v>
      </c>
      <c r="P20" t="s">
        <v>411</v>
      </c>
    </row>
    <row r="21" spans="1:16">
      <c r="A21" t="s">
        <v>199</v>
      </c>
      <c r="B21" s="3">
        <f>B22*57.3</f>
        <v>6.0737999999999994</v>
      </c>
      <c r="C21" t="s">
        <v>219</v>
      </c>
      <c r="D21" s="6" t="s">
        <v>213</v>
      </c>
      <c r="E21" s="6"/>
      <c r="F21" s="6"/>
      <c r="G21" s="6"/>
      <c r="H21" s="6"/>
    </row>
    <row r="22" spans="1:16">
      <c r="A22" s="32"/>
      <c r="B22" s="3">
        <f>L4</f>
        <v>0.106</v>
      </c>
      <c r="D22" s="6"/>
      <c r="E22" s="6"/>
      <c r="F22" s="6"/>
      <c r="G22" s="6"/>
      <c r="H22" s="6"/>
    </row>
    <row r="23" spans="1:16">
      <c r="A23" t="s">
        <v>198</v>
      </c>
      <c r="B23" s="3">
        <f>K5</f>
        <v>0.4</v>
      </c>
      <c r="E23" s="23"/>
      <c r="F23" s="23"/>
      <c r="K23" s="60" t="s">
        <v>398</v>
      </c>
      <c r="L23" s="95"/>
      <c r="M23" s="95"/>
    </row>
    <row r="24" spans="1:16">
      <c r="A24" s="1" t="s">
        <v>197</v>
      </c>
      <c r="B24" s="3">
        <f>J5</f>
        <v>-4</v>
      </c>
      <c r="F24" s="267" t="s">
        <v>403</v>
      </c>
      <c r="G24" s="267"/>
      <c r="H24" s="267"/>
      <c r="I24" s="267"/>
      <c r="K24" t="s">
        <v>297</v>
      </c>
    </row>
    <row r="25" spans="1:16" ht="16.5">
      <c r="A25" s="1" t="s">
        <v>196</v>
      </c>
      <c r="B25" s="3">
        <v>14</v>
      </c>
      <c r="C25" t="s">
        <v>193</v>
      </c>
      <c r="G25" t="s">
        <v>401</v>
      </c>
      <c r="H25" s="3">
        <v>6.9390000000000001E-4</v>
      </c>
      <c r="L25" s="93" t="s">
        <v>397</v>
      </c>
      <c r="M25">
        <f>1.78*(1-0.045*'PERFORMANCE SIZING '!B7^0.68)-0.64</f>
        <v>0.81621491008207958</v>
      </c>
    </row>
    <row r="26" spans="1:16" ht="16.5">
      <c r="A26" s="1" t="s">
        <v>194</v>
      </c>
      <c r="B26" s="3">
        <v>0.4</v>
      </c>
      <c r="G26" t="s">
        <v>402</v>
      </c>
      <c r="H26" s="3">
        <v>0.35</v>
      </c>
      <c r="K26" t="s">
        <v>298</v>
      </c>
    </row>
    <row r="27" spans="1:16" ht="16.5">
      <c r="A27" s="1" t="s">
        <v>195</v>
      </c>
      <c r="B27" s="3">
        <f>I4</f>
        <v>1.53</v>
      </c>
      <c r="G27" t="s">
        <v>405</v>
      </c>
      <c r="H27" s="3">
        <f>0.01599</f>
        <v>1.5990000000000001E-2</v>
      </c>
      <c r="L27" s="93" t="s">
        <v>397</v>
      </c>
      <c r="M27">
        <f>(4.61*(1-0.045*'PERFORMANCE SIZING '!B7^0.68)*(COS(RADIANS(B13)))^0.15)-3.1</f>
        <v>0.67092199654312834</v>
      </c>
    </row>
    <row r="28" spans="1:16">
      <c r="A28" s="1" t="s">
        <v>222</v>
      </c>
      <c r="B28" s="3">
        <v>-9.1999999999999998E-2</v>
      </c>
      <c r="K28" t="s">
        <v>299</v>
      </c>
    </row>
    <row r="29" spans="1:16" ht="16.5">
      <c r="A29" s="1" t="s">
        <v>228</v>
      </c>
      <c r="B29" s="3">
        <v>0.247</v>
      </c>
      <c r="C29" t="s">
        <v>229</v>
      </c>
      <c r="G29" t="s">
        <v>405</v>
      </c>
      <c r="H29">
        <f>(([1]cruise!$B$7*1100*[1]cruise!$B$8)/([1]cruise!$B$9*([1]cruise!$B$11*1.688)^3*'[1]take-off'!$R$10))-('[1]take-off'!$P$7*((2*'[1]take-off'!$P$9)/('[1]take-off'!$R$10*[1]cruise!$B$9*([1]cruise!$B$11*1.688)^2))^2)</f>
        <v>4.084775659758888E-2</v>
      </c>
      <c r="L29" s="93" t="s">
        <v>397</v>
      </c>
      <c r="M29">
        <f>2/( 2-'PERFORMANCE SIZING '!B7+SQRT(4+'PERFORMANCE SIZING '!B7^2*(1+ (TAN(RADIANS('Wing &amp; Airfoil'!B14)))^2)))</f>
        <v>0.85962195130891961</v>
      </c>
    </row>
    <row r="30" spans="1:16" ht="16.5">
      <c r="A30" s="1" t="s">
        <v>230</v>
      </c>
      <c r="B30">
        <v>6.0000000000000001E-3</v>
      </c>
      <c r="G30" t="s">
        <v>668</v>
      </c>
      <c r="H30">
        <f>([1]cruise!$B$7*1100*[1]cruise!$B$8)/([1]cruise!$B$9*([1]cruise!$B$11*1.688)^3*'[1]take-off'!$R$10)</f>
        <v>5.2412304516324615E-2</v>
      </c>
      <c r="J30" s="94"/>
      <c r="K30" s="96"/>
      <c r="L30" s="109" t="s">
        <v>301</v>
      </c>
    </row>
    <row r="31" spans="1:16" ht="16.5">
      <c r="A31" s="1" t="s">
        <v>231</v>
      </c>
      <c r="B31">
        <v>0.64700000000000002</v>
      </c>
      <c r="G31" t="s">
        <v>406</v>
      </c>
      <c r="H31">
        <f>H30-H29</f>
        <v>1.1564547918735735E-2</v>
      </c>
      <c r="L31" s="93" t="s">
        <v>397</v>
      </c>
      <c r="M31">
        <f>1/((3.142*'PERFORMANCE SIZING '!B7*'Wing &amp; Airfoil'!F18*'Sref and POWER SIZING'!B15)+( 1/((1+(0.03*('Detailed Weights'!S9/('Wing &amp; Airfoil'!B6*3.28)))-(2*('Detailed Weights'!S9/('Wing &amp; Airfoil'!B6*3.28))^2))*0.9)))</f>
        <v>0.73603419981838547</v>
      </c>
    </row>
    <row r="32" spans="1:16">
      <c r="A32" s="1" t="s">
        <v>252</v>
      </c>
      <c r="B32">
        <v>0.12</v>
      </c>
    </row>
    <row r="33" spans="1:13" ht="18.5">
      <c r="A33" s="1" t="s">
        <v>373</v>
      </c>
      <c r="B33">
        <v>0.29099999999999998</v>
      </c>
      <c r="D33" t="s">
        <v>374</v>
      </c>
      <c r="L33" s="93" t="s">
        <v>362</v>
      </c>
      <c r="M33" s="110">
        <f>AVERAGE(M31,M29,M27)</f>
        <v>0.75552604922347777</v>
      </c>
    </row>
  </sheetData>
  <mergeCells count="1">
    <mergeCell ref="F24:I24"/>
  </mergeCells>
  <pageMargins left="0.7" right="0.7" top="0.75" bottom="0.75" header="0.3" footer="0.3"/>
  <pageSetup orientation="portrait" r:id="rId1"/>
  <ignoredErrors>
    <ignoredError sqref="L3:L6" calculatedColumn="1"/>
  </ignoredErrors>
  <legacy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Q21"/>
  <sheetViews>
    <sheetView workbookViewId="0">
      <selection activeCell="K3" sqref="K3"/>
    </sheetView>
  </sheetViews>
  <sheetFormatPr defaultRowHeight="14.5"/>
  <cols>
    <col min="1" max="1" width="13.1796875" style="93" customWidth="1"/>
    <col min="2" max="2" width="14" customWidth="1"/>
    <col min="3" max="4" width="11" customWidth="1"/>
    <col min="5" max="5" width="14.1796875" style="93" customWidth="1"/>
    <col min="7" max="7" width="11.7265625" customWidth="1"/>
    <col min="8" max="8" width="11.7265625" style="93" customWidth="1"/>
    <col min="9" max="9" width="11" customWidth="1"/>
    <col min="10" max="10" width="11.54296875" customWidth="1"/>
    <col min="11" max="13" width="11" customWidth="1"/>
    <col min="15" max="17" width="11" customWidth="1"/>
  </cols>
  <sheetData>
    <row r="1" spans="1:17" ht="20" thickBot="1">
      <c r="D1" s="275" t="s">
        <v>371</v>
      </c>
      <c r="E1" s="275"/>
      <c r="F1" s="275"/>
      <c r="G1" s="275"/>
      <c r="H1" s="275"/>
      <c r="I1" s="275"/>
      <c r="J1" s="275"/>
      <c r="K1" s="275"/>
      <c r="L1" s="275"/>
      <c r="M1" s="275"/>
    </row>
    <row r="2" spans="1:17" ht="15" thickTop="1">
      <c r="H2"/>
    </row>
    <row r="3" spans="1:17" ht="16.5">
      <c r="B3" s="42" t="s">
        <v>369</v>
      </c>
      <c r="C3" s="42" t="s">
        <v>395</v>
      </c>
      <c r="D3" s="42" t="s">
        <v>368</v>
      </c>
      <c r="E3" s="42" t="s">
        <v>399</v>
      </c>
      <c r="G3" s="232" t="s">
        <v>666</v>
      </c>
      <c r="H3" s="106"/>
      <c r="K3" s="103" t="s">
        <v>376</v>
      </c>
      <c r="L3" s="3">
        <v>0.29099999999999998</v>
      </c>
    </row>
    <row r="4" spans="1:17" ht="16.5">
      <c r="A4" s="125" t="s">
        <v>367</v>
      </c>
      <c r="B4" s="29">
        <f>('Sref and POWER SIZING'!$B$2*('Drag analysis'!$P$4*1.688)*('Drag analysis'!$P$8*3.28))/'Drag analysis'!$P$6</f>
        <v>44885334.541289791</v>
      </c>
      <c r="C4">
        <f>0.455/( (LOG10(B4))^2.58*(1+(0.144*$P$5^2))^0.65)</f>
        <v>2.3764968060002683E-3</v>
      </c>
      <c r="D4">
        <f>1+(60/P9^3)+(P9/400)</f>
        <v>1.2111470968257563</v>
      </c>
      <c r="E4" s="93">
        <f>C4*D4*('Detailed Weights'!$S$4/'Sref and POWER SIZING'!$H$80)</f>
        <v>3.6015875507004551E-3</v>
      </c>
      <c r="G4" t="s">
        <v>201</v>
      </c>
      <c r="H4" s="104">
        <v>43.634</v>
      </c>
      <c r="I4" t="s">
        <v>176</v>
      </c>
      <c r="L4" s="153" t="s">
        <v>386</v>
      </c>
      <c r="O4" s="94" t="s">
        <v>364</v>
      </c>
      <c r="P4">
        <f>'[1]take-off'!$B$16</f>
        <v>140</v>
      </c>
      <c r="Q4" t="s">
        <v>9</v>
      </c>
    </row>
    <row r="5" spans="1:17" ht="16.5">
      <c r="A5" s="125" t="s">
        <v>372</v>
      </c>
      <c r="B5" s="29">
        <f>('Sref and POWER SIZING'!$B$2*('Drag analysis'!$P$4*1.688)*('Wing &amp; Airfoil'!$B$7*3.28))/'Drag analysis'!$P$6</f>
        <v>8643292.6869849209</v>
      </c>
      <c r="C5">
        <f>0.455/( (LOG10(B5))^2.58*(1+(0.144*$P$5^2))^0.65)</f>
        <v>3.0614049117850717E-3</v>
      </c>
      <c r="D5">
        <f>( 1+((0.6/'Wing &amp; Airfoil'!B33)*'Wing &amp; Airfoil'!B32)+(100*'Wing &amp; Airfoil'!B32^4))*(1.34*'Drag analysis'!P5^0.18*(COS(RADIANS('Drag analysis'!H11)))^0.28)</f>
        <v>1.2914084695413193</v>
      </c>
      <c r="E5" s="93">
        <f>C5*D5*(H4/'Sref and POWER SIZING'!$H$80)</f>
        <v>7.2024879172507984E-3</v>
      </c>
      <c r="G5" t="s">
        <v>377</v>
      </c>
      <c r="H5" s="104">
        <v>12.942</v>
      </c>
      <c r="I5" t="s">
        <v>176</v>
      </c>
      <c r="K5" t="s">
        <v>387</v>
      </c>
      <c r="L5" s="3">
        <v>0.8</v>
      </c>
      <c r="M5" t="s">
        <v>184</v>
      </c>
      <c r="O5" s="93" t="s">
        <v>365</v>
      </c>
      <c r="P5">
        <f>(P4*1.688)/(331*3.28)</f>
        <v>0.21767003168521115</v>
      </c>
    </row>
    <row r="6" spans="1:17" ht="16.5">
      <c r="A6" s="125" t="s">
        <v>375</v>
      </c>
      <c r="B6" s="29">
        <f>('Sref and POWER SIZING'!$B$2*('Drag analysis'!$P$4*1.688)*([2]Aileron!$L$5*3.28))/'Drag analysis'!$P$6</f>
        <v>6372628.940225387</v>
      </c>
      <c r="C6">
        <f>0.455/( (LOG10(B6))^2.58*(1+(0.144*$P$5^2))^0.65)</f>
        <v>3.2174184988349192E-3</v>
      </c>
      <c r="D6">
        <f>( 1+((0.6/$L$3)*[2]Aileron!$L$8)+(100*[2]Aileron!$L$8^4))*(1.34*'Drag analysis'!P5^0.18*(COS(RADIANS(H12)))^0.28)</f>
        <v>1.2127403547229765</v>
      </c>
      <c r="E6" s="93">
        <f>(C6*D6*(H5/'Sref and POWER SIZING'!$H$80))*1.1</f>
        <v>2.3192233266315959E-3</v>
      </c>
      <c r="G6" t="s">
        <v>378</v>
      </c>
      <c r="H6" s="104">
        <v>16.263999999999999</v>
      </c>
      <c r="I6" t="s">
        <v>176</v>
      </c>
      <c r="K6" t="s">
        <v>385</v>
      </c>
      <c r="L6" s="3">
        <v>2</v>
      </c>
      <c r="M6" t="s">
        <v>262</v>
      </c>
      <c r="O6" s="102" t="s">
        <v>366</v>
      </c>
      <c r="P6">
        <f>3.737*10^-7</f>
        <v>3.7370000000000002E-7</v>
      </c>
    </row>
    <row r="7" spans="1:17" ht="16.5">
      <c r="A7" s="125" t="s">
        <v>379</v>
      </c>
      <c r="B7" s="29">
        <f>('Sref and POWER SIZING'!$B$2*('Drag analysis'!$P$4*1.688)*([2]Rudder!$K$6*3.28))/'Drag analysis'!$P$6</f>
        <v>8284677.6182678267</v>
      </c>
      <c r="C7">
        <f>0.455/( (LOG10(B7))^2.58*(1+(0.144*$P$5^2))^0.65)</f>
        <v>3.0824600328193978E-3</v>
      </c>
      <c r="D7">
        <f>( 1+((0.6/$L$3)*[2]Rudder!$K$5)+(100*[2]Rudder!$K$5^4))*(1.34*'Drag analysis'!P5^0.18*(COS(RADIANS(H13)))^0.28)</f>
        <v>1.1930742557341545</v>
      </c>
      <c r="E7" s="93">
        <f>(C7*D7*(H6/'Sref and POWER SIZING'!$H$80))*1.1</f>
        <v>2.7469963709944823E-3</v>
      </c>
      <c r="G7" t="s">
        <v>390</v>
      </c>
      <c r="H7" s="104">
        <v>0.93400000000000005</v>
      </c>
      <c r="I7" t="s">
        <v>176</v>
      </c>
      <c r="L7" s="153" t="s">
        <v>383</v>
      </c>
    </row>
    <row r="8" spans="1:17" ht="16.5">
      <c r="A8" s="125"/>
      <c r="B8" s="42" t="s">
        <v>389</v>
      </c>
      <c r="C8" s="42" t="s">
        <v>389</v>
      </c>
      <c r="K8" t="s">
        <v>384</v>
      </c>
      <c r="L8" s="3">
        <v>8</v>
      </c>
      <c r="M8" t="s">
        <v>262</v>
      </c>
      <c r="O8" s="94" t="s">
        <v>400</v>
      </c>
      <c r="P8" s="93">
        <f>[2]Elevator!$B$4</f>
        <v>9.1</v>
      </c>
      <c r="Q8" t="s">
        <v>184</v>
      </c>
    </row>
    <row r="9" spans="1:17">
      <c r="A9" s="125" t="s">
        <v>381</v>
      </c>
      <c r="B9" s="93">
        <f>0.25*L11</f>
        <v>0.25</v>
      </c>
      <c r="C9">
        <f>0.3*L12</f>
        <v>0.13120000000000001</v>
      </c>
      <c r="E9" s="93">
        <f>1.2*(B9+C9)/('Sref and POWER SIZING'!H80*10.7639)</f>
        <v>1.7743430499272965E-3</v>
      </c>
      <c r="H9"/>
      <c r="K9" t="s">
        <v>385</v>
      </c>
      <c r="L9" s="3">
        <v>18</v>
      </c>
      <c r="M9" t="s">
        <v>262</v>
      </c>
      <c r="O9" s="94" t="s">
        <v>370</v>
      </c>
      <c r="P9" s="93">
        <f>P8/[2]Elevator!$B$3</f>
        <v>6.7597682365176048</v>
      </c>
    </row>
    <row r="10" spans="1:17" ht="17.5">
      <c r="A10" s="125" t="s">
        <v>391</v>
      </c>
      <c r="E10" s="93">
        <f>(H7*10.7639*0.07)/('Sref and POWER SIZING'!H80*10.7639)</f>
        <v>2.729719500964609E-3</v>
      </c>
      <c r="H10" s="155" t="s">
        <v>394</v>
      </c>
      <c r="N10" s="93"/>
    </row>
    <row r="11" spans="1:17" ht="17.5">
      <c r="A11" s="127"/>
      <c r="B11" s="9"/>
      <c r="C11" s="128" t="s">
        <v>392</v>
      </c>
      <c r="D11" s="9"/>
      <c r="E11" s="129">
        <f>1.05*(SUM(E4:E10))</f>
        <v>2.1393075602292699E-2</v>
      </c>
      <c r="G11" s="154" t="s">
        <v>201</v>
      </c>
      <c r="H11" s="104">
        <v>1</v>
      </c>
      <c r="I11" t="s">
        <v>193</v>
      </c>
      <c r="K11" t="s">
        <v>382</v>
      </c>
      <c r="L11" s="105">
        <f>(L8*L9)/(144)</f>
        <v>1</v>
      </c>
      <c r="M11" t="s">
        <v>41</v>
      </c>
    </row>
    <row r="12" spans="1:17" ht="17">
      <c r="A12" s="126" t="s">
        <v>453</v>
      </c>
      <c r="B12" s="93">
        <f>(4.97*10^-7)*('[1]take-off'!$C$7/(P4*1.688))*(('Sref and POWER SIZING'!B3+273.15)*(9/5))^2</f>
        <v>0.29419921693684831</v>
      </c>
      <c r="E12" s="106">
        <f>((B12)/('Sref and POWER SIZING'!H80*10.7639))*3</f>
        <v>3.4234675751964182E-3</v>
      </c>
      <c r="G12" s="154" t="s">
        <v>380</v>
      </c>
      <c r="H12" s="104">
        <v>5</v>
      </c>
      <c r="I12" t="s">
        <v>193</v>
      </c>
      <c r="K12" t="s">
        <v>388</v>
      </c>
      <c r="L12">
        <f>(0.8*3.28*(2/12))</f>
        <v>0.43733333333333335</v>
      </c>
      <c r="M12" t="s">
        <v>41</v>
      </c>
    </row>
    <row r="13" spans="1:17">
      <c r="A13" s="125" t="s">
        <v>393</v>
      </c>
      <c r="B13" s="93">
        <f>2*10^-4*'[1]take-off'!$C$7</f>
        <v>0.10400000000000001</v>
      </c>
      <c r="E13" s="93">
        <f>B13/('Sref and POWER SIZING'!H80*10.7639)</f>
        <v>4.0340083331680412E-4</v>
      </c>
      <c r="G13" t="s">
        <v>379</v>
      </c>
      <c r="H13" s="104">
        <v>20</v>
      </c>
      <c r="I13" t="s">
        <v>193</v>
      </c>
    </row>
    <row r="14" spans="1:17">
      <c r="A14" s="41"/>
    </row>
    <row r="15" spans="1:17" ht="22.5">
      <c r="A15" s="116"/>
      <c r="B15" s="13" t="s">
        <v>396</v>
      </c>
      <c r="C15" s="130"/>
      <c r="D15" s="130"/>
      <c r="E15" s="107">
        <f>SUM(E11:E13)</f>
        <v>2.521994401080592E-2</v>
      </c>
    </row>
    <row r="21" spans="6:6">
      <c r="F21" s="93"/>
    </row>
  </sheetData>
  <mergeCells count="1">
    <mergeCell ref="D1:M1"/>
  </mergeCells>
  <pageMargins left="0.7" right="0.7" top="0.75" bottom="0.75" header="0.3" footer="0.3"/>
  <legacyDrawing r:id="rId1"/>
  <tableParts count="5"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R35"/>
  <sheetViews>
    <sheetView workbookViewId="0">
      <selection activeCell="O7" sqref="O7"/>
    </sheetView>
  </sheetViews>
  <sheetFormatPr defaultRowHeight="14.5"/>
  <cols>
    <col min="1" max="1" width="11" style="235" customWidth="1"/>
    <col min="2" max="3" width="11" customWidth="1"/>
    <col min="6" max="8" width="11" customWidth="1"/>
    <col min="9" max="9" width="14.54296875" customWidth="1"/>
  </cols>
  <sheetData>
    <row r="2" spans="1:17" ht="17.5">
      <c r="A2" s="235" t="s">
        <v>679</v>
      </c>
      <c r="B2" s="235">
        <f>'Wing &amp; Airfoil'!B28</f>
        <v>-9.1999999999999998E-2</v>
      </c>
      <c r="E2" s="102" t="s">
        <v>683</v>
      </c>
      <c r="F2" s="3">
        <v>0.1</v>
      </c>
      <c r="G2" t="s">
        <v>684</v>
      </c>
      <c r="I2" s="182" t="s">
        <v>696</v>
      </c>
      <c r="J2" s="182"/>
      <c r="K2" s="182"/>
      <c r="L2" s="182"/>
      <c r="M2" s="182"/>
      <c r="N2" s="182"/>
      <c r="O2" s="182"/>
      <c r="P2" s="182"/>
    </row>
    <row r="3" spans="1:17" ht="16.5">
      <c r="A3" s="235" t="s">
        <v>40</v>
      </c>
      <c r="B3" s="235">
        <f>'Sref and POWER SIZING'!H80*10.7639</f>
        <v>257.80809411051797</v>
      </c>
      <c r="C3" t="s">
        <v>41</v>
      </c>
      <c r="J3" s="182" t="s">
        <v>706</v>
      </c>
      <c r="K3" s="182"/>
      <c r="L3" s="182"/>
      <c r="M3" s="182"/>
      <c r="N3" s="182"/>
      <c r="O3" s="182"/>
      <c r="P3" s="182"/>
    </row>
    <row r="4" spans="1:17" ht="16.5">
      <c r="A4" s="235" t="s">
        <v>680</v>
      </c>
      <c r="B4" s="235" t="str">
        <f>Table9[[#Headers],[5850]]</f>
        <v>5850</v>
      </c>
      <c r="C4" t="s">
        <v>32</v>
      </c>
      <c r="F4" s="40"/>
      <c r="G4" s="30" t="s">
        <v>686</v>
      </c>
      <c r="H4" s="235"/>
      <c r="I4" s="235"/>
    </row>
    <row r="5" spans="1:17" ht="16.5">
      <c r="A5" s="102" t="s">
        <v>681</v>
      </c>
      <c r="B5" s="237">
        <v>38000</v>
      </c>
      <c r="C5" t="s">
        <v>685</v>
      </c>
      <c r="F5" s="163" t="s">
        <v>719</v>
      </c>
      <c r="H5" s="235" t="s">
        <v>689</v>
      </c>
      <c r="I5">
        <f>B7*'Wing &amp; Airfoil'!B8*3.28</f>
        <v>5.6737349773121197</v>
      </c>
      <c r="J5" t="s">
        <v>12</v>
      </c>
    </row>
    <row r="6" spans="1:17">
      <c r="A6" s="102" t="s">
        <v>682</v>
      </c>
      <c r="B6" s="237">
        <v>65000</v>
      </c>
      <c r="C6" t="s">
        <v>685</v>
      </c>
      <c r="F6" s="164" t="s">
        <v>720</v>
      </c>
      <c r="H6" s="235" t="s">
        <v>47</v>
      </c>
      <c r="I6">
        <f>'Wing &amp; Airfoil'!B32*'Wing &amp; Airfoil'!B8*3.28</f>
        <v>0.90779759636993917</v>
      </c>
      <c r="J6" t="s">
        <v>12</v>
      </c>
    </row>
    <row r="7" spans="1:17" ht="17.5">
      <c r="A7" s="102" t="s">
        <v>687</v>
      </c>
      <c r="B7" s="230">
        <v>0.75</v>
      </c>
      <c r="C7" t="s">
        <v>688</v>
      </c>
      <c r="G7" s="98" t="s">
        <v>721</v>
      </c>
      <c r="H7" s="235" t="s">
        <v>690</v>
      </c>
      <c r="I7">
        <f>(2*I5*I6)/3</f>
        <v>3.4337353165626627</v>
      </c>
      <c r="J7" t="s">
        <v>41</v>
      </c>
    </row>
    <row r="8" spans="1:17" ht="16.5">
      <c r="G8" s="98" t="s">
        <v>722</v>
      </c>
      <c r="H8" s="235" t="s">
        <v>691</v>
      </c>
      <c r="I8">
        <f>SQRT( (0.5*I6)^2+(4*I5^2))+( ( (0.5*I6)^2/(4*I5))*ASINH((2*I5)/(0.5*I6)))</f>
        <v>11.392061182125925</v>
      </c>
      <c r="J8" t="s">
        <v>12</v>
      </c>
    </row>
    <row r="9" spans="1:17" ht="16.5">
      <c r="B9" s="250" t="s">
        <v>723</v>
      </c>
      <c r="C9" s="182"/>
      <c r="H9" s="235" t="s">
        <v>692</v>
      </c>
      <c r="I9">
        <f>'Wing &amp; Airfoil'!B5*'Wing Structural'!I8</f>
        <v>5.1264275319566668</v>
      </c>
      <c r="J9" t="s">
        <v>12</v>
      </c>
    </row>
    <row r="10" spans="1:17">
      <c r="G10" s="98" t="s">
        <v>724</v>
      </c>
      <c r="H10" s="235" t="s">
        <v>693</v>
      </c>
      <c r="I10" s="29">
        <f>0.25*'Sref and POWER SIZING'!B2*('V-n'!C9*1.688)^2*'Wing Structural'!B3*('Wing &amp; Airfoil'!B7*3.28)*'Wing Structural'!B2</f>
        <v>-8871.217990477171</v>
      </c>
      <c r="J10" t="s">
        <v>32</v>
      </c>
    </row>
    <row r="11" spans="1:17" ht="18.5">
      <c r="A11" s="235" t="s">
        <v>742</v>
      </c>
      <c r="B11" s="251">
        <f>('V-n'!C4*'Wing Structural'!B4*SQRT('Wing &amp; Airfoil'!B17*'Wing Structural'!B3)*((1+2*'Wing &amp; Airfoil'!B5)/(1+'Wing &amp; Airfoil'!B5)))/12</f>
        <v>163279.11956697705</v>
      </c>
      <c r="C11" t="s">
        <v>32</v>
      </c>
      <c r="F11" s="165" t="s">
        <v>725</v>
      </c>
      <c r="H11" s="235" t="s">
        <v>695</v>
      </c>
      <c r="I11" s="238">
        <f>(ABS(I10*12))/(2*I7*144*B5)</f>
        <v>2.8328370745226705E-3</v>
      </c>
      <c r="J11" s="182" t="s">
        <v>697</v>
      </c>
      <c r="K11" s="182"/>
      <c r="L11" s="182"/>
      <c r="M11" s="182"/>
      <c r="N11" s="182"/>
      <c r="O11" s="182"/>
      <c r="P11" s="182"/>
      <c r="Q11" s="182"/>
    </row>
    <row r="12" spans="1:17" ht="17.5">
      <c r="A12" s="235" t="s">
        <v>743</v>
      </c>
      <c r="B12" s="235">
        <f>((('V-n'!C4*'Wing Structural'!B4*'Wing &amp; Airfoil'!B17)/(16*144*'Wing Structural'!B6*'Wing &amp; Airfoil'!B32))*( (1+3*'Wing &amp; Airfoil'!B5+2*'Wing &amp; Airfoil'!B562)/(1+'Wing &amp; Airfoil'!B5+'Wing &amp; Airfoil'!B5^2)))*144</f>
        <v>2.9637197428139181</v>
      </c>
      <c r="C12" t="s">
        <v>710</v>
      </c>
      <c r="G12" s="163"/>
      <c r="H12" s="7" t="s">
        <v>698</v>
      </c>
    </row>
    <row r="13" spans="1:17" ht="17.5">
      <c r="A13" s="235" t="s">
        <v>741</v>
      </c>
      <c r="B13" s="235">
        <f>((16*(B12/144)*B3*'Wing &amp; Airfoil'!B32^2)/(18*'Wing &amp; Airfoil'!B17))*((1+'Wing &amp; Airfoil'!B5+'Wing &amp; Airfoil'!B5^2)/(1+2*'Wing &amp; Airfoil'!B5+'Wing &amp; Airfoil'!B562))^2</f>
        <v>6.5866151807002131E-3</v>
      </c>
      <c r="C13" t="s">
        <v>744</v>
      </c>
      <c r="H13" s="235" t="s">
        <v>694</v>
      </c>
      <c r="I13" s="108">
        <v>0.02</v>
      </c>
      <c r="J13" t="s">
        <v>262</v>
      </c>
      <c r="K13" s="182" t="s">
        <v>703</v>
      </c>
      <c r="L13" s="182"/>
      <c r="M13" s="182"/>
      <c r="N13" s="182"/>
      <c r="O13" s="182"/>
      <c r="P13" s="182"/>
    </row>
    <row r="14" spans="1:17" ht="16.5">
      <c r="A14" s="235" t="s">
        <v>745</v>
      </c>
      <c r="B14" s="235">
        <f>1.1*(F2*12^3)*(B12/144)*SQRT('Wing &amp; Airfoil'!B17*'Wing Structural'!B3)</f>
        <v>175.4311215622995</v>
      </c>
      <c r="C14" t="s">
        <v>32</v>
      </c>
      <c r="H14" s="235" t="s">
        <v>699</v>
      </c>
      <c r="I14" s="108">
        <v>0.02</v>
      </c>
      <c r="J14" t="s">
        <v>262</v>
      </c>
    </row>
    <row r="15" spans="1:17">
      <c r="B15" s="235"/>
      <c r="H15" s="235"/>
    </row>
    <row r="16" spans="1:17" ht="16.5">
      <c r="B16" s="235"/>
      <c r="F16" s="246" t="s">
        <v>726</v>
      </c>
      <c r="H16" s="234" t="s">
        <v>738</v>
      </c>
      <c r="I16" s="240">
        <f>F2*(  ( ('Wing &amp; Airfoil'!B6*3.28*12)*('Wing Structural'!I13+'Wing Structural'!I14)*('Wing Structural'!I8*12)*(1+'Wing &amp; Airfoil'!B5))/8)</f>
        <v>53.319663435392215</v>
      </c>
      <c r="J16" t="s">
        <v>32</v>
      </c>
    </row>
    <row r="17" spans="6:18">
      <c r="G17" t="s">
        <v>727</v>
      </c>
      <c r="H17" s="235" t="s">
        <v>700</v>
      </c>
      <c r="I17" s="29">
        <f>('V-n'!C4*'Wing Structural'!B4)/2</f>
        <v>16672.499999999996</v>
      </c>
      <c r="J17" t="s">
        <v>32</v>
      </c>
    </row>
    <row r="18" spans="6:18" ht="18.5">
      <c r="F18" s="165" t="s">
        <v>739</v>
      </c>
      <c r="H18" s="235" t="s">
        <v>702</v>
      </c>
      <c r="I18" s="241">
        <f>(3*B4*'V-n'!C4)/(4*'Wing Structural'!I6*12*'Wing Structural'!B5)</f>
        <v>6.0414072717648461E-2</v>
      </c>
      <c r="J18" s="182" t="s">
        <v>697</v>
      </c>
      <c r="K18" s="182"/>
      <c r="L18" s="182"/>
      <c r="M18" s="182"/>
      <c r="N18" s="182"/>
      <c r="O18" s="182"/>
      <c r="P18" s="182"/>
      <c r="Q18" s="182"/>
    </row>
    <row r="19" spans="6:18" ht="18.5">
      <c r="H19" s="235" t="s">
        <v>705</v>
      </c>
      <c r="I19" s="242">
        <f>0.15*I18</f>
        <v>9.0621109076472681E-3</v>
      </c>
    </row>
    <row r="20" spans="6:18" ht="16.5">
      <c r="H20" s="235" t="s">
        <v>701</v>
      </c>
      <c r="I20" s="3">
        <f>0.063</f>
        <v>6.3E-2</v>
      </c>
      <c r="J20" t="s">
        <v>740</v>
      </c>
    </row>
    <row r="21" spans="6:18" ht="16.5">
      <c r="H21" s="235" t="s">
        <v>704</v>
      </c>
      <c r="I21" s="3">
        <f>0.02</f>
        <v>0.02</v>
      </c>
      <c r="J21" t="s">
        <v>740</v>
      </c>
    </row>
    <row r="22" spans="6:18" ht="16.5">
      <c r="F22" s="245" t="s">
        <v>728</v>
      </c>
      <c r="H22" s="235" t="s">
        <v>707</v>
      </c>
      <c r="I22" s="240">
        <f>F2*( ( ('Wing &amp; Airfoil'!B6*3.28*12)*('Wing Structural'!I20+'Wing Structural'!I21)*('Wing Structural'!I6*12)*(1+'Wing &amp; Airfoil'!B5))/8)</f>
        <v>8.8164189674766202</v>
      </c>
      <c r="J22" t="s">
        <v>32</v>
      </c>
    </row>
    <row r="23" spans="6:18" ht="16.5">
      <c r="F23" s="165" t="s">
        <v>729</v>
      </c>
      <c r="H23" s="235" t="s">
        <v>708</v>
      </c>
      <c r="I23" s="29">
        <f>('V-n'!C4*'Wing Structural'!B4*'Wing &amp; Airfoil'!B16*3.28)/(2*'Wing Structural'!I6)</f>
        <v>179816.95451843043</v>
      </c>
      <c r="J23" t="s">
        <v>32</v>
      </c>
    </row>
    <row r="24" spans="6:18" ht="17.5">
      <c r="F24" s="165" t="s">
        <v>730</v>
      </c>
      <c r="H24" s="235" t="s">
        <v>709</v>
      </c>
      <c r="I24" s="132">
        <f>I23/B6</f>
        <v>2.7664146848989297</v>
      </c>
      <c r="J24" t="s">
        <v>710</v>
      </c>
    </row>
    <row r="25" spans="6:18" ht="17.5">
      <c r="H25" s="235" t="s">
        <v>711</v>
      </c>
      <c r="I25" s="132">
        <f>0.05*I24</f>
        <v>0.13832073424494648</v>
      </c>
      <c r="J25" t="s">
        <v>710</v>
      </c>
    </row>
    <row r="26" spans="6:18" ht="16.5">
      <c r="F26" s="247" t="s">
        <v>731</v>
      </c>
      <c r="H26" s="235" t="s">
        <v>712</v>
      </c>
      <c r="I26" s="113">
        <f>F2*( ( ('Wing &amp; Airfoil'!B6*3.28*12)*('Wing Structural'!I24+'Wing Structural'!I25))/2)</f>
        <v>78.134425409820835</v>
      </c>
      <c r="J26" t="s">
        <v>32</v>
      </c>
    </row>
    <row r="27" spans="6:18" ht="20.5">
      <c r="F27" s="45" t="s">
        <v>732</v>
      </c>
      <c r="H27" s="235" t="s">
        <v>713</v>
      </c>
      <c r="I27" s="243">
        <f>INT('Wing &amp; Airfoil'!B6/'Wing &amp; Airfoil'!B7)+1</f>
        <v>8</v>
      </c>
    </row>
    <row r="28" spans="6:18" ht="16.5">
      <c r="F28" s="245" t="s">
        <v>733</v>
      </c>
      <c r="H28" s="235" t="s">
        <v>714</v>
      </c>
      <c r="I28" s="239">
        <f>I27*F2*( (I7*144*(1+'Wing &amp; Airfoil'!B5)^2*('Wing Structural'!I13+'Wing Structural'!I14))/4)</f>
        <v>8.3167816355400941</v>
      </c>
      <c r="J28" t="s">
        <v>32</v>
      </c>
    </row>
    <row r="30" spans="6:18" ht="18.5">
      <c r="F30" s="248" t="s">
        <v>734</v>
      </c>
      <c r="H30" s="235" t="s">
        <v>715</v>
      </c>
      <c r="I30" s="244">
        <f>2*(I16+I22+I26+I28)</f>
        <v>297.17457889645954</v>
      </c>
      <c r="J30" t="s">
        <v>32</v>
      </c>
      <c r="K30" s="249" t="s">
        <v>716</v>
      </c>
      <c r="L30" s="182"/>
      <c r="M30" s="182"/>
      <c r="N30" s="182"/>
      <c r="O30" s="182"/>
      <c r="P30" s="182"/>
      <c r="Q30" s="182"/>
      <c r="R30" s="182"/>
    </row>
    <row r="31" spans="6:18">
      <c r="K31" s="249" t="s">
        <v>717</v>
      </c>
      <c r="L31" s="182"/>
      <c r="M31" s="182"/>
      <c r="N31" s="182"/>
      <c r="O31" s="182"/>
      <c r="P31" s="182"/>
      <c r="Q31" s="182"/>
      <c r="R31" s="182"/>
    </row>
    <row r="32" spans="6:18">
      <c r="K32" s="249" t="s">
        <v>718</v>
      </c>
      <c r="L32" s="182"/>
      <c r="M32" s="182"/>
      <c r="N32" s="182"/>
      <c r="O32" s="182"/>
      <c r="P32" s="182"/>
    </row>
    <row r="33" spans="11:18" ht="15.5">
      <c r="K33" t="s">
        <v>737</v>
      </c>
      <c r="L33" s="113">
        <f>'Detailed Weights'!L6/'Wing Structural'!I30</f>
        <v>2.1870571246092645</v>
      </c>
    </row>
    <row r="34" spans="11:18">
      <c r="L34" s="249" t="s">
        <v>735</v>
      </c>
      <c r="M34" s="182"/>
      <c r="N34" s="182"/>
      <c r="O34" s="182"/>
      <c r="P34" s="182"/>
      <c r="Q34" s="182"/>
      <c r="R34" s="182"/>
    </row>
    <row r="35" spans="11:18">
      <c r="L35" s="182" t="s">
        <v>736</v>
      </c>
      <c r="M35" s="182"/>
    </row>
  </sheetData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Cost Analysis</vt:lpstr>
      <vt:lpstr>MTOW &amp; WEIGHTS</vt:lpstr>
      <vt:lpstr>Sref and POWER SIZING</vt:lpstr>
      <vt:lpstr>PERFORMANCE SIZING </vt:lpstr>
      <vt:lpstr>Detailed Weights</vt:lpstr>
      <vt:lpstr>V-n</vt:lpstr>
      <vt:lpstr>Wing &amp; Airfoil</vt:lpstr>
      <vt:lpstr>Drag analysis</vt:lpstr>
      <vt:lpstr>Wing Structural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Nyaga</dc:creator>
  <cp:keywords>kenya one;constraint diagram</cp:keywords>
  <cp:lastModifiedBy>Geoffrey Nyaga</cp:lastModifiedBy>
  <dcterms:created xsi:type="dcterms:W3CDTF">2015-08-02T02:14:13Z</dcterms:created>
  <dcterms:modified xsi:type="dcterms:W3CDTF">2020-01-14T20:03:06Z</dcterms:modified>
</cp:coreProperties>
</file>