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Kenya One Cranfield Report\Spreadsheets\"/>
    </mc:Choice>
  </mc:AlternateContent>
  <bookViews>
    <workbookView xWindow="0" yWindow="0" windowWidth="20490" windowHeight="7755" activeTab="2"/>
  </bookViews>
  <sheets>
    <sheet name="take-off" sheetId="1" r:id="rId1"/>
    <sheet name="climb" sheetId="2" r:id="rId2"/>
    <sheet name="cruise" sheetId="3" r:id="rId3"/>
    <sheet name="Range &amp; Endurance" sheetId="4" r:id="rId4"/>
    <sheet name="Landing" sheetId="5" r:id="rId5"/>
  </sheets>
  <externalReferences>
    <externalReference r:id="rId6"/>
  </externalReferences>
  <definedNames>
    <definedName name="AD">'take-off'!$R$20:$R$23</definedName>
    <definedName name="inversea">'take-off'!$I$20:$L$23</definedName>
    <definedName name="matrixa">'take-off'!$B$20:$E$23</definedName>
    <definedName name="matrixb">'take-off'!$G$20:$G$23</definedName>
    <definedName name="matrixc">'take-off'!$O$20:$O$23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B9" i="2"/>
  <c r="P9" i="1"/>
  <c r="H48" i="3"/>
  <c r="B56" i="2"/>
  <c r="B8" i="4"/>
  <c r="B6" i="3"/>
  <c r="B55" i="2"/>
  <c r="M13" i="1"/>
  <c r="P11" i="1"/>
  <c r="P10" i="1"/>
  <c r="P8" i="1"/>
  <c r="C7" i="1"/>
  <c r="S3" i="1"/>
  <c r="G9" i="5" l="1"/>
  <c r="G7" i="5"/>
  <c r="G8" i="5" s="1"/>
  <c r="G5" i="5"/>
  <c r="I5" i="5" s="1"/>
  <c r="G4" i="5"/>
  <c r="I4" i="5" s="1"/>
  <c r="G10" i="5" s="1"/>
  <c r="G3" i="5"/>
  <c r="I3" i="5" s="1"/>
  <c r="G2" i="5"/>
  <c r="I2" i="5" s="1"/>
  <c r="I34" i="4"/>
  <c r="E31" i="4"/>
  <c r="I32" i="4" s="1"/>
  <c r="I36" i="4" s="1"/>
  <c r="R13" i="4"/>
  <c r="R14" i="4" l="1"/>
  <c r="R15" i="4" l="1"/>
  <c r="R16" i="4" l="1"/>
  <c r="R17" i="4" l="1"/>
  <c r="R18" i="4" l="1"/>
  <c r="R19" i="4" l="1"/>
  <c r="R20" i="4" s="1"/>
  <c r="R21" i="4" l="1"/>
  <c r="R22" i="4" l="1"/>
  <c r="R23" i="4" l="1"/>
  <c r="R24" i="4" l="1"/>
  <c r="R25" i="4" l="1"/>
  <c r="R26" i="4" l="1"/>
  <c r="R27" i="4" l="1"/>
  <c r="B3" i="4" l="1"/>
  <c r="P12" i="1" l="1"/>
  <c r="P3" i="1" s="1"/>
  <c r="S5" i="1"/>
  <c r="B8" i="3" l="1"/>
  <c r="S9" i="1"/>
  <c r="B16" i="1"/>
  <c r="B5" i="2" s="1"/>
  <c r="P13" i="1" l="1"/>
  <c r="B7" i="3"/>
  <c r="B10" i="4" s="1"/>
  <c r="B2" i="5" l="1"/>
  <c r="E45" i="3" l="1"/>
  <c r="E48" i="3" l="1"/>
  <c r="B48" i="3"/>
  <c r="F36" i="3"/>
  <c r="E37" i="3"/>
  <c r="F37" i="3" s="1"/>
  <c r="G5" i="3"/>
  <c r="U5" i="3"/>
  <c r="U6" i="3" s="1"/>
  <c r="U7" i="3" s="1"/>
  <c r="U8" i="3" s="1"/>
  <c r="U9" i="3" s="1"/>
  <c r="U10" i="3" s="1"/>
  <c r="U11" i="3" s="1"/>
  <c r="U12" i="3" s="1"/>
  <c r="B11" i="3"/>
  <c r="B2" i="4" s="1"/>
  <c r="D2" i="4" s="1"/>
  <c r="B4" i="4" s="1"/>
  <c r="B9" i="3"/>
  <c r="B54" i="3" l="1"/>
  <c r="B53" i="3"/>
  <c r="D52" i="3" s="1"/>
  <c r="B58" i="3"/>
  <c r="B57" i="3"/>
  <c r="G57" i="3" s="1"/>
  <c r="B12" i="3"/>
  <c r="B10" i="3"/>
  <c r="F4" i="3" s="1"/>
  <c r="V4" i="3" s="1"/>
  <c r="B7" i="4"/>
  <c r="T10" i="3"/>
  <c r="T6" i="3"/>
  <c r="Y9" i="3"/>
  <c r="T12" i="3"/>
  <c r="T8" i="3"/>
  <c r="Y11" i="3"/>
  <c r="Y7" i="3"/>
  <c r="Y4" i="3"/>
  <c r="Y5" i="3"/>
  <c r="T4" i="3"/>
  <c r="T9" i="3"/>
  <c r="T5" i="3"/>
  <c r="Y8" i="3"/>
  <c r="Y12" i="3"/>
  <c r="T11" i="3"/>
  <c r="T7" i="3"/>
  <c r="Y10" i="3"/>
  <c r="Y6" i="3"/>
  <c r="E38" i="3"/>
  <c r="E39" i="3" s="1"/>
  <c r="E40" i="3" s="1"/>
  <c r="E41" i="3" s="1"/>
  <c r="F41" i="3" s="1"/>
  <c r="G41" i="3" s="1"/>
  <c r="G37" i="3"/>
  <c r="F38" i="3"/>
  <c r="G36" i="3"/>
  <c r="F40" i="3"/>
  <c r="G6" i="3"/>
  <c r="H4" i="3"/>
  <c r="I4" i="3" s="1"/>
  <c r="H5" i="3"/>
  <c r="I5" i="3" s="1"/>
  <c r="B58" i="2"/>
  <c r="F39" i="3" l="1"/>
  <c r="F5" i="3"/>
  <c r="V5" i="3" s="1"/>
  <c r="G39" i="3"/>
  <c r="G40" i="3"/>
  <c r="G38" i="3"/>
  <c r="G7" i="3"/>
  <c r="F6" i="3"/>
  <c r="V6" i="3" s="1"/>
  <c r="H6" i="3"/>
  <c r="I6" i="3" s="1"/>
  <c r="D59" i="2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58" i="2"/>
  <c r="B59" i="2"/>
  <c r="E60" i="2" l="1"/>
  <c r="F60" i="2" s="1"/>
  <c r="E67" i="2"/>
  <c r="F67" i="2" s="1"/>
  <c r="L67" i="2" s="1"/>
  <c r="E63" i="2"/>
  <c r="F63" i="2" s="1"/>
  <c r="E58" i="2"/>
  <c r="E59" i="2"/>
  <c r="F59" i="2" s="1"/>
  <c r="G8" i="3"/>
  <c r="F7" i="3"/>
  <c r="V7" i="3" s="1"/>
  <c r="H7" i="3"/>
  <c r="I7" i="3" s="1"/>
  <c r="G67" i="2"/>
  <c r="G60" i="2"/>
  <c r="L60" i="2"/>
  <c r="L63" i="2"/>
  <c r="G63" i="2"/>
  <c r="L59" i="2"/>
  <c r="G59" i="2"/>
  <c r="E57" i="2"/>
  <c r="F57" i="2" s="1"/>
  <c r="E66" i="2"/>
  <c r="F66" i="2" s="1"/>
  <c r="E62" i="2"/>
  <c r="F62" i="2" s="1"/>
  <c r="F58" i="2"/>
  <c r="E69" i="2"/>
  <c r="F69" i="2" s="1"/>
  <c r="E65" i="2"/>
  <c r="F65" i="2" s="1"/>
  <c r="E61" i="2"/>
  <c r="F61" i="2" s="1"/>
  <c r="E68" i="2"/>
  <c r="F68" i="2" s="1"/>
  <c r="E64" i="2"/>
  <c r="F64" i="2" s="1"/>
  <c r="A38" i="2"/>
  <c r="B21" i="2"/>
  <c r="A23" i="2"/>
  <c r="A24" i="2" s="1"/>
  <c r="A25" i="2" s="1"/>
  <c r="A26" i="2" s="1"/>
  <c r="A27" i="2" s="1"/>
  <c r="A28" i="2" s="1"/>
  <c r="A29" i="2" s="1"/>
  <c r="A30" i="2" s="1"/>
  <c r="A22" i="2"/>
  <c r="V4" i="2"/>
  <c r="T4" i="2"/>
  <c r="R5" i="2"/>
  <c r="V5" i="2" s="1"/>
  <c r="B6" i="2"/>
  <c r="G9" i="3" l="1"/>
  <c r="F8" i="3"/>
  <c r="V8" i="3" s="1"/>
  <c r="H8" i="3"/>
  <c r="I8" i="3" s="1"/>
  <c r="L68" i="2"/>
  <c r="G68" i="2"/>
  <c r="G61" i="2"/>
  <c r="L61" i="2"/>
  <c r="L62" i="2"/>
  <c r="G62" i="2"/>
  <c r="L58" i="2"/>
  <c r="G58" i="2"/>
  <c r="G65" i="2"/>
  <c r="L65" i="2"/>
  <c r="L66" i="2"/>
  <c r="G66" i="2"/>
  <c r="G64" i="2"/>
  <c r="L64" i="2"/>
  <c r="G69" i="2"/>
  <c r="L69" i="2"/>
  <c r="G57" i="2"/>
  <c r="L57" i="2"/>
  <c r="A39" i="2"/>
  <c r="A40" i="2" s="1"/>
  <c r="A41" i="2" s="1"/>
  <c r="A42" i="2" s="1"/>
  <c r="B23" i="2"/>
  <c r="B22" i="2"/>
  <c r="B10" i="2"/>
  <c r="T5" i="2"/>
  <c r="R6" i="2"/>
  <c r="J51" i="1"/>
  <c r="K51" i="1" s="1"/>
  <c r="M14" i="1"/>
  <c r="S4" i="1"/>
  <c r="B70" i="1" l="1"/>
  <c r="F9" i="3"/>
  <c r="V9" i="3" s="1"/>
  <c r="G10" i="3"/>
  <c r="H9" i="3"/>
  <c r="I9" i="3" s="1"/>
  <c r="B24" i="2"/>
  <c r="V6" i="2"/>
  <c r="T6" i="2"/>
  <c r="R7" i="2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K80" i="1" l="1"/>
  <c r="J81" i="1"/>
  <c r="B78" i="1"/>
  <c r="B71" i="1"/>
  <c r="G11" i="3"/>
  <c r="F10" i="3"/>
  <c r="V10" i="3" s="1"/>
  <c r="H10" i="3"/>
  <c r="I10" i="3" s="1"/>
  <c r="B25" i="2"/>
  <c r="V7" i="2"/>
  <c r="T7" i="2"/>
  <c r="R8" i="2"/>
  <c r="K81" i="1" l="1"/>
  <c r="J82" i="1"/>
  <c r="G12" i="3"/>
  <c r="F12" i="3" s="1"/>
  <c r="V12" i="3" s="1"/>
  <c r="F11" i="3"/>
  <c r="V11" i="3" s="1"/>
  <c r="H11" i="3"/>
  <c r="I11" i="3" s="1"/>
  <c r="B26" i="2"/>
  <c r="V8" i="2"/>
  <c r="T8" i="2"/>
  <c r="R9" i="2"/>
  <c r="C11" i="1"/>
  <c r="C12" i="1" s="1"/>
  <c r="M50" i="1"/>
  <c r="U51" i="1"/>
  <c r="B21" i="1"/>
  <c r="B22" i="1"/>
  <c r="B23" i="1"/>
  <c r="C21" i="1"/>
  <c r="D21" i="1"/>
  <c r="C22" i="1"/>
  <c r="C23" i="1"/>
  <c r="D23" i="1"/>
  <c r="C10" i="1"/>
  <c r="C13" i="1" s="1"/>
  <c r="M4" i="5" s="1"/>
  <c r="D17" i="1"/>
  <c r="D16" i="1"/>
  <c r="I16" i="1" s="1"/>
  <c r="K79" i="1"/>
  <c r="I51" i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K82" i="1" l="1"/>
  <c r="J83" i="1"/>
  <c r="I20" i="1" a="1"/>
  <c r="L23" i="1" s="1"/>
  <c r="H12" i="3"/>
  <c r="I12" i="3" s="1"/>
  <c r="B27" i="2"/>
  <c r="V9" i="2"/>
  <c r="T9" i="2"/>
  <c r="R10" i="2"/>
  <c r="K76" i="1"/>
  <c r="K68" i="1"/>
  <c r="K60" i="1"/>
  <c r="K52" i="1"/>
  <c r="K78" i="1"/>
  <c r="K74" i="1"/>
  <c r="K70" i="1"/>
  <c r="K66" i="1"/>
  <c r="K62" i="1"/>
  <c r="K58" i="1"/>
  <c r="K54" i="1"/>
  <c r="K72" i="1"/>
  <c r="K64" i="1"/>
  <c r="K56" i="1"/>
  <c r="K75" i="1"/>
  <c r="K71" i="1"/>
  <c r="K67" i="1"/>
  <c r="K63" i="1"/>
  <c r="K59" i="1"/>
  <c r="K55" i="1"/>
  <c r="K77" i="1"/>
  <c r="K73" i="1"/>
  <c r="K69" i="1"/>
  <c r="K65" i="1"/>
  <c r="K61" i="1"/>
  <c r="K57" i="1"/>
  <c r="K53" i="1"/>
  <c r="O51" i="1"/>
  <c r="K83" i="1" l="1"/>
  <c r="J84" i="1"/>
  <c r="L20" i="1"/>
  <c r="I22" i="1"/>
  <c r="I23" i="1"/>
  <c r="K22" i="1"/>
  <c r="J23" i="1"/>
  <c r="J21" i="1"/>
  <c r="K20" i="1"/>
  <c r="I20" i="1"/>
  <c r="I21" i="1"/>
  <c r="L22" i="1"/>
  <c r="L21" i="1"/>
  <c r="K23" i="1"/>
  <c r="K21" i="1"/>
  <c r="J20" i="1"/>
  <c r="J22" i="1"/>
  <c r="B28" i="2"/>
  <c r="V10" i="2"/>
  <c r="T10" i="2"/>
  <c r="R11" i="2"/>
  <c r="K84" i="1" l="1"/>
  <c r="J85" i="1"/>
  <c r="B29" i="2"/>
  <c r="R12" i="2"/>
  <c r="V11" i="2"/>
  <c r="T11" i="2"/>
  <c r="K85" i="1" l="1"/>
  <c r="J86" i="1"/>
  <c r="K86" i="1" s="1"/>
  <c r="B30" i="2"/>
  <c r="R13" i="2"/>
  <c r="V12" i="2"/>
  <c r="T12" i="2"/>
  <c r="V13" i="2" l="1"/>
  <c r="R14" i="2"/>
  <c r="T13" i="2"/>
  <c r="V14" i="2" l="1"/>
  <c r="T14" i="2"/>
  <c r="B54" i="2" l="1"/>
  <c r="B12" i="2"/>
  <c r="F24" i="2"/>
  <c r="S9" i="2"/>
  <c r="F29" i="2"/>
  <c r="S14" i="2"/>
  <c r="S11" i="2"/>
  <c r="S12" i="2"/>
  <c r="F26" i="2"/>
  <c r="F27" i="2"/>
  <c r="S5" i="2"/>
  <c r="F21" i="2"/>
  <c r="S8" i="2"/>
  <c r="G22" i="1"/>
  <c r="F22" i="2"/>
  <c r="S6" i="2"/>
  <c r="S10" i="2"/>
  <c r="G21" i="1"/>
  <c r="I17" i="1"/>
  <c r="G23" i="1" s="1"/>
  <c r="F30" i="2"/>
  <c r="S4" i="2"/>
  <c r="F23" i="2"/>
  <c r="F28" i="2"/>
  <c r="G20" i="1"/>
  <c r="S13" i="2"/>
  <c r="F25" i="2"/>
  <c r="S7" i="2"/>
  <c r="R67" i="2" l="1"/>
  <c r="V69" i="2"/>
  <c r="R60" i="2"/>
  <c r="V57" i="2"/>
  <c r="R57" i="2"/>
  <c r="V61" i="2"/>
  <c r="N57" i="2"/>
  <c r="V59" i="2"/>
  <c r="R58" i="2"/>
  <c r="R65" i="2"/>
  <c r="N69" i="2"/>
  <c r="N65" i="2"/>
  <c r="R62" i="2"/>
  <c r="N66" i="2"/>
  <c r="V67" i="2"/>
  <c r="R66" i="2"/>
  <c r="R63" i="2"/>
  <c r="R61" i="2"/>
  <c r="V60" i="2"/>
  <c r="V66" i="2"/>
  <c r="V58" i="2"/>
  <c r="N60" i="2"/>
  <c r="V65" i="2"/>
  <c r="N62" i="2"/>
  <c r="R59" i="2"/>
  <c r="R64" i="2"/>
  <c r="N59" i="2"/>
  <c r="N64" i="2"/>
  <c r="R68" i="2"/>
  <c r="R69" i="2"/>
  <c r="V63" i="2"/>
  <c r="V68" i="2"/>
  <c r="N61" i="2"/>
  <c r="V62" i="2"/>
  <c r="V64" i="2"/>
  <c r="N68" i="2"/>
  <c r="N58" i="2"/>
  <c r="N67" i="2"/>
  <c r="N63" i="2"/>
  <c r="O20" i="1" a="1"/>
  <c r="O22" i="1" l="1"/>
  <c r="O23" i="1"/>
  <c r="O20" i="1"/>
  <c r="O21" i="1"/>
  <c r="T51" i="1" l="1"/>
  <c r="T50" i="1"/>
  <c r="S50" i="1" s="1"/>
  <c r="R10" i="1" l="1"/>
  <c r="M2" i="5" l="1"/>
  <c r="G11" i="5" s="1"/>
  <c r="M3" i="5"/>
  <c r="Q26" i="1"/>
  <c r="M17" i="1" s="1"/>
  <c r="H38" i="3"/>
  <c r="I38" i="3" s="1"/>
  <c r="H68" i="2"/>
  <c r="C22" i="2"/>
  <c r="H36" i="3"/>
  <c r="I36" i="3" s="1"/>
  <c r="H59" i="2"/>
  <c r="B72" i="1"/>
  <c r="H69" i="2"/>
  <c r="H58" i="2"/>
  <c r="H63" i="2"/>
  <c r="H65" i="2"/>
  <c r="C28" i="2"/>
  <c r="C24" i="2"/>
  <c r="H60" i="2"/>
  <c r="B52" i="3"/>
  <c r="H66" i="2"/>
  <c r="H61" i="2"/>
  <c r="C27" i="2"/>
  <c r="H62" i="2"/>
  <c r="H67" i="2"/>
  <c r="H40" i="3"/>
  <c r="I40" i="3" s="1"/>
  <c r="H64" i="2"/>
  <c r="E57" i="3"/>
  <c r="C26" i="2"/>
  <c r="H37" i="3"/>
  <c r="I37" i="3" s="1"/>
  <c r="H41" i="3"/>
  <c r="I41" i="3" s="1"/>
  <c r="C21" i="2"/>
  <c r="H57" i="2"/>
  <c r="C29" i="2"/>
  <c r="C30" i="2"/>
  <c r="B36" i="3"/>
  <c r="C23" i="2"/>
  <c r="M15" i="1"/>
  <c r="H39" i="3"/>
  <c r="I39" i="3" s="1"/>
  <c r="C25" i="2"/>
  <c r="B12" i="4"/>
  <c r="K11" i="5" l="1"/>
  <c r="G13" i="5"/>
  <c r="G12" i="5"/>
  <c r="E49" i="3"/>
  <c r="H49" i="3"/>
  <c r="B39" i="3"/>
  <c r="B50" i="1"/>
  <c r="S26" i="1"/>
  <c r="V51" i="1"/>
  <c r="X51" i="1" s="1"/>
  <c r="N27" i="1"/>
  <c r="N26" i="1" s="1"/>
  <c r="B56" i="1" l="1"/>
  <c r="D50" i="1"/>
  <c r="B51" i="1"/>
  <c r="B54" i="1"/>
  <c r="B63" i="3"/>
  <c r="C64" i="3" s="1"/>
  <c r="B67" i="3"/>
  <c r="C68" i="3" s="1"/>
  <c r="F52" i="3"/>
  <c r="E54" i="3" s="1"/>
  <c r="I57" i="3"/>
  <c r="E59" i="3" s="1"/>
  <c r="V50" i="1"/>
  <c r="X50" i="1" s="1"/>
  <c r="N30" i="1"/>
  <c r="N31" i="1"/>
  <c r="N33" i="1"/>
  <c r="A28" i="1"/>
  <c r="A26" i="1"/>
  <c r="N32" i="1"/>
  <c r="A27" i="1"/>
  <c r="A29" i="1"/>
  <c r="U26" i="1"/>
  <c r="P6" i="1" l="1"/>
  <c r="B6" i="4" l="1"/>
  <c r="Q5" i="3"/>
  <c r="P10" i="3"/>
  <c r="L7" i="3"/>
  <c r="P9" i="3"/>
  <c r="P11" i="3"/>
  <c r="P4" i="3"/>
  <c r="Q10" i="3"/>
  <c r="Q7" i="3"/>
  <c r="L10" i="3"/>
  <c r="L11" i="3"/>
  <c r="P6" i="3"/>
  <c r="P5" i="3"/>
  <c r="Q11" i="3"/>
  <c r="P8" i="3"/>
  <c r="Q12" i="3"/>
  <c r="L9" i="3"/>
  <c r="L4" i="3"/>
  <c r="L12" i="3"/>
  <c r="Q8" i="3"/>
  <c r="Q6" i="3"/>
  <c r="Q9" i="3"/>
  <c r="Q4" i="3"/>
  <c r="L8" i="3"/>
  <c r="P7" i="3"/>
  <c r="P12" i="3"/>
  <c r="L5" i="3"/>
  <c r="L6" i="3"/>
  <c r="P5" i="1" l="1"/>
  <c r="I69" i="2" l="1"/>
  <c r="J69" i="2" s="1"/>
  <c r="K69" i="2" s="1"/>
  <c r="I60" i="2"/>
  <c r="J60" i="2" s="1"/>
  <c r="K60" i="2" s="1"/>
  <c r="I65" i="2"/>
  <c r="J65" i="2" s="1"/>
  <c r="K65" i="2" s="1"/>
  <c r="I63" i="2"/>
  <c r="J63" i="2" s="1"/>
  <c r="K63" i="2" s="1"/>
  <c r="I64" i="2"/>
  <c r="J64" i="2" s="1"/>
  <c r="K64" i="2" s="1"/>
  <c r="I57" i="2"/>
  <c r="J57" i="2" s="1"/>
  <c r="K57" i="2" s="1"/>
  <c r="I61" i="2"/>
  <c r="J61" i="2" s="1"/>
  <c r="K61" i="2" s="1"/>
  <c r="I62" i="2"/>
  <c r="J62" i="2" s="1"/>
  <c r="K62" i="2" s="1"/>
  <c r="I58" i="2"/>
  <c r="J58" i="2" s="1"/>
  <c r="K58" i="2" s="1"/>
  <c r="P7" i="1"/>
  <c r="I68" i="2"/>
  <c r="J68" i="2" s="1"/>
  <c r="K68" i="2" s="1"/>
  <c r="I66" i="2"/>
  <c r="J66" i="2" s="1"/>
  <c r="K66" i="2" s="1"/>
  <c r="I59" i="2"/>
  <c r="J59" i="2" s="1"/>
  <c r="K59" i="2" s="1"/>
  <c r="I67" i="2"/>
  <c r="J67" i="2" s="1"/>
  <c r="K67" i="2" s="1"/>
  <c r="W66" i="2" l="1"/>
  <c r="X66" i="2" s="1"/>
  <c r="S66" i="2"/>
  <c r="T66" i="2" s="1"/>
  <c r="O66" i="2"/>
  <c r="P66" i="2" s="1"/>
  <c r="W68" i="2"/>
  <c r="X68" i="2" s="1"/>
  <c r="S68" i="2"/>
  <c r="T68" i="2" s="1"/>
  <c r="O68" i="2"/>
  <c r="P68" i="2" s="1"/>
  <c r="S61" i="2"/>
  <c r="T61" i="2" s="1"/>
  <c r="W61" i="2"/>
  <c r="X61" i="2" s="1"/>
  <c r="O61" i="2"/>
  <c r="P61" i="2" s="1"/>
  <c r="W65" i="2"/>
  <c r="X65" i="2" s="1"/>
  <c r="O65" i="2"/>
  <c r="P65" i="2" s="1"/>
  <c r="S65" i="2"/>
  <c r="T65" i="2" s="1"/>
  <c r="W62" i="2"/>
  <c r="X62" i="2" s="1"/>
  <c r="S62" i="2"/>
  <c r="T62" i="2" s="1"/>
  <c r="O62" i="2"/>
  <c r="P62" i="2" s="1"/>
  <c r="W67" i="2"/>
  <c r="X67" i="2" s="1"/>
  <c r="O67" i="2"/>
  <c r="P67" i="2" s="1"/>
  <c r="S67" i="2"/>
  <c r="T67" i="2" s="1"/>
  <c r="Z7" i="3"/>
  <c r="Z6" i="3"/>
  <c r="R11" i="3"/>
  <c r="AA10" i="3"/>
  <c r="R9" i="3"/>
  <c r="M12" i="3"/>
  <c r="L52" i="3"/>
  <c r="AA4" i="3"/>
  <c r="B18" i="2"/>
  <c r="AA11" i="3"/>
  <c r="Z4" i="3"/>
  <c r="E18" i="2"/>
  <c r="R10" i="3"/>
  <c r="Z11" i="3"/>
  <c r="AA5" i="3"/>
  <c r="Z5" i="3"/>
  <c r="AA6" i="3"/>
  <c r="R7" i="3"/>
  <c r="R5" i="3"/>
  <c r="AA9" i="3"/>
  <c r="R4" i="3"/>
  <c r="AA12" i="3"/>
  <c r="M8" i="3"/>
  <c r="S10" i="3"/>
  <c r="S6" i="3"/>
  <c r="S4" i="3"/>
  <c r="S11" i="3"/>
  <c r="M6" i="3"/>
  <c r="E5" i="2"/>
  <c r="R8" i="3"/>
  <c r="M9" i="3"/>
  <c r="Z12" i="3"/>
  <c r="S7" i="3"/>
  <c r="M10" i="3"/>
  <c r="R6" i="3"/>
  <c r="AA7" i="3"/>
  <c r="S5" i="3"/>
  <c r="S12" i="3"/>
  <c r="Z9" i="3"/>
  <c r="Z10" i="3"/>
  <c r="R12" i="3"/>
  <c r="M4" i="3"/>
  <c r="AA8" i="3"/>
  <c r="S9" i="3"/>
  <c r="M5" i="3"/>
  <c r="M11" i="3"/>
  <c r="M7" i="3"/>
  <c r="Z8" i="3"/>
  <c r="B5" i="4"/>
  <c r="S8" i="3"/>
  <c r="W12" i="2"/>
  <c r="D22" i="2"/>
  <c r="E22" i="2" s="1"/>
  <c r="W11" i="2"/>
  <c r="W4" i="2"/>
  <c r="J7" i="3"/>
  <c r="K7" i="3" s="1"/>
  <c r="W13" i="2"/>
  <c r="U6" i="2"/>
  <c r="D30" i="2"/>
  <c r="E30" i="2" s="1"/>
  <c r="W5" i="2"/>
  <c r="U8" i="2"/>
  <c r="D23" i="2"/>
  <c r="E23" i="2" s="1"/>
  <c r="N9" i="3"/>
  <c r="O9" i="3" s="1"/>
  <c r="N12" i="3"/>
  <c r="O12" i="3" s="1"/>
  <c r="N10" i="3"/>
  <c r="O10" i="3" s="1"/>
  <c r="J12" i="3"/>
  <c r="K12" i="3" s="1"/>
  <c r="N5" i="3"/>
  <c r="O5" i="3" s="1"/>
  <c r="D25" i="2"/>
  <c r="E25" i="2" s="1"/>
  <c r="W7" i="2"/>
  <c r="J5" i="3"/>
  <c r="K5" i="3" s="1"/>
  <c r="W9" i="2"/>
  <c r="D21" i="2"/>
  <c r="E21" i="2" s="1"/>
  <c r="J9" i="3"/>
  <c r="K9" i="3" s="1"/>
  <c r="J4" i="3"/>
  <c r="K4" i="3" s="1"/>
  <c r="D24" i="2"/>
  <c r="E24" i="2" s="1"/>
  <c r="E12" i="2"/>
  <c r="E13" i="2" s="1"/>
  <c r="E14" i="2" s="1"/>
  <c r="W14" i="2"/>
  <c r="U13" i="2"/>
  <c r="U12" i="2"/>
  <c r="J10" i="3"/>
  <c r="K10" i="3" s="1"/>
  <c r="N11" i="3"/>
  <c r="O11" i="3" s="1"/>
  <c r="N7" i="3"/>
  <c r="O7" i="3" s="1"/>
  <c r="D28" i="2"/>
  <c r="E28" i="2" s="1"/>
  <c r="U5" i="2"/>
  <c r="U14" i="2"/>
  <c r="W8" i="2"/>
  <c r="W10" i="2"/>
  <c r="U9" i="2"/>
  <c r="B73" i="1"/>
  <c r="B74" i="1" s="1"/>
  <c r="D29" i="2"/>
  <c r="E29" i="2" s="1"/>
  <c r="U4" i="2"/>
  <c r="B14" i="2"/>
  <c r="B15" i="2" s="1"/>
  <c r="D26" i="2"/>
  <c r="E26" i="2" s="1"/>
  <c r="U10" i="2"/>
  <c r="N6" i="3"/>
  <c r="O6" i="3" s="1"/>
  <c r="U7" i="2"/>
  <c r="L49" i="3"/>
  <c r="N8" i="3"/>
  <c r="O8" i="3" s="1"/>
  <c r="J6" i="3"/>
  <c r="K6" i="3" s="1"/>
  <c r="J8" i="3"/>
  <c r="K8" i="3" s="1"/>
  <c r="N4" i="3"/>
  <c r="O4" i="3" s="1"/>
  <c r="J11" i="3"/>
  <c r="K11" i="3" s="1"/>
  <c r="W6" i="2"/>
  <c r="U11" i="2"/>
  <c r="D27" i="2"/>
  <c r="E27" i="2" s="1"/>
  <c r="X12" i="3"/>
  <c r="X5" i="3"/>
  <c r="X7" i="3"/>
  <c r="W4" i="3"/>
  <c r="X8" i="3"/>
  <c r="X9" i="3"/>
  <c r="W6" i="3"/>
  <c r="W7" i="3"/>
  <c r="W12" i="3"/>
  <c r="W9" i="3"/>
  <c r="W10" i="3"/>
  <c r="X10" i="3"/>
  <c r="X11" i="3"/>
  <c r="W8" i="3"/>
  <c r="X6" i="3"/>
  <c r="X4" i="3"/>
  <c r="W5" i="3"/>
  <c r="W11" i="3"/>
  <c r="W57" i="2"/>
  <c r="X57" i="2" s="1"/>
  <c r="S57" i="2"/>
  <c r="T57" i="2" s="1"/>
  <c r="O57" i="2"/>
  <c r="P57" i="2" s="1"/>
  <c r="W60" i="2"/>
  <c r="X60" i="2" s="1"/>
  <c r="S60" i="2"/>
  <c r="T60" i="2" s="1"/>
  <c r="O60" i="2"/>
  <c r="P60" i="2" s="1"/>
  <c r="S63" i="2"/>
  <c r="T63" i="2" s="1"/>
  <c r="W63" i="2"/>
  <c r="X63" i="2" s="1"/>
  <c r="O63" i="2"/>
  <c r="P63" i="2" s="1"/>
  <c r="W59" i="2"/>
  <c r="X59" i="2" s="1"/>
  <c r="S59" i="2"/>
  <c r="T59" i="2" s="1"/>
  <c r="O59" i="2"/>
  <c r="P59" i="2" s="1"/>
  <c r="W58" i="2"/>
  <c r="X58" i="2" s="1"/>
  <c r="O58" i="2"/>
  <c r="P58" i="2" s="1"/>
  <c r="S58" i="2"/>
  <c r="T58" i="2" s="1"/>
  <c r="O64" i="2"/>
  <c r="P64" i="2" s="1"/>
  <c r="S64" i="2"/>
  <c r="T64" i="2" s="1"/>
  <c r="W64" i="2"/>
  <c r="X64" i="2" s="1"/>
  <c r="W69" i="2"/>
  <c r="X69" i="2" s="1"/>
  <c r="S69" i="2"/>
  <c r="T69" i="2" s="1"/>
  <c r="O69" i="2"/>
  <c r="P69" i="2" s="1"/>
  <c r="P71" i="2" l="1"/>
  <c r="B20" i="4"/>
  <c r="B11" i="4"/>
  <c r="S15" i="4"/>
  <c r="T15" i="4" s="1"/>
  <c r="S13" i="4"/>
  <c r="T13" i="4" s="1"/>
  <c r="S23" i="4"/>
  <c r="T23" i="4" s="1"/>
  <c r="S24" i="4"/>
  <c r="T24" i="4" s="1"/>
  <c r="S20" i="4"/>
  <c r="T20" i="4" s="1"/>
  <c r="S16" i="4"/>
  <c r="T16" i="4" s="1"/>
  <c r="S18" i="4"/>
  <c r="T18" i="4" s="1"/>
  <c r="S21" i="4"/>
  <c r="T21" i="4" s="1"/>
  <c r="S17" i="4"/>
  <c r="T17" i="4" s="1"/>
  <c r="S22" i="4"/>
  <c r="T22" i="4" s="1"/>
  <c r="B17" i="4"/>
  <c r="S19" i="4"/>
  <c r="T19" i="4" s="1"/>
  <c r="S12" i="4"/>
  <c r="T12" i="4" s="1"/>
  <c r="S14" i="4"/>
  <c r="T14" i="4" s="1"/>
  <c r="S27" i="4"/>
  <c r="T27" i="4" s="1"/>
  <c r="S26" i="4"/>
  <c r="T26" i="4" s="1"/>
  <c r="S25" i="4"/>
  <c r="T25" i="4" s="1"/>
  <c r="B40" i="2"/>
  <c r="C40" i="2"/>
  <c r="B38" i="2"/>
  <c r="C38" i="2"/>
  <c r="D37" i="2"/>
  <c r="B37" i="2"/>
  <c r="D41" i="2"/>
  <c r="D42" i="2"/>
  <c r="C41" i="2"/>
  <c r="D39" i="2"/>
  <c r="C42" i="2"/>
  <c r="B39" i="2"/>
  <c r="D38" i="2"/>
  <c r="B42" i="2"/>
  <c r="D40" i="2"/>
  <c r="C39" i="2"/>
  <c r="B41" i="2"/>
  <c r="C37" i="2"/>
  <c r="B33" i="2"/>
  <c r="B19" i="2"/>
  <c r="T71" i="2"/>
  <c r="X71" i="2"/>
  <c r="C47" i="2" l="1"/>
  <c r="C46" i="2"/>
  <c r="C44" i="2"/>
  <c r="C45" i="2"/>
  <c r="B9" i="4" l="1"/>
  <c r="K4" i="4" l="1"/>
  <c r="K5" i="4" s="1"/>
  <c r="B13" i="4"/>
  <c r="B14" i="4" s="1"/>
  <c r="F5" i="4"/>
  <c r="C42" i="4"/>
  <c r="F21" i="4"/>
  <c r="F7" i="4" l="1"/>
  <c r="F6" i="4"/>
  <c r="B15" i="4"/>
  <c r="F10" i="4" s="1"/>
  <c r="F22" i="4"/>
  <c r="F23" i="4"/>
  <c r="K6" i="4"/>
  <c r="K7" i="4"/>
  <c r="F11" i="4" l="1"/>
  <c r="F12" i="4"/>
  <c r="B16" i="4"/>
  <c r="F15" i="4" s="1"/>
  <c r="F16" i="4" l="1"/>
  <c r="F17" i="4"/>
  <c r="B27" i="4"/>
  <c r="M16" i="1" l="1"/>
  <c r="S6" i="1" l="1"/>
  <c r="S7" i="1" s="1"/>
  <c r="S11" i="1" s="1"/>
  <c r="S12" i="1" s="1"/>
  <c r="R15" i="1" s="1"/>
  <c r="R16" i="1" s="1"/>
  <c r="W50" i="1"/>
  <c r="Y50" i="1" s="1"/>
  <c r="P50" i="1" s="1"/>
  <c r="Q50" i="1" s="1"/>
  <c r="B62" i="1"/>
  <c r="B52" i="1"/>
  <c r="B53" i="1" s="1"/>
  <c r="B55" i="1" s="1"/>
  <c r="W51" i="1"/>
  <c r="Y51" i="1" s="1"/>
  <c r="B57" i="1" l="1"/>
  <c r="E54" i="1"/>
  <c r="N51" i="1"/>
  <c r="L51" i="1"/>
  <c r="P51" i="1"/>
  <c r="Q51" i="1" s="1"/>
  <c r="R51" i="1" s="1"/>
  <c r="O52" i="1" l="1"/>
  <c r="M51" i="1"/>
  <c r="T52" i="1" s="1"/>
  <c r="U52" i="1"/>
  <c r="S51" i="1"/>
  <c r="V52" i="1" l="1"/>
  <c r="X52" i="1" s="1"/>
  <c r="W52" i="1"/>
  <c r="Y52" i="1" l="1"/>
  <c r="P52" i="1" s="1"/>
  <c r="Q52" i="1" s="1"/>
  <c r="R52" i="1" s="1"/>
  <c r="N52" i="1" l="1"/>
  <c r="O53" i="1" s="1"/>
  <c r="L52" i="1"/>
  <c r="S52" i="1" s="1"/>
  <c r="M52" i="1"/>
  <c r="T53" i="1" s="1"/>
  <c r="U53" i="1" l="1"/>
  <c r="W53" i="1"/>
  <c r="V53" i="1"/>
  <c r="X53" i="1" s="1"/>
  <c r="Y53" i="1" l="1"/>
  <c r="N53" i="1" s="1"/>
  <c r="L53" i="1" l="1"/>
  <c r="M53" i="1" s="1"/>
  <c r="T54" i="1" s="1"/>
  <c r="P53" i="1"/>
  <c r="Q53" i="1" s="1"/>
  <c r="R53" i="1" s="1"/>
  <c r="O54" i="1"/>
  <c r="S53" i="1" l="1"/>
  <c r="U54" i="1"/>
  <c r="W54" i="1" s="1"/>
  <c r="V54" i="1" l="1"/>
  <c r="X54" i="1" s="1"/>
  <c r="Y54" i="1" l="1"/>
  <c r="L54" i="1" l="1"/>
  <c r="P54" i="1"/>
  <c r="Q54" i="1" s="1"/>
  <c r="R54" i="1" s="1"/>
  <c r="N54" i="1"/>
  <c r="O55" i="1" s="1"/>
  <c r="M54" i="1" l="1"/>
  <c r="T55" i="1" s="1"/>
  <c r="S54" i="1"/>
  <c r="U55" i="1"/>
  <c r="W55" i="1" l="1"/>
  <c r="V55" i="1"/>
  <c r="X55" i="1" s="1"/>
  <c r="Y55" i="1" l="1"/>
  <c r="N55" i="1" s="1"/>
  <c r="O56" i="1" s="1"/>
  <c r="L55" i="1" l="1"/>
  <c r="P55" i="1"/>
  <c r="Q55" i="1" s="1"/>
  <c r="R55" i="1" s="1"/>
  <c r="M55" i="1"/>
  <c r="T56" i="1" s="1"/>
  <c r="S55" i="1"/>
  <c r="U56" i="1"/>
  <c r="W56" i="1" l="1"/>
  <c r="V56" i="1"/>
  <c r="X56" i="1" s="1"/>
  <c r="Y56" i="1" l="1"/>
  <c r="P56" i="1" l="1"/>
  <c r="Q56" i="1" s="1"/>
  <c r="R56" i="1" s="1"/>
  <c r="L56" i="1"/>
  <c r="N56" i="1"/>
  <c r="O57" i="1" s="1"/>
  <c r="U57" i="1" l="1"/>
  <c r="M56" i="1"/>
  <c r="T57" i="1" s="1"/>
  <c r="S56" i="1"/>
  <c r="V57" i="1" l="1"/>
  <c r="X57" i="1" s="1"/>
  <c r="W57" i="1"/>
  <c r="Y57" i="1" s="1"/>
  <c r="P57" i="1" l="1"/>
  <c r="Q57" i="1" s="1"/>
  <c r="R57" i="1" s="1"/>
  <c r="L57" i="1"/>
  <c r="N57" i="1"/>
  <c r="O58" i="1" s="1"/>
  <c r="U58" i="1" l="1"/>
  <c r="M57" i="1"/>
  <c r="T58" i="1" s="1"/>
  <c r="S57" i="1"/>
  <c r="V58" i="1" l="1"/>
  <c r="X58" i="1" s="1"/>
  <c r="W58" i="1"/>
  <c r="Y58" i="1" s="1"/>
  <c r="L58" i="1" l="1"/>
  <c r="P58" i="1"/>
  <c r="Q58" i="1" s="1"/>
  <c r="R58" i="1" s="1"/>
  <c r="N58" i="1"/>
  <c r="O59" i="1" s="1"/>
  <c r="M58" i="1" l="1"/>
  <c r="T59" i="1" s="1"/>
  <c r="U59" i="1"/>
  <c r="S58" i="1"/>
  <c r="W59" i="1" l="1"/>
  <c r="Y59" i="1" s="1"/>
  <c r="V59" i="1"/>
  <c r="X59" i="1" s="1"/>
  <c r="L59" i="1" l="1"/>
  <c r="P59" i="1"/>
  <c r="Q59" i="1" s="1"/>
  <c r="R59" i="1" s="1"/>
  <c r="N59" i="1"/>
  <c r="O60" i="1" s="1"/>
  <c r="U60" i="1" l="1"/>
  <c r="M59" i="1"/>
  <c r="T60" i="1" s="1"/>
  <c r="S59" i="1"/>
  <c r="V60" i="1" l="1"/>
  <c r="X60" i="1" s="1"/>
  <c r="W60" i="1"/>
  <c r="Y60" i="1" l="1"/>
  <c r="P60" i="1" s="1"/>
  <c r="Q60" i="1" s="1"/>
  <c r="R60" i="1" s="1"/>
  <c r="L60" i="1" l="1"/>
  <c r="U61" i="1" s="1"/>
  <c r="N60" i="1"/>
  <c r="O61" i="1" s="1"/>
  <c r="S60" i="1"/>
  <c r="M60" i="1"/>
  <c r="T61" i="1" s="1"/>
  <c r="V61" i="1" l="1"/>
  <c r="X61" i="1" s="1"/>
  <c r="W61" i="1"/>
  <c r="Y61" i="1" s="1"/>
  <c r="P61" i="1" l="1"/>
  <c r="Q61" i="1" s="1"/>
  <c r="R61" i="1" s="1"/>
  <c r="N61" i="1"/>
  <c r="O62" i="1" s="1"/>
  <c r="L61" i="1"/>
  <c r="M61" i="1" l="1"/>
  <c r="T62" i="1" s="1"/>
  <c r="U62" i="1"/>
  <c r="S61" i="1"/>
  <c r="W62" i="1" l="1"/>
  <c r="Y62" i="1" s="1"/>
  <c r="V62" i="1"/>
  <c r="X62" i="1" s="1"/>
  <c r="P62" i="1" l="1"/>
  <c r="Q62" i="1" s="1"/>
  <c r="R62" i="1" s="1"/>
  <c r="N62" i="1"/>
  <c r="O63" i="1" s="1"/>
  <c r="L62" i="1"/>
  <c r="M62" i="1" l="1"/>
  <c r="T63" i="1" s="1"/>
  <c r="U63" i="1"/>
  <c r="S62" i="1"/>
  <c r="W63" i="1" l="1"/>
  <c r="Y63" i="1" s="1"/>
  <c r="V63" i="1"/>
  <c r="X63" i="1" s="1"/>
  <c r="P63" i="1" l="1"/>
  <c r="Q63" i="1" s="1"/>
  <c r="R63" i="1" s="1"/>
  <c r="N63" i="1"/>
  <c r="O64" i="1" s="1"/>
  <c r="L63" i="1"/>
  <c r="M63" i="1" l="1"/>
  <c r="T64" i="1" s="1"/>
  <c r="U64" i="1"/>
  <c r="S63" i="1"/>
  <c r="V64" i="1" l="1"/>
  <c r="X64" i="1" s="1"/>
  <c r="W64" i="1"/>
  <c r="Y64" i="1" s="1"/>
  <c r="P64" i="1" l="1"/>
  <c r="Q64" i="1" s="1"/>
  <c r="R64" i="1" s="1"/>
  <c r="N64" i="1"/>
  <c r="O65" i="1" s="1"/>
  <c r="L64" i="1"/>
  <c r="U65" i="1" l="1"/>
  <c r="M64" i="1"/>
  <c r="T65" i="1" s="1"/>
  <c r="S64" i="1"/>
  <c r="W65" i="1" l="1"/>
  <c r="Y65" i="1" s="1"/>
  <c r="V65" i="1"/>
  <c r="X65" i="1" s="1"/>
  <c r="N65" i="1" l="1"/>
  <c r="O66" i="1" s="1"/>
  <c r="P65" i="1"/>
  <c r="Q65" i="1" s="1"/>
  <c r="R65" i="1" s="1"/>
  <c r="L65" i="1"/>
  <c r="U66" i="1" l="1"/>
  <c r="M65" i="1"/>
  <c r="T66" i="1" s="1"/>
  <c r="S65" i="1"/>
  <c r="V66" i="1" l="1"/>
  <c r="X66" i="1" s="1"/>
  <c r="W66" i="1"/>
  <c r="Y66" i="1" l="1"/>
  <c r="N66" i="1" s="1"/>
  <c r="O67" i="1" s="1"/>
  <c r="L66" i="1" l="1"/>
  <c r="U67" i="1" s="1"/>
  <c r="P66" i="1"/>
  <c r="Q66" i="1" s="1"/>
  <c r="R66" i="1" s="1"/>
  <c r="M66" i="1"/>
  <c r="T67" i="1" s="1"/>
  <c r="S66" i="1"/>
  <c r="V67" i="1" l="1"/>
  <c r="X67" i="1" s="1"/>
  <c r="W67" i="1"/>
  <c r="Y67" i="1" s="1"/>
  <c r="N67" i="1" l="1"/>
  <c r="O68" i="1" s="1"/>
  <c r="P67" i="1"/>
  <c r="Q67" i="1" s="1"/>
  <c r="R67" i="1" s="1"/>
  <c r="L67" i="1"/>
  <c r="S67" i="1" l="1"/>
  <c r="U68" i="1"/>
  <c r="M67" i="1"/>
  <c r="T68" i="1" s="1"/>
  <c r="V68" i="1" l="1"/>
  <c r="X68" i="1" s="1"/>
  <c r="W68" i="1"/>
  <c r="Y68" i="1" l="1"/>
  <c r="L68" i="1" l="1"/>
  <c r="P68" i="1"/>
  <c r="Q68" i="1" s="1"/>
  <c r="R68" i="1" s="1"/>
  <c r="N68" i="1"/>
  <c r="O69" i="1" s="1"/>
  <c r="U69" i="1" l="1"/>
  <c r="S68" i="1"/>
  <c r="M68" i="1"/>
  <c r="T69" i="1" s="1"/>
  <c r="V69" i="1" l="1"/>
  <c r="X69" i="1" s="1"/>
  <c r="W69" i="1"/>
  <c r="Y69" i="1" s="1"/>
  <c r="P69" i="1" l="1"/>
  <c r="Q69" i="1" s="1"/>
  <c r="R69" i="1" s="1"/>
  <c r="L69" i="1"/>
  <c r="N69" i="1"/>
  <c r="O70" i="1" s="1"/>
  <c r="S69" i="1" l="1"/>
  <c r="U70" i="1"/>
  <c r="M69" i="1"/>
  <c r="T70" i="1" s="1"/>
  <c r="W70" i="1" l="1"/>
  <c r="V70" i="1"/>
  <c r="X70" i="1" s="1"/>
  <c r="Y70" i="1" l="1"/>
  <c r="L70" i="1" s="1"/>
  <c r="U71" i="1" l="1"/>
  <c r="S70" i="1"/>
  <c r="M70" i="1"/>
  <c r="T71" i="1" s="1"/>
  <c r="P70" i="1"/>
  <c r="Q70" i="1" s="1"/>
  <c r="R70" i="1" s="1"/>
  <c r="N70" i="1"/>
  <c r="O71" i="1" s="1"/>
  <c r="V71" i="1"/>
  <c r="X71" i="1" s="1"/>
  <c r="W71" i="1"/>
  <c r="Y71" i="1" l="1"/>
  <c r="P71" i="1"/>
  <c r="Q71" i="1" s="1"/>
  <c r="R71" i="1" s="1"/>
  <c r="L71" i="1"/>
  <c r="N71" i="1"/>
  <c r="M71" i="1" l="1"/>
  <c r="T72" i="1" s="1"/>
  <c r="U72" i="1"/>
  <c r="S71" i="1"/>
  <c r="O72" i="1"/>
  <c r="W72" i="1" l="1"/>
  <c r="V72" i="1"/>
  <c r="X72" i="1" s="1"/>
  <c r="Y72" i="1" l="1"/>
  <c r="P72" i="1" l="1"/>
  <c r="Q72" i="1" s="1"/>
  <c r="R72" i="1" s="1"/>
  <c r="N72" i="1"/>
  <c r="L72" i="1"/>
  <c r="U73" i="1" l="1"/>
  <c r="M72" i="1"/>
  <c r="T73" i="1" s="1"/>
  <c r="S72" i="1"/>
  <c r="O73" i="1"/>
  <c r="W73" i="1" l="1"/>
  <c r="V73" i="1"/>
  <c r="X73" i="1" s="1"/>
  <c r="Y73" i="1" l="1"/>
  <c r="P73" i="1" s="1"/>
  <c r="Q73" i="1" s="1"/>
  <c r="R73" i="1" s="1"/>
  <c r="L73" i="1" l="1"/>
  <c r="N73" i="1"/>
  <c r="O74" i="1" s="1"/>
  <c r="M73" i="1"/>
  <c r="T74" i="1" s="1"/>
  <c r="U74" i="1"/>
  <c r="S73" i="1"/>
  <c r="W74" i="1" l="1"/>
  <c r="V74" i="1"/>
  <c r="X74" i="1" s="1"/>
  <c r="Y74" i="1" l="1"/>
  <c r="P74" i="1" l="1"/>
  <c r="Q74" i="1" s="1"/>
  <c r="R74" i="1" s="1"/>
  <c r="N74" i="1"/>
  <c r="L74" i="1"/>
  <c r="U75" i="1" l="1"/>
  <c r="M74" i="1"/>
  <c r="T75" i="1" s="1"/>
  <c r="S74" i="1"/>
  <c r="O75" i="1"/>
  <c r="V75" i="1" l="1"/>
  <c r="X75" i="1" s="1"/>
  <c r="W75" i="1"/>
  <c r="Y75" i="1" l="1"/>
  <c r="P75" i="1" s="1"/>
  <c r="Q75" i="1" s="1"/>
  <c r="R75" i="1" s="1"/>
  <c r="L75" i="1" l="1"/>
  <c r="S75" i="1" s="1"/>
  <c r="N75" i="1"/>
  <c r="O76" i="1"/>
  <c r="U76" i="1"/>
  <c r="M75" i="1" l="1"/>
  <c r="T76" i="1" s="1"/>
  <c r="W76" i="1"/>
  <c r="V76" i="1"/>
  <c r="X76" i="1" s="1"/>
  <c r="Y76" i="1" l="1"/>
  <c r="P76" i="1" s="1"/>
  <c r="Q76" i="1" s="1"/>
  <c r="R76" i="1" s="1"/>
  <c r="N76" i="1"/>
  <c r="L76" i="1" l="1"/>
  <c r="U77" i="1" s="1"/>
  <c r="M76" i="1"/>
  <c r="T77" i="1" s="1"/>
  <c r="S76" i="1"/>
  <c r="O77" i="1"/>
  <c r="W77" i="1" l="1"/>
  <c r="V77" i="1"/>
  <c r="X77" i="1" s="1"/>
  <c r="Y77" i="1" l="1"/>
  <c r="P77" i="1" s="1"/>
  <c r="Q77" i="1" s="1"/>
  <c r="R77" i="1" s="1"/>
  <c r="L77" i="1" l="1"/>
  <c r="N77" i="1"/>
  <c r="O78" i="1" s="1"/>
  <c r="U78" i="1"/>
  <c r="M77" i="1"/>
  <c r="S77" i="1"/>
  <c r="T78" i="1" l="1"/>
  <c r="W78" i="1"/>
  <c r="V78" i="1"/>
  <c r="X78" i="1" s="1"/>
  <c r="Y78" i="1" l="1"/>
  <c r="P78" i="1" l="1"/>
  <c r="Q78" i="1" s="1"/>
  <c r="R78" i="1" s="1"/>
  <c r="L78" i="1"/>
  <c r="N78" i="1"/>
  <c r="O79" i="1" l="1"/>
  <c r="M78" i="1"/>
  <c r="T79" i="1" s="1"/>
  <c r="U79" i="1"/>
  <c r="S78" i="1"/>
  <c r="W79" i="1" l="1"/>
  <c r="V79" i="1"/>
  <c r="X79" i="1" s="1"/>
  <c r="Y79" i="1" l="1"/>
  <c r="P79" i="1" s="1"/>
  <c r="Q79" i="1" s="1"/>
  <c r="R79" i="1" s="1"/>
  <c r="N79" i="1" l="1"/>
  <c r="L79" i="1"/>
  <c r="M79" i="1" s="1"/>
  <c r="T80" i="1" s="1"/>
  <c r="O80" i="1"/>
  <c r="U80" i="1"/>
  <c r="S79" i="1"/>
  <c r="W80" i="1" l="1"/>
  <c r="V80" i="1"/>
  <c r="X80" i="1" s="1"/>
  <c r="Y80" i="1" l="1"/>
  <c r="P80" i="1" s="1"/>
  <c r="Q80" i="1" s="1"/>
  <c r="R80" i="1" s="1"/>
  <c r="N80" i="1" l="1"/>
  <c r="L80" i="1"/>
  <c r="U81" i="1" s="1"/>
  <c r="O81" i="1"/>
  <c r="M80" i="1" l="1"/>
  <c r="T81" i="1" s="1"/>
  <c r="S80" i="1"/>
  <c r="V81" i="1"/>
  <c r="X81" i="1" s="1"/>
  <c r="W81" i="1"/>
  <c r="Y81" i="1" s="1"/>
  <c r="P81" i="1" l="1"/>
  <c r="Q81" i="1" s="1"/>
  <c r="R81" i="1" s="1"/>
  <c r="L81" i="1"/>
  <c r="N81" i="1"/>
  <c r="M81" i="1" l="1"/>
  <c r="T82" i="1" s="1"/>
  <c r="U82" i="1"/>
  <c r="S81" i="1"/>
  <c r="O82" i="1"/>
  <c r="V82" i="1" l="1"/>
  <c r="X82" i="1" s="1"/>
  <c r="W82" i="1"/>
  <c r="Y82" i="1" s="1"/>
  <c r="P82" i="1" l="1"/>
  <c r="Q82" i="1" s="1"/>
  <c r="R82" i="1" s="1"/>
  <c r="N82" i="1"/>
  <c r="L82" i="1"/>
  <c r="M82" i="1" l="1"/>
  <c r="U83" i="1"/>
  <c r="S82" i="1"/>
  <c r="O83" i="1"/>
  <c r="V83" i="1" l="1"/>
  <c r="X83" i="1" s="1"/>
  <c r="W83" i="1"/>
  <c r="T83" i="1"/>
  <c r="Q28" i="1"/>
  <c r="Q25" i="1"/>
  <c r="M36" i="1" l="1"/>
  <c r="M35" i="1"/>
  <c r="M38" i="1"/>
  <c r="M37" i="1"/>
  <c r="N28" i="1"/>
  <c r="Y83" i="1"/>
  <c r="P83" i="1" l="1"/>
  <c r="Q83" i="1" s="1"/>
  <c r="R83" i="1" s="1"/>
  <c r="N83" i="1"/>
  <c r="L83" i="1"/>
  <c r="O84" i="1" l="1"/>
  <c r="M83" i="1"/>
  <c r="T84" i="1" s="1"/>
  <c r="U84" i="1"/>
  <c r="S83" i="1"/>
  <c r="W84" i="1" l="1"/>
  <c r="V84" i="1"/>
  <c r="X84" i="1" s="1"/>
  <c r="Y84" i="1" l="1"/>
  <c r="P84" i="1" s="1"/>
  <c r="Q84" i="1" s="1"/>
  <c r="R84" i="1" s="1"/>
  <c r="N84" i="1" l="1"/>
  <c r="L84" i="1"/>
  <c r="U85" i="1" s="1"/>
  <c r="O85" i="1"/>
  <c r="S84" i="1" l="1"/>
  <c r="M84" i="1"/>
  <c r="T85" i="1" s="1"/>
  <c r="V85" i="1"/>
  <c r="X85" i="1" s="1"/>
  <c r="W85" i="1"/>
  <c r="Y85" i="1" l="1"/>
  <c r="P85" i="1" s="1"/>
  <c r="Q85" i="1" s="1"/>
  <c r="R85" i="1" s="1"/>
  <c r="L85" i="1" l="1"/>
  <c r="M85" i="1" s="1"/>
  <c r="T86" i="1" s="1"/>
  <c r="N85" i="1"/>
  <c r="S85" i="1"/>
  <c r="O86" i="1"/>
  <c r="U86" i="1" l="1"/>
  <c r="W86" i="1" s="1"/>
  <c r="V86" i="1"/>
  <c r="X86" i="1" s="1"/>
  <c r="Y86" i="1" l="1"/>
  <c r="P86" i="1" s="1"/>
  <c r="Q86" i="1" s="1"/>
  <c r="R86" i="1" s="1"/>
  <c r="L86" i="1" l="1"/>
  <c r="B75" i="1" s="1"/>
  <c r="N86" i="1"/>
  <c r="M86" i="1"/>
  <c r="B76" i="1" l="1"/>
  <c r="B77" i="1" s="1"/>
  <c r="B80" i="1" s="1"/>
  <c r="B81" i="1" s="1"/>
  <c r="B85" i="1" s="1"/>
  <c r="B79" i="1"/>
  <c r="S86" i="1"/>
</calcChain>
</file>

<file path=xl/comments1.xml><?xml version="1.0" encoding="utf-8"?>
<comments xmlns="http://schemas.openxmlformats.org/spreadsheetml/2006/main">
  <authors>
    <author>Geoffrey Nyaga</author>
    <author>Windows User</author>
  </authors>
  <commentList>
    <comment ref="R3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number of engines</t>
        </r>
      </text>
    </comment>
    <comment ref="O4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obstacle height 
50ft for GA
35ft for Jet</t>
        </r>
      </text>
    </comment>
    <comment ref="R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takeoff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 take-off configuration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 take-off configuration</t>
        </r>
      </text>
    </comment>
    <comment ref="R12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check page 796 Gudmundsson for γ2min value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friction coefficient</t>
        </r>
      </text>
    </comment>
    <comment ref="F16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cruise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Vmax</t>
        </r>
      </text>
    </comment>
    <comment ref="F17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cruise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this is an approximate using the VLOOKUP function. You can always interpolate</t>
        </r>
      </text>
    </comment>
    <comment ref="M26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time from brake to take-off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lift off speed</t>
        </r>
      </text>
    </comment>
    <comment ref="M2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second approximation of time to lift off using SG and acceleration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prop efficiency at lift off approximated using VLOOKUP function, you can always get accurate value by interpolation from table below</t>
        </r>
      </text>
    </comment>
    <comment ref="C61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takeoff</t>
        </r>
      </text>
    </comment>
    <comment ref="A72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AT VTR</t>
        </r>
      </text>
    </comment>
    <comment ref="A73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AT VTR</t>
        </r>
      </text>
    </comment>
    <comment ref="A75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AT VTR (READ FROM TABLE)</t>
        </r>
      </text>
    </comment>
    <comment ref="A7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transition distance
</t>
        </r>
      </text>
    </comment>
    <comment ref="A79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TRANSITION DISTANCE</t>
        </r>
      </text>
    </comment>
    <comment ref="A80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TRANSITION HEIGHT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climb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???? Np (criuse or climb)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A4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wing moment coefficient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at 16 degree AOA</t>
        </r>
      </text>
    </comment>
    <comment ref="A4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%MAC of forward CG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page 862 Gudmundsson. Tricky for single engine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used the Vs calculated at S-L stall soeed above and assumed it was KCAS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CURIOUS... DO A CG LOCATION ANALYSIS AND SEE THE CHANGE IN Vs</t>
        </r>
      </text>
    </comment>
  </commentList>
</comments>
</file>

<file path=xl/comments4.xml><?xml version="1.0" encoding="utf-8"?>
<comments xmlns="http://schemas.openxmlformats.org/spreadsheetml/2006/main">
  <authors>
    <author>Geoffrey Nyaga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TSFC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time to burn fuel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this is  just a letter representing a part of an equation that is used to calculate range 1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simplified drag model</t>
        </r>
      </text>
    </comment>
  </commentList>
</comments>
</file>

<file path=xl/comments5.xml><?xml version="1.0" encoding="utf-8"?>
<comments xmlns="http://schemas.openxmlformats.org/spreadsheetml/2006/main">
  <authors>
    <author>Geoffrey Nyaga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higher that take-off friction coefficient
Gudmundsson page 938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obstacle height 50ft for GA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TOTAL LANDING DISTACE FROM 50ft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LANDING GROUND ROLL</t>
        </r>
      </text>
    </comment>
  </commentList>
</comments>
</file>

<file path=xl/sharedStrings.xml><?xml version="1.0" encoding="utf-8"?>
<sst xmlns="http://schemas.openxmlformats.org/spreadsheetml/2006/main" count="498" uniqueCount="293">
  <si>
    <t>dt</t>
  </si>
  <si>
    <t>Vi=Vi-1 + adt</t>
  </si>
  <si>
    <t>Vi-1*a*dt</t>
  </si>
  <si>
    <t>0.5adt^s</t>
  </si>
  <si>
    <t>INPUT VALUES</t>
  </si>
  <si>
    <t>Max rated power , P</t>
  </si>
  <si>
    <t>Propeller diameter Dp</t>
  </si>
  <si>
    <t>Propeller disc area, A2</t>
  </si>
  <si>
    <t>Static Thrust, Tstatic</t>
  </si>
  <si>
    <t>BHP</t>
  </si>
  <si>
    <t>ft</t>
  </si>
  <si>
    <t>lbf</t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</si>
  <si>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</si>
  <si>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t>Vc =</t>
  </si>
  <si>
    <t>VH=</t>
  </si>
  <si>
    <t>KCAS</t>
  </si>
  <si>
    <t>ft/s</t>
  </si>
  <si>
    <r>
      <t>η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</t>
    </r>
  </si>
  <si>
    <t xml:space="preserve">KCAS </t>
  </si>
  <si>
    <r>
      <t>T(V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=</t>
    </r>
  </si>
  <si>
    <r>
      <t>T(V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 =</t>
    </r>
  </si>
  <si>
    <t>Hub diameter</t>
  </si>
  <si>
    <t>Spinner Area</t>
  </si>
  <si>
    <t>A=</t>
  </si>
  <si>
    <t>B=</t>
  </si>
  <si>
    <t>C=</t>
  </si>
  <si>
    <t>D=</t>
  </si>
  <si>
    <t xml:space="preserve">ft/s </t>
  </si>
  <si>
    <t>D</t>
  </si>
  <si>
    <t>INVERSE MATRIX A</t>
  </si>
  <si>
    <t>T(V)</t>
  </si>
  <si>
    <t>KTAS</t>
  </si>
  <si>
    <t>q</t>
  </si>
  <si>
    <t>L</t>
  </si>
  <si>
    <r>
      <t>CL</t>
    </r>
    <r>
      <rPr>
        <vertAlign val="subscript"/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>=</t>
    </r>
  </si>
  <si>
    <r>
      <t>CD</t>
    </r>
    <r>
      <rPr>
        <vertAlign val="subscript"/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>=</t>
    </r>
  </si>
  <si>
    <t>S=</t>
  </si>
  <si>
    <t>µ(W-L)</t>
  </si>
  <si>
    <t>W=</t>
  </si>
  <si>
    <t>µ=</t>
  </si>
  <si>
    <t>a=dV/dt</t>
  </si>
  <si>
    <t>only input values in orange!!!!</t>
  </si>
  <si>
    <t>matrix b</t>
  </si>
  <si>
    <t>matrix c</t>
  </si>
  <si>
    <t>matrix a</t>
  </si>
  <si>
    <t>a=</t>
  </si>
  <si>
    <t>b=</t>
  </si>
  <si>
    <t>c=</t>
  </si>
  <si>
    <t>d=</t>
  </si>
  <si>
    <t>time(s)</t>
  </si>
  <si>
    <r>
      <t>V</t>
    </r>
    <r>
      <rPr>
        <vertAlign val="subscript"/>
        <sz val="11"/>
        <color theme="1"/>
        <rFont val="Calibri"/>
        <family val="2"/>
        <scheme val="minor"/>
      </rPr>
      <t>LOF</t>
    </r>
    <r>
      <rPr>
        <sz val="11"/>
        <color theme="1"/>
        <rFont val="Calibri"/>
        <family val="2"/>
        <scheme val="minor"/>
      </rPr>
      <t>=</t>
    </r>
  </si>
  <si>
    <r>
      <t>η</t>
    </r>
    <r>
      <rPr>
        <b/>
        <vertAlign val="subscript"/>
        <sz val="12"/>
        <color theme="1"/>
        <rFont val="Calibri"/>
        <family val="2"/>
        <scheme val="minor"/>
      </rPr>
      <t>p</t>
    </r>
  </si>
  <si>
    <r>
      <t>S</t>
    </r>
    <r>
      <rPr>
        <b/>
        <vertAlign val="subscript"/>
        <sz val="12"/>
        <color theme="1"/>
        <rFont val="Times New Roman"/>
        <family val="1"/>
      </rPr>
      <t>i</t>
    </r>
  </si>
  <si>
    <r>
      <t>dS</t>
    </r>
    <r>
      <rPr>
        <b/>
        <vertAlign val="subscript"/>
        <sz val="12"/>
        <color theme="1"/>
        <rFont val="Times New Roman"/>
        <family val="1"/>
      </rPr>
      <t>i</t>
    </r>
  </si>
  <si>
    <t>iteration</t>
  </si>
  <si>
    <r>
      <rPr>
        <b/>
        <sz val="14"/>
        <color theme="1"/>
        <rFont val="Calibri"/>
        <family val="2"/>
        <scheme val="minor"/>
      </rPr>
      <t xml:space="preserve">FORCES, </t>
    </r>
    <r>
      <rPr>
        <b/>
        <sz val="12"/>
        <color theme="1"/>
        <rFont val="Calibri"/>
        <family val="2"/>
        <scheme val="minor"/>
      </rPr>
      <t>lbf</t>
    </r>
  </si>
  <si>
    <t>Airspeed, V</t>
  </si>
  <si>
    <r>
      <t xml:space="preserve">CONSTANTS </t>
    </r>
    <r>
      <rPr>
        <sz val="11"/>
        <color theme="1"/>
        <rFont val="Calibri"/>
        <family val="2"/>
        <scheme val="minor"/>
      </rPr>
      <t>(these are the solutions )</t>
    </r>
  </si>
  <si>
    <t>BALANCED FIELD LENGTH</t>
  </si>
  <si>
    <t>Vs</t>
  </si>
  <si>
    <t xml:space="preserve"> ho</t>
  </si>
  <si>
    <t>e</t>
  </si>
  <si>
    <t>k</t>
  </si>
  <si>
    <t>AR</t>
  </si>
  <si>
    <t>MTOW</t>
  </si>
  <si>
    <t>S</t>
  </si>
  <si>
    <t>T</t>
  </si>
  <si>
    <t>Ne</t>
  </si>
  <si>
    <t>µ'</t>
  </si>
  <si>
    <t>cl2</t>
  </si>
  <si>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</rPr>
      <t>2</t>
    </r>
  </si>
  <si>
    <t>rad</t>
  </si>
  <si>
    <t>∆γ2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</si>
  <si>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    =</t>
    </r>
  </si>
  <si>
    <t>m</t>
  </si>
  <si>
    <t>BFL =</t>
  </si>
  <si>
    <r>
      <t>T</t>
    </r>
    <r>
      <rPr>
        <vertAlign val="subscript"/>
        <sz val="11"/>
        <color theme="1"/>
        <rFont val="Calibri"/>
        <family val="2"/>
        <scheme val="minor"/>
      </rPr>
      <t>OEI</t>
    </r>
  </si>
  <si>
    <t>ft/s    =</t>
  </si>
  <si>
    <r>
      <t>S</t>
    </r>
    <r>
      <rPr>
        <b/>
        <vertAlign val="subscript"/>
        <sz val="20"/>
        <color theme="1"/>
        <rFont val="Calibri"/>
        <family val="2"/>
        <scheme val="minor"/>
      </rPr>
      <t>G</t>
    </r>
    <r>
      <rPr>
        <b/>
        <sz val="20"/>
        <color theme="1"/>
        <rFont val="Calibri"/>
        <family val="2"/>
        <scheme val="minor"/>
      </rPr>
      <t>=</t>
    </r>
  </si>
  <si>
    <t>t</t>
  </si>
  <si>
    <t>s</t>
  </si>
  <si>
    <t>a</t>
  </si>
  <si>
    <r>
      <t>ft/s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</si>
  <si>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LOF</t>
    </r>
  </si>
  <si>
    <t>METHOD 1:-</t>
  </si>
  <si>
    <t>METHOD 2:-</t>
  </si>
  <si>
    <t>General solution of the equation of motion</t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</si>
  <si>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</si>
  <si>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</si>
  <si>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LOF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√2</t>
    </r>
  </si>
  <si>
    <t>ft/s   =</t>
  </si>
  <si>
    <t>Knots</t>
  </si>
  <si>
    <r>
      <t>S</t>
    </r>
    <r>
      <rPr>
        <vertAlign val="subscript"/>
        <sz val="11"/>
        <rFont val="Calibri"/>
        <family val="2"/>
        <scheme val="minor"/>
      </rPr>
      <t>G</t>
    </r>
  </si>
  <si>
    <t>METHOD 3:-</t>
  </si>
  <si>
    <t>Rapid T-O distance estimation for piston aircrafts</t>
  </si>
  <si>
    <t>t   =</t>
  </si>
  <si>
    <r>
      <t>S</t>
    </r>
    <r>
      <rPr>
        <vertAlign val="subscript"/>
        <sz val="11"/>
        <color theme="1"/>
        <rFont val="Calibri"/>
        <family val="2"/>
        <scheme val="minor"/>
      </rPr>
      <t>ROT</t>
    </r>
  </si>
  <si>
    <r>
      <rPr>
        <b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G</t>
    </r>
    <r>
      <rPr>
        <b/>
        <sz val="14"/>
        <color theme="1"/>
        <rFont val="Calibri"/>
        <family val="2"/>
        <scheme val="minor"/>
      </rPr>
      <t>(true)</t>
    </r>
  </si>
  <si>
    <r>
      <rPr>
        <i/>
        <u val="double"/>
        <sz val="13"/>
        <color theme="1"/>
        <rFont val="Calibri"/>
        <family val="2"/>
        <scheme val="minor"/>
      </rPr>
      <t>Numerical Integration</t>
    </r>
    <r>
      <rPr>
        <i/>
        <u val="double"/>
        <sz val="12"/>
        <color theme="1"/>
        <rFont val="Calibri"/>
        <family val="2"/>
        <scheme val="minor"/>
      </rPr>
      <t>: Calculations to determine the thrust funtion using the Cubic Spline Method</t>
    </r>
  </si>
  <si>
    <r>
      <t>S</t>
    </r>
    <r>
      <rPr>
        <b/>
        <vertAlign val="subscript"/>
        <sz val="16"/>
        <color theme="1"/>
        <rFont val="Calibri"/>
        <family val="2"/>
        <scheme val="minor"/>
      </rPr>
      <t>G</t>
    </r>
  </si>
  <si>
    <t>knots  =</t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</si>
  <si>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</si>
  <si>
    <t>TRANSITION</t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</si>
  <si>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</si>
  <si>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S1</t>
    </r>
  </si>
  <si>
    <r>
      <t>V</t>
    </r>
    <r>
      <rPr>
        <vertAlign val="subscript"/>
        <sz val="11"/>
        <color theme="1"/>
        <rFont val="Calibri"/>
        <family val="2"/>
        <scheme val="minor"/>
      </rPr>
      <t>TR</t>
    </r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</si>
  <si>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</si>
  <si>
    <t>L/D</t>
  </si>
  <si>
    <r>
      <rPr>
        <sz val="11"/>
        <color theme="1"/>
        <rFont val="Calibri"/>
        <family val="2"/>
        <scheme val="minor"/>
      </rPr>
      <t>θ</t>
    </r>
    <r>
      <rPr>
        <vertAlign val="subscript"/>
        <sz val="11"/>
        <color theme="1"/>
        <rFont val="Calibri"/>
        <family val="2"/>
        <scheme val="minor"/>
      </rPr>
      <t>climb</t>
    </r>
  </si>
  <si>
    <t>deg</t>
  </si>
  <si>
    <t>R</t>
  </si>
  <si>
    <r>
      <t>S</t>
    </r>
    <r>
      <rPr>
        <vertAlign val="subscript"/>
        <sz val="11"/>
        <color theme="1"/>
        <rFont val="Calibri"/>
        <family val="2"/>
        <scheme val="minor"/>
      </rPr>
      <t>TR</t>
    </r>
  </si>
  <si>
    <r>
      <t>h</t>
    </r>
    <r>
      <rPr>
        <vertAlign val="subscript"/>
        <sz val="11"/>
        <color theme="1"/>
        <rFont val="Calibri"/>
        <family val="2"/>
        <scheme val="minor"/>
      </rPr>
      <t>TR</t>
    </r>
  </si>
  <si>
    <r>
      <t>S</t>
    </r>
    <r>
      <rPr>
        <vertAlign val="subscript"/>
        <sz val="11"/>
        <color theme="1"/>
        <rFont val="Calibri"/>
        <family val="2"/>
        <scheme val="minor"/>
      </rPr>
      <t>C</t>
    </r>
  </si>
  <si>
    <t>TOTAL T-O DISTANCE</t>
  </si>
  <si>
    <t>lb</t>
  </si>
  <si>
    <t>do</t>
  </si>
  <si>
    <t>dalt</t>
  </si>
  <si>
    <r>
      <t>slug/ft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</si>
  <si>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vsin</t>
    </r>
    <r>
      <rPr>
        <sz val="11"/>
        <color theme="1"/>
        <rFont val="Calibri"/>
        <family val="2"/>
      </rPr>
      <t>θ</t>
    </r>
  </si>
  <si>
    <t>General Rate of Climb</t>
  </si>
  <si>
    <t>θ</t>
  </si>
  <si>
    <t>fpm</t>
  </si>
  <si>
    <r>
      <t>V</t>
    </r>
    <r>
      <rPr>
        <vertAlign val="subscript"/>
        <sz val="11"/>
        <color theme="1"/>
        <rFont val="Calibri"/>
        <family val="2"/>
        <scheme val="minor"/>
      </rPr>
      <t>cruise</t>
    </r>
  </si>
  <si>
    <t>SL</t>
  </si>
  <si>
    <t>CRUISE</t>
  </si>
  <si>
    <t>General Climb Angle</t>
  </si>
  <si>
    <r>
      <t>sin</t>
    </r>
    <r>
      <rPr>
        <sz val="11"/>
        <color theme="1"/>
        <rFont val="Calibri"/>
        <family val="2"/>
      </rPr>
      <t>θ   =</t>
    </r>
  </si>
  <si>
    <t>Airspeed for best ROC</t>
  </si>
  <si>
    <r>
      <t>V</t>
    </r>
    <r>
      <rPr>
        <vertAlign val="subscript"/>
        <sz val="11"/>
        <color theme="1"/>
        <rFont val="Calibri"/>
        <family val="2"/>
        <scheme val="minor"/>
      </rPr>
      <t>Y</t>
    </r>
  </si>
  <si>
    <t>Drag</t>
  </si>
  <si>
    <t>V</t>
  </si>
  <si>
    <r>
      <t>P</t>
    </r>
    <r>
      <rPr>
        <vertAlign val="subscript"/>
        <sz val="11"/>
        <color theme="1"/>
        <rFont val="Calibri"/>
        <family val="2"/>
        <scheme val="minor"/>
      </rPr>
      <t>REQ</t>
    </r>
  </si>
  <si>
    <r>
      <t>P</t>
    </r>
    <r>
      <rPr>
        <vertAlign val="subscript"/>
        <sz val="11"/>
        <color theme="1"/>
        <rFont val="Calibri"/>
        <family val="2"/>
        <scheme val="minor"/>
      </rPr>
      <t>AV</t>
    </r>
  </si>
  <si>
    <t>CL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</si>
  <si>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Y  </t>
    </r>
    <r>
      <rPr>
        <sz val="10"/>
        <color theme="1"/>
        <rFont val="Calibri"/>
        <family val="2"/>
        <scheme val="minor"/>
      </rPr>
      <t>S-L</t>
    </r>
  </si>
  <si>
    <r>
      <t>V</t>
    </r>
    <r>
      <rPr>
        <vertAlign val="subscript"/>
        <sz val="11"/>
        <color theme="1"/>
        <rFont val="Calibri"/>
        <family val="2"/>
        <scheme val="minor"/>
      </rPr>
      <t>Y  CRUISE</t>
    </r>
  </si>
  <si>
    <t>From graph S-L</t>
  </si>
  <si>
    <t>Best ROC</t>
  </si>
  <si>
    <r>
      <t>ROC</t>
    </r>
    <r>
      <rPr>
        <vertAlign val="subscript"/>
        <sz val="11"/>
        <color theme="1"/>
        <rFont val="Calibri"/>
        <family val="2"/>
        <scheme val="minor"/>
      </rPr>
      <t>max</t>
    </r>
  </si>
  <si>
    <r>
      <rPr>
        <sz val="11"/>
        <color theme="1"/>
        <rFont val="Calibri"/>
        <family val="2"/>
      </rPr>
      <t>η</t>
    </r>
    <r>
      <rPr>
        <vertAlign val="subscript"/>
        <sz val="11"/>
        <color theme="1"/>
        <rFont val="Calibri"/>
        <family val="2"/>
      </rPr>
      <t>P</t>
    </r>
  </si>
  <si>
    <t>NUMERICAL ANALYSIS OF CLIMB MANEUVER- SENSITIVITY STUDIES</t>
  </si>
  <si>
    <r>
      <t>P</t>
    </r>
    <r>
      <rPr>
        <vertAlign val="subscript"/>
        <sz val="11"/>
        <color theme="1"/>
        <rFont val="Calibri"/>
        <family val="2"/>
        <scheme val="minor"/>
      </rPr>
      <t>BHP(cruise)</t>
    </r>
  </si>
  <si>
    <t>rpm</t>
  </si>
  <si>
    <t>Altitude</t>
  </si>
  <si>
    <t>ρ</t>
  </si>
  <si>
    <t>σ</t>
  </si>
  <si>
    <t>ADJUSTED DRAG MODEL</t>
  </si>
  <si>
    <t>Airspeed</t>
  </si>
  <si>
    <r>
      <t>lb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/ft</t>
    </r>
    <r>
      <rPr>
        <vertAlign val="superscript"/>
        <sz val="11"/>
        <color theme="1"/>
        <rFont val="Calibri"/>
        <family val="2"/>
        <scheme val="minor"/>
      </rPr>
      <t>2</t>
    </r>
  </si>
  <si>
    <t>CDi</t>
  </si>
  <si>
    <t>CD</t>
  </si>
  <si>
    <t>J</t>
  </si>
  <si>
    <r>
      <t>η</t>
    </r>
    <r>
      <rPr>
        <vertAlign val="subscript"/>
        <sz val="11"/>
        <color theme="1"/>
        <rFont val="Calibri"/>
        <family val="2"/>
        <scheme val="minor"/>
      </rPr>
      <t>p</t>
    </r>
  </si>
  <si>
    <t>TV-DV</t>
  </si>
  <si>
    <t>ROC</t>
  </si>
  <si>
    <t>ft.lbf/s</t>
  </si>
  <si>
    <r>
      <t>CL</t>
    </r>
    <r>
      <rPr>
        <vertAlign val="subscript"/>
        <sz val="11"/>
        <color theme="1"/>
        <rFont val="Calibri"/>
        <family val="2"/>
        <scheme val="minor"/>
      </rPr>
      <t>MIN</t>
    </r>
    <r>
      <rPr>
        <vertAlign val="subscript"/>
        <sz val="14"/>
        <color theme="1"/>
        <rFont val="Calibri"/>
        <family val="2"/>
        <scheme val="minor"/>
      </rPr>
      <t>D</t>
    </r>
  </si>
  <si>
    <t>DRAG POLAR PLOTTING</t>
  </si>
  <si>
    <r>
      <t>D</t>
    </r>
    <r>
      <rPr>
        <vertAlign val="subscript"/>
        <sz val="11"/>
        <color theme="1"/>
        <rFont val="Calibri"/>
        <family val="2"/>
        <scheme val="minor"/>
      </rPr>
      <t>i</t>
    </r>
  </si>
  <si>
    <r>
      <t>D</t>
    </r>
    <r>
      <rPr>
        <vertAlign val="subscript"/>
        <sz val="11"/>
        <color theme="1"/>
        <rFont val="Calibri"/>
        <family val="2"/>
        <scheme val="minor"/>
      </rPr>
      <t>min</t>
    </r>
  </si>
  <si>
    <t>CDmin</t>
  </si>
  <si>
    <r>
      <t>P</t>
    </r>
    <r>
      <rPr>
        <vertAlign val="subscript"/>
        <sz val="11"/>
        <color theme="1"/>
        <rFont val="Calibri"/>
        <family val="2"/>
        <scheme val="minor"/>
      </rPr>
      <t>BHP(altitude)</t>
    </r>
  </si>
  <si>
    <t>hp</t>
  </si>
  <si>
    <t>VC (KTAS)</t>
  </si>
  <si>
    <r>
      <t>T</t>
    </r>
    <r>
      <rPr>
        <vertAlign val="subscript"/>
        <sz val="11"/>
        <color theme="1"/>
        <rFont val="Calibri"/>
        <family val="2"/>
        <scheme val="minor"/>
      </rPr>
      <t>AV</t>
    </r>
  </si>
  <si>
    <t>Vmax</t>
  </si>
  <si>
    <t>Vmin</t>
  </si>
  <si>
    <t>Tsetting</t>
  </si>
  <si>
    <t>Simplified</t>
  </si>
  <si>
    <t>Adjusted</t>
  </si>
  <si>
    <t>Maximum and Minimum Airspeed for Level Flight</t>
  </si>
  <si>
    <t>simplified drag model</t>
  </si>
  <si>
    <t>look at the cruise speed column in the above table. Pick your cruise speed and check the</t>
  </si>
  <si>
    <t>corresponding Vmax and Vmin values for both simplified and adjusted models.</t>
  </si>
  <si>
    <t>Adjusted drag model</t>
  </si>
  <si>
    <t>S-L stall speed</t>
  </si>
  <si>
    <t>knots</t>
  </si>
  <si>
    <t>bank angle</t>
  </si>
  <si>
    <t>S-L stalling speed during banking</t>
  </si>
  <si>
    <t>altitude</t>
  </si>
  <si>
    <r>
      <t>V</t>
    </r>
    <r>
      <rPr>
        <vertAlign val="subscript"/>
        <sz val="11"/>
        <color theme="1"/>
        <rFont val="Calibri"/>
        <family val="2"/>
        <scheme val="minor"/>
      </rPr>
      <t>S KTAS</t>
    </r>
  </si>
  <si>
    <r>
      <t>V</t>
    </r>
    <r>
      <rPr>
        <vertAlign val="subscript"/>
        <sz val="11"/>
        <color theme="1"/>
        <rFont val="Calibri"/>
        <family val="2"/>
        <scheme val="minor"/>
      </rPr>
      <t>S  KCAS</t>
    </r>
  </si>
  <si>
    <t>POWER-ON CONDITIONS</t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</si>
  <si>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wing</t>
    </r>
  </si>
  <si>
    <r>
      <t>h</t>
    </r>
    <r>
      <rPr>
        <vertAlign val="subscript"/>
        <sz val="11"/>
        <color theme="1"/>
        <rFont val="Calibri"/>
        <family val="2"/>
        <scheme val="minor"/>
      </rPr>
      <t>FWD</t>
    </r>
  </si>
  <si>
    <r>
      <t>h</t>
    </r>
    <r>
      <rPr>
        <vertAlign val="subscript"/>
        <sz val="11"/>
        <color theme="1"/>
        <rFont val="Calibri"/>
        <family val="2"/>
        <scheme val="minor"/>
      </rPr>
      <t>AFT</t>
    </r>
  </si>
  <si>
    <t>%mac</t>
  </si>
  <si>
    <r>
      <t>l</t>
    </r>
    <r>
      <rPr>
        <vertAlign val="subscript"/>
        <sz val="11"/>
        <color theme="1"/>
        <rFont val="Calibri"/>
        <family val="2"/>
        <scheme val="minor"/>
      </rPr>
      <t>HT</t>
    </r>
  </si>
  <si>
    <r>
      <t>η</t>
    </r>
    <r>
      <rPr>
        <vertAlign val="subscript"/>
        <sz val="11"/>
        <color theme="1"/>
        <rFont val="Calibri"/>
        <family val="2"/>
      </rPr>
      <t>p</t>
    </r>
  </si>
  <si>
    <t>hac</t>
  </si>
  <si>
    <t>mac</t>
  </si>
  <si>
    <t>consult Gudmundsson page 862</t>
  </si>
  <si>
    <t>for figure</t>
  </si>
  <si>
    <r>
      <t>M</t>
    </r>
    <r>
      <rPr>
        <vertAlign val="subscript"/>
        <sz val="11"/>
        <color theme="1"/>
        <rFont val="Calibri"/>
        <family val="2"/>
        <scheme val="minor"/>
      </rPr>
      <t>W</t>
    </r>
  </si>
  <si>
    <r>
      <t>Z</t>
    </r>
    <r>
      <rPr>
        <vertAlign val="subscript"/>
        <sz val="11"/>
        <color theme="1"/>
        <rFont val="Calibri"/>
        <family val="2"/>
        <scheme val="minor"/>
      </rPr>
      <t>T</t>
    </r>
  </si>
  <si>
    <t>MAC</t>
  </si>
  <si>
    <t>ft.lbf</t>
  </si>
  <si>
    <t>A</t>
  </si>
  <si>
    <t>S-L Stalling Speed(KCAS) FOR AFT AND FORWARD CG WITH POWER-OFF AND</t>
  </si>
  <si>
    <t>B</t>
  </si>
  <si>
    <t>C</t>
  </si>
  <si>
    <t>Xmg</t>
  </si>
  <si>
    <t>h</t>
  </si>
  <si>
    <t>αstall</t>
  </si>
  <si>
    <t>A) FORWARD CG</t>
  </si>
  <si>
    <t>B) AFT CG</t>
  </si>
  <si>
    <t>1.) POWER-OFF</t>
  </si>
  <si>
    <t>2.)POWER-ON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</si>
  <si>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</si>
  <si>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X</t>
    </r>
    <r>
      <rPr>
        <vertAlign val="subscript"/>
        <sz val="11"/>
        <color theme="1"/>
        <rFont val="Calibri"/>
        <family val="2"/>
        <scheme val="minor"/>
      </rPr>
      <t>T</t>
    </r>
  </si>
  <si>
    <r>
      <rPr>
        <b/>
        <sz val="12"/>
        <color theme="1"/>
        <rFont val="Calibri"/>
        <family val="2"/>
      </rPr>
      <t>η</t>
    </r>
    <r>
      <rPr>
        <b/>
        <sz val="12"/>
        <color theme="1"/>
        <rFont val="Times New Roman"/>
        <family val="1"/>
      </rPr>
      <t>p</t>
    </r>
  </si>
  <si>
    <t>Clmax</t>
  </si>
  <si>
    <t>(L/D)max</t>
  </si>
  <si>
    <t>Prop hub:diam ratio</t>
  </si>
  <si>
    <t>Max Endurance Ratio</t>
  </si>
  <si>
    <t>Max Endurance Airspeed</t>
  </si>
  <si>
    <r>
      <t>V</t>
    </r>
    <r>
      <rPr>
        <vertAlign val="subscript"/>
        <sz val="11"/>
        <color theme="1"/>
        <rFont val="Calibri"/>
        <family val="2"/>
        <scheme val="minor"/>
      </rPr>
      <t>Emax</t>
    </r>
  </si>
  <si>
    <r>
      <t>V</t>
    </r>
    <r>
      <rPr>
        <vertAlign val="subscript"/>
        <sz val="11"/>
        <color theme="1"/>
        <rFont val="Calibri"/>
        <family val="2"/>
        <scheme val="minor"/>
      </rPr>
      <t>max</t>
    </r>
  </si>
  <si>
    <r>
      <t>V</t>
    </r>
    <r>
      <rPr>
        <vertAlign val="subscript"/>
        <sz val="11"/>
        <color theme="1"/>
        <rFont val="Calibri"/>
        <family val="2"/>
        <scheme val="minor"/>
      </rPr>
      <t>min</t>
    </r>
  </si>
  <si>
    <r>
      <t>C</t>
    </r>
    <r>
      <rPr>
        <sz val="9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MIN</t>
    </r>
  </si>
  <si>
    <r>
      <t>C</t>
    </r>
    <r>
      <rPr>
        <vertAlign val="subscript"/>
        <sz val="11"/>
        <color theme="1"/>
        <rFont val="Calibri"/>
        <family val="2"/>
        <scheme val="minor"/>
      </rPr>
      <t>BHP</t>
    </r>
    <r>
      <rPr>
        <sz val="11"/>
        <color theme="1"/>
        <rFont val="Calibri"/>
        <family val="2"/>
        <scheme val="minor"/>
      </rPr>
      <t>cruise</t>
    </r>
  </si>
  <si>
    <r>
      <t>q</t>
    </r>
    <r>
      <rPr>
        <vertAlign val="subscript"/>
        <sz val="11"/>
        <color theme="1"/>
        <rFont val="Calibri"/>
        <family val="2"/>
      </rPr>
      <t>cruise</t>
    </r>
  </si>
  <si>
    <t>Vc</t>
  </si>
  <si>
    <r>
      <t>W</t>
    </r>
    <r>
      <rPr>
        <vertAlign val="subscript"/>
        <sz val="11"/>
        <color theme="1"/>
        <rFont val="Calibri"/>
        <family val="2"/>
      </rPr>
      <t>ini</t>
    </r>
  </si>
  <si>
    <r>
      <t>W</t>
    </r>
    <r>
      <rPr>
        <vertAlign val="subscript"/>
        <sz val="11"/>
        <color theme="1"/>
        <rFont val="Calibri"/>
        <family val="2"/>
      </rPr>
      <t>fin</t>
    </r>
  </si>
  <si>
    <r>
      <t>C</t>
    </r>
    <r>
      <rPr>
        <vertAlign val="subscript"/>
        <sz val="11"/>
        <color theme="1"/>
        <rFont val="Calibri"/>
        <family val="2"/>
        <scheme val="minor"/>
      </rPr>
      <t>BHP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cruise</t>
    </r>
  </si>
  <si>
    <t>km</t>
  </si>
  <si>
    <t>nm</t>
  </si>
  <si>
    <r>
      <t>CL</t>
    </r>
    <r>
      <rPr>
        <vertAlign val="subscript"/>
        <sz val="11"/>
        <color theme="1"/>
        <rFont val="Calibri"/>
        <family val="2"/>
      </rPr>
      <t>ini</t>
    </r>
  </si>
  <si>
    <r>
      <t>CL</t>
    </r>
    <r>
      <rPr>
        <vertAlign val="subscript"/>
        <sz val="11"/>
        <color theme="1"/>
        <rFont val="Calibri"/>
        <family val="2"/>
      </rPr>
      <t>fin</t>
    </r>
  </si>
  <si>
    <r>
      <t>CL</t>
    </r>
    <r>
      <rPr>
        <vertAlign val="subscript"/>
        <sz val="11"/>
        <color theme="1"/>
        <rFont val="Calibri"/>
        <family val="2"/>
      </rPr>
      <t>C</t>
    </r>
  </si>
  <si>
    <r>
      <t>C</t>
    </r>
    <r>
      <rPr>
        <vertAlign val="subscript"/>
        <sz val="11"/>
        <color theme="1"/>
        <rFont val="Calibri"/>
        <family val="2"/>
      </rPr>
      <t>D</t>
    </r>
  </si>
  <si>
    <t>CL/CD</t>
  </si>
  <si>
    <t xml:space="preserve">Range = 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</si>
  <si>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</si>
  <si>
    <r>
      <t>T</t>
    </r>
    <r>
      <rPr>
        <vertAlign val="subscript"/>
        <sz val="11"/>
        <color theme="1"/>
        <rFont val="Calibri"/>
        <family val="2"/>
      </rPr>
      <t>f</t>
    </r>
  </si>
  <si>
    <r>
      <t>C</t>
    </r>
    <r>
      <rPr>
        <vertAlign val="subscript"/>
        <sz val="11"/>
        <color theme="1"/>
        <rFont val="Calibri"/>
        <family val="2"/>
      </rPr>
      <t>L</t>
    </r>
    <r>
      <rPr>
        <sz val="11"/>
        <color theme="1"/>
        <rFont val="Calibri"/>
        <family val="2"/>
      </rPr>
      <t>/C</t>
    </r>
    <r>
      <rPr>
        <vertAlign val="subscript"/>
        <sz val="11"/>
        <color theme="1"/>
        <rFont val="Calibri"/>
        <family val="2"/>
      </rPr>
      <t>D</t>
    </r>
  </si>
  <si>
    <t>hours</t>
  </si>
  <si>
    <t>"sanity check"</t>
  </si>
  <si>
    <t>Range=</t>
  </si>
  <si>
    <t>1) Constant Airspeed/ Constant Altitude Cruise</t>
  </si>
  <si>
    <t>2) Constant Altitude/ Constant Attitude Cruise</t>
  </si>
  <si>
    <t>3) Constant Airspeed/ Constant Attitude Cruise</t>
  </si>
  <si>
    <t>this is a rough approximation. Make sure the calculated values</t>
  </si>
  <si>
    <t>are understandably around this figure</t>
  </si>
  <si>
    <t>Airspeed of (L/D)max</t>
  </si>
  <si>
    <r>
      <t>V</t>
    </r>
    <r>
      <rPr>
        <vertAlign val="subscript"/>
        <sz val="11"/>
        <color theme="1"/>
        <rFont val="Calibri"/>
        <family val="2"/>
        <scheme val="minor"/>
      </rPr>
      <t>(L/D)max</t>
    </r>
  </si>
  <si>
    <r>
      <t>(L/D)</t>
    </r>
    <r>
      <rPr>
        <vertAlign val="subscript"/>
        <sz val="11"/>
        <color theme="1"/>
        <rFont val="Calibri"/>
        <family val="2"/>
      </rPr>
      <t>max</t>
    </r>
  </si>
  <si>
    <t>4)  Range at (L/D)max</t>
  </si>
  <si>
    <t>Determining fuel required</t>
  </si>
  <si>
    <t xml:space="preserve"> Constant Airspeed/ Constant Attitude Cruise</t>
  </si>
  <si>
    <r>
      <t>W</t>
    </r>
    <r>
      <rPr>
        <vertAlign val="subscript"/>
        <sz val="11"/>
        <color theme="1"/>
        <rFont val="Calibri"/>
        <family val="2"/>
        <scheme val="minor"/>
      </rPr>
      <t>f</t>
    </r>
  </si>
  <si>
    <t>lbs</t>
  </si>
  <si>
    <t>Specific Range and Efficiency</t>
  </si>
  <si>
    <t>(this will be more accurate when data from flight test will be recorded)</t>
  </si>
  <si>
    <t>fuel consumption</t>
  </si>
  <si>
    <t>gal/hr</t>
  </si>
  <si>
    <t>range</t>
  </si>
  <si>
    <t>fuel used</t>
  </si>
  <si>
    <t>SR</t>
  </si>
  <si>
    <t>Cruise Speed</t>
  </si>
  <si>
    <t>Average SR</t>
  </si>
  <si>
    <r>
      <t>nm/lb</t>
    </r>
    <r>
      <rPr>
        <vertAlign val="subscript"/>
        <sz val="11"/>
        <color theme="1"/>
        <rFont val="Calibri"/>
        <family val="2"/>
        <scheme val="minor"/>
      </rPr>
      <t>f</t>
    </r>
  </si>
  <si>
    <t>Efficiency</t>
  </si>
  <si>
    <r>
      <t>pax.mi / lb</t>
    </r>
    <r>
      <rPr>
        <vertAlign val="subscript"/>
        <sz val="11"/>
        <color theme="1"/>
        <rFont val="Calibri"/>
        <family val="2"/>
        <scheme val="minor"/>
      </rPr>
      <t>f</t>
    </r>
  </si>
  <si>
    <t>ENDURANCE</t>
  </si>
  <si>
    <t>1) Constant Airspeed/Constant Altitude Cruise</t>
  </si>
  <si>
    <t>Endurance</t>
  </si>
  <si>
    <t>hrs</t>
  </si>
  <si>
    <t>KTAS  =</t>
  </si>
  <si>
    <r>
      <t>W</t>
    </r>
    <r>
      <rPr>
        <vertAlign val="subscript"/>
        <sz val="11"/>
        <color theme="1"/>
        <rFont val="Calibri"/>
        <family val="2"/>
        <scheme val="minor"/>
      </rPr>
      <t>landing</t>
    </r>
  </si>
  <si>
    <r>
      <t>θ</t>
    </r>
    <r>
      <rPr>
        <vertAlign val="subscript"/>
        <sz val="11"/>
        <color theme="1"/>
        <rFont val="Calibri"/>
        <family val="2"/>
      </rPr>
      <t>app</t>
    </r>
  </si>
  <si>
    <r>
      <t>P</t>
    </r>
    <r>
      <rPr>
        <vertAlign val="subscript"/>
        <sz val="11"/>
        <color theme="1"/>
        <rFont val="Calibri"/>
        <family val="2"/>
      </rPr>
      <t>BHP</t>
    </r>
    <r>
      <rPr>
        <sz val="11"/>
        <color theme="1"/>
        <rFont val="Calibri"/>
        <family val="2"/>
      </rPr>
      <t>idle</t>
    </r>
  </si>
  <si>
    <r>
      <t>C</t>
    </r>
    <r>
      <rPr>
        <vertAlign val="subscript"/>
        <sz val="11"/>
        <color theme="1"/>
        <rFont val="Calibri"/>
        <family val="2"/>
      </rPr>
      <t>D LDG</t>
    </r>
  </si>
  <si>
    <r>
      <t>C</t>
    </r>
    <r>
      <rPr>
        <vertAlign val="subscript"/>
        <sz val="11"/>
        <color theme="1"/>
        <rFont val="Calibri"/>
        <family val="2"/>
      </rPr>
      <t>L LDG</t>
    </r>
  </si>
  <si>
    <t>Vso</t>
  </si>
  <si>
    <r>
      <t>V</t>
    </r>
    <r>
      <rPr>
        <vertAlign val="subscript"/>
        <sz val="11"/>
        <color theme="1"/>
        <rFont val="Calibri"/>
        <family val="2"/>
        <scheme val="minor"/>
      </rPr>
      <t>REF</t>
    </r>
  </si>
  <si>
    <r>
      <t>V</t>
    </r>
    <r>
      <rPr>
        <vertAlign val="subscript"/>
        <sz val="11"/>
        <color theme="1"/>
        <rFont val="Calibri"/>
        <family val="2"/>
        <scheme val="minor"/>
      </rPr>
      <t>FLR</t>
    </r>
  </si>
  <si>
    <r>
      <t>V</t>
    </r>
    <r>
      <rPr>
        <vertAlign val="subscript"/>
        <sz val="11"/>
        <color theme="1"/>
        <rFont val="Calibri"/>
        <family val="2"/>
        <scheme val="minor"/>
      </rPr>
      <t>TD</t>
    </r>
  </si>
  <si>
    <r>
      <t>V</t>
    </r>
    <r>
      <rPr>
        <vertAlign val="subscript"/>
        <sz val="11"/>
        <color theme="1"/>
        <rFont val="Calibri"/>
        <family val="2"/>
        <scheme val="minor"/>
      </rPr>
      <t>BR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</si>
  <si>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</si>
  <si>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S</t>
    </r>
    <r>
      <rPr>
        <vertAlign val="subscript"/>
        <sz val="11"/>
        <color theme="1"/>
        <rFont val="Calibri"/>
        <family val="2"/>
        <scheme val="minor"/>
      </rPr>
      <t>A</t>
    </r>
  </si>
  <si>
    <r>
      <t>h</t>
    </r>
    <r>
      <rPr>
        <vertAlign val="subscript"/>
        <sz val="11"/>
        <color theme="1"/>
        <rFont val="Calibri"/>
        <family val="2"/>
      </rPr>
      <t>obst</t>
    </r>
  </si>
  <si>
    <r>
      <t>S</t>
    </r>
    <r>
      <rPr>
        <vertAlign val="subscript"/>
        <sz val="11"/>
        <color theme="1"/>
        <rFont val="Calibri"/>
        <family val="2"/>
        <scheme val="minor"/>
      </rPr>
      <t>F</t>
    </r>
  </si>
  <si>
    <t>KCAS  =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</si>
  <si>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FR </t>
    </r>
    <r>
      <rPr>
        <sz val="11"/>
        <color theme="1"/>
        <rFont val="Calibri"/>
        <family val="2"/>
        <scheme val="minor"/>
      </rPr>
      <t>= V</t>
    </r>
    <r>
      <rPr>
        <vertAlign val="subscript"/>
        <sz val="11"/>
        <color theme="1"/>
        <rFont val="Calibri"/>
        <family val="2"/>
        <scheme val="minor"/>
      </rPr>
      <t>TD</t>
    </r>
  </si>
  <si>
    <r>
      <t>S</t>
    </r>
    <r>
      <rPr>
        <vertAlign val="subscript"/>
        <sz val="11"/>
        <color theme="1"/>
        <rFont val="Calibri"/>
        <family val="2"/>
        <scheme val="minor"/>
      </rPr>
      <t>BR</t>
    </r>
  </si>
  <si>
    <r>
      <t>S</t>
    </r>
    <r>
      <rPr>
        <vertAlign val="subscript"/>
        <sz val="11"/>
        <color theme="1"/>
        <rFont val="Calibri"/>
        <family val="2"/>
        <scheme val="minor"/>
      </rPr>
      <t>LDG</t>
    </r>
  </si>
  <si>
    <r>
      <t>L</t>
    </r>
    <r>
      <rPr>
        <vertAlign val="subscript"/>
        <sz val="11"/>
        <color theme="1"/>
        <rFont val="Calibri"/>
        <family val="2"/>
        <scheme val="minor"/>
      </rPr>
      <t>GR</t>
    </r>
  </si>
  <si>
    <t>When prop efficiency and brake horsepower are not known</t>
  </si>
  <si>
    <r>
      <t>μ</t>
    </r>
    <r>
      <rPr>
        <vertAlign val="subscript"/>
        <sz val="11"/>
        <color theme="1"/>
        <rFont val="Calibri"/>
        <family val="2"/>
      </rPr>
      <t>braking</t>
    </r>
  </si>
  <si>
    <t>Total landing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</si>
</sst>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bscript"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i/>
      <u val="double"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vertAlign val="subscript"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u val="double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i/>
      <u val="double"/>
      <sz val="13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 val="double"/>
      <sz val="16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u val="double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rgb="FF3F3F3F"/>
      <name val="Calibri"/>
      <family val="2"/>
      <scheme val="minor"/>
    </font>
    <font>
      <b/>
      <sz val="18"/>
      <color rgb="FF3F3F3F"/>
      <name val="Cambria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Bell MT"/>
      <family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0" fillId="15" borderId="1" applyNumberFormat="0" applyAlignment="0" applyProtection="0"/>
    <xf numFmtId="43" fontId="42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5" fillId="7" borderId="0" xfId="0" applyFont="1" applyFill="1" applyAlignment="1">
      <alignment horizontal="center"/>
    </xf>
    <xf numFmtId="0" fontId="0" fillId="7" borderId="0" xfId="0" applyFill="1"/>
    <xf numFmtId="0" fontId="10" fillId="5" borderId="0" xfId="0" applyFont="1" applyFill="1"/>
    <xf numFmtId="11" fontId="0" fillId="2" borderId="0" xfId="0" applyNumberFormat="1" applyFill="1"/>
    <xf numFmtId="0" fontId="11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15" fillId="0" borderId="0" xfId="0" applyFont="1" applyAlignment="1">
      <alignment horizontal="center"/>
    </xf>
    <xf numFmtId="0" fontId="0" fillId="10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7" borderId="0" xfId="0" applyFont="1" applyFill="1" applyAlignment="1">
      <alignment horizontal="left"/>
    </xf>
    <xf numFmtId="0" fontId="18" fillId="0" borderId="0" xfId="0" applyFont="1" applyAlignment="1">
      <alignment horizontal="center"/>
    </xf>
    <xf numFmtId="0" fontId="19" fillId="7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15" fillId="0" borderId="0" xfId="0" applyFont="1"/>
    <xf numFmtId="0" fontId="20" fillId="0" borderId="0" xfId="0" applyFont="1"/>
    <xf numFmtId="0" fontId="22" fillId="0" borderId="0" xfId="0" applyFont="1"/>
    <xf numFmtId="0" fontId="10" fillId="0" borderId="0" xfId="0" applyFont="1" applyAlignment="1">
      <alignment horizontal="center"/>
    </xf>
    <xf numFmtId="0" fontId="26" fillId="0" borderId="0" xfId="0" applyFont="1"/>
    <xf numFmtId="0" fontId="19" fillId="1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/>
    <xf numFmtId="0" fontId="0" fillId="11" borderId="0" xfId="0" applyFill="1"/>
    <xf numFmtId="0" fontId="0" fillId="6" borderId="0" xfId="0" applyFill="1" applyAlignment="1">
      <alignment horizontal="center"/>
    </xf>
    <xf numFmtId="0" fontId="0" fillId="12" borderId="0" xfId="0" applyFill="1"/>
    <xf numFmtId="0" fontId="7" fillId="7" borderId="0" xfId="0" applyFont="1" applyFill="1"/>
    <xf numFmtId="0" fontId="0" fillId="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4" fillId="11" borderId="0" xfId="0" applyFont="1" applyFill="1"/>
    <xf numFmtId="0" fontId="28" fillId="0" borderId="0" xfId="0" applyFont="1"/>
    <xf numFmtId="0" fontId="29" fillId="0" borderId="0" xfId="0" applyFont="1"/>
    <xf numFmtId="0" fontId="0" fillId="6" borderId="0" xfId="0" applyFont="1" applyFill="1" applyAlignment="1">
      <alignment horizontal="center"/>
    </xf>
    <xf numFmtId="0" fontId="30" fillId="0" borderId="0" xfId="0" applyFont="1"/>
    <xf numFmtId="0" fontId="0" fillId="0" borderId="0" xfId="0" applyFont="1" applyFill="1" applyAlignment="1">
      <alignment horizontal="center"/>
    </xf>
    <xf numFmtId="0" fontId="0" fillId="13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4" fillId="5" borderId="0" xfId="0" applyFont="1" applyFill="1" applyAlignment="1">
      <alignment horizontal="center"/>
    </xf>
    <xf numFmtId="0" fontId="31" fillId="0" borderId="0" xfId="0" applyFont="1"/>
    <xf numFmtId="0" fontId="0" fillId="14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9" borderId="0" xfId="0" applyFont="1" applyFill="1"/>
    <xf numFmtId="0" fontId="33" fillId="9" borderId="0" xfId="0" applyFont="1" applyFill="1"/>
    <xf numFmtId="0" fontId="0" fillId="0" borderId="0" xfId="0" applyFill="1" applyAlignment="1">
      <alignment horizontal="center"/>
    </xf>
    <xf numFmtId="0" fontId="6" fillId="3" borderId="0" xfId="0" applyFont="1" applyFill="1"/>
    <xf numFmtId="0" fontId="35" fillId="0" borderId="0" xfId="0" applyFont="1"/>
    <xf numFmtId="0" fontId="22" fillId="7" borderId="0" xfId="0" applyFont="1" applyFill="1"/>
    <xf numFmtId="0" fontId="36" fillId="0" borderId="0" xfId="0" applyFont="1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6" fillId="7" borderId="0" xfId="0" applyFont="1" applyFill="1"/>
    <xf numFmtId="0" fontId="38" fillId="7" borderId="0" xfId="0" applyFont="1" applyFill="1"/>
    <xf numFmtId="0" fontId="39" fillId="7" borderId="0" xfId="0" applyFont="1" applyFill="1"/>
    <xf numFmtId="0" fontId="7" fillId="3" borderId="0" xfId="0" applyFont="1" applyFill="1"/>
    <xf numFmtId="0" fontId="0" fillId="3" borderId="0" xfId="0" applyFill="1" applyAlignment="1">
      <alignment horizontal="right"/>
    </xf>
    <xf numFmtId="0" fontId="41" fillId="7" borderId="1" xfId="1" applyFont="1" applyFill="1"/>
    <xf numFmtId="0" fontId="4" fillId="0" borderId="0" xfId="0" applyFont="1" applyFill="1"/>
    <xf numFmtId="0" fontId="0" fillId="7" borderId="0" xfId="0" applyFont="1" applyFill="1" applyAlignment="1">
      <alignment horizontal="center"/>
    </xf>
    <xf numFmtId="0" fontId="43" fillId="0" borderId="0" xfId="0" applyFont="1"/>
    <xf numFmtId="0" fontId="44" fillId="0" borderId="0" xfId="0" applyFont="1"/>
    <xf numFmtId="0" fontId="44" fillId="7" borderId="0" xfId="0" applyFont="1" applyFill="1"/>
    <xf numFmtId="0" fontId="43" fillId="7" borderId="0" xfId="0" applyFont="1" applyFill="1"/>
    <xf numFmtId="0" fontId="7" fillId="0" borderId="0" xfId="0" applyFont="1" applyAlignment="1">
      <alignment horizontal="left" indent="6"/>
    </xf>
    <xf numFmtId="0" fontId="10" fillId="7" borderId="0" xfId="0" applyFont="1" applyFill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4" fillId="0" borderId="0" xfId="0" applyFont="1" applyFill="1" applyBorder="1"/>
    <xf numFmtId="0" fontId="45" fillId="0" borderId="0" xfId="0" applyFont="1"/>
    <xf numFmtId="0" fontId="46" fillId="0" borderId="0" xfId="0" applyFont="1"/>
    <xf numFmtId="0" fontId="0" fillId="0" borderId="0" xfId="0" applyFill="1" applyAlignment="1">
      <alignment horizontal="left"/>
    </xf>
    <xf numFmtId="0" fontId="48" fillId="7" borderId="0" xfId="0" applyFont="1" applyFill="1"/>
    <xf numFmtId="43" fontId="0" fillId="0" borderId="0" xfId="2" applyFont="1"/>
    <xf numFmtId="43" fontId="47" fillId="7" borderId="0" xfId="2" applyFont="1" applyFill="1"/>
    <xf numFmtId="43" fontId="47" fillId="7" borderId="0" xfId="0" applyNumberFormat="1" applyFont="1" applyFill="1"/>
    <xf numFmtId="43" fontId="0" fillId="0" borderId="0" xfId="0" applyNumberFormat="1" applyFill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7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Output" xfId="1" builtinId="2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66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Thrust and Propeller Efficiency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76586183184667"/>
          <c:y val="0.12265055409740447"/>
          <c:w val="0.76082271534240042"/>
          <c:h val="0.70892742226122973"/>
        </c:manualLayout>
      </c:layout>
      <c:scatterChart>
        <c:scatterStyle val="smoothMarker"/>
        <c:varyColors val="0"/>
        <c:ser>
          <c:idx val="0"/>
          <c:order val="0"/>
          <c:tx>
            <c:v>Thrust</c:v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'take-off'!$M$50:$M$86</c:f>
              <c:numCache>
                <c:formatCode>General</c:formatCode>
                <c:ptCount val="37"/>
                <c:pt idx="0">
                  <c:v>0</c:v>
                </c:pt>
                <c:pt idx="1">
                  <c:v>2.6570869605591292</c:v>
                </c:pt>
                <c:pt idx="2">
                  <c:v>5.2992580255404702</c:v>
                </c:pt>
                <c:pt idx="3">
                  <c:v>7.9235595029915196</c:v>
                </c:pt>
                <c:pt idx="4">
                  <c:v>10.527151380382225</c:v>
                </c:pt>
                <c:pt idx="5">
                  <c:v>13.107317636111093</c:v>
                </c:pt>
                <c:pt idx="6">
                  <c:v>15.661475204018055</c:v>
                </c:pt>
                <c:pt idx="7">
                  <c:v>18.187181565922881</c:v>
                </c:pt>
                <c:pt idx="8">
                  <c:v>20.682140968182658</c:v>
                </c:pt>
                <c:pt idx="9">
                  <c:v>23.144209277768564</c:v>
                </c:pt>
                <c:pt idx="10">
                  <c:v>25.571397511078931</c:v>
                </c:pt>
                <c:pt idx="11">
                  <c:v>27.961874084391859</c:v>
                </c:pt>
                <c:pt idx="12">
                  <c:v>30.313965848355529</c:v>
                </c:pt>
                <c:pt idx="13">
                  <c:v>32.626157980133961</c:v>
                </c:pt>
                <c:pt idx="14">
                  <c:v>34.897092815756466</c:v>
                </c:pt>
                <c:pt idx="15">
                  <c:v>37.125567711908744</c:v>
                </c:pt>
                <c:pt idx="16">
                  <c:v>39.310532030953667</c:v>
                </c:pt>
                <c:pt idx="17">
                  <c:v>41.451083345524189</c:v>
                </c:pt>
                <c:pt idx="18">
                  <c:v>43.546462959766167</c:v>
                </c:pt>
                <c:pt idx="19">
                  <c:v>45.596050843424123</c:v>
                </c:pt>
                <c:pt idx="20">
                  <c:v>47.599360072671423</c:v>
                </c:pt>
                <c:pt idx="21">
                  <c:v>49.556030868105658</c:v>
                </c:pt>
                <c:pt idx="22">
                  <c:v>51.465824315877313</c:v>
                </c:pt>
                <c:pt idx="23">
                  <c:v>53.328615852703273</c:v>
                </c:pt>
                <c:pt idx="24">
                  <c:v>55.144388589733623</c:v>
                </c:pt>
                <c:pt idx="25">
                  <c:v>56.91322654407081</c:v>
                </c:pt>
                <c:pt idx="26">
                  <c:v>58.635307840347558</c:v>
                </c:pt>
                <c:pt idx="27">
                  <c:v>60.310897938297515</c:v>
                </c:pt>
                <c:pt idx="28">
                  <c:v>61.940342935822713</c:v>
                </c:pt>
                <c:pt idx="29">
                  <c:v>63.524062990779321</c:v>
                </c:pt>
                <c:pt idx="30">
                  <c:v>65.062545898650527</c:v>
                </c:pt>
                <c:pt idx="31">
                  <c:v>66.556340857520695</c:v>
                </c:pt>
                <c:pt idx="32">
                  <c:v>68.00605244635662</c:v>
                </c:pt>
                <c:pt idx="33">
                  <c:v>69.412334837575543</c:v>
                </c:pt>
                <c:pt idx="34">
                  <c:v>70.775886260258432</c:v>
                </c:pt>
                <c:pt idx="35">
                  <c:v>72.097443726159341</c:v>
                </c:pt>
                <c:pt idx="36">
                  <c:v>73.377778026872136</c:v>
                </c:pt>
              </c:numCache>
            </c:numRef>
          </c:xVal>
          <c:yVal>
            <c:numRef>
              <c:f>'take-off'!$T$50:$T$86</c:f>
              <c:numCache>
                <c:formatCode>General</c:formatCode>
                <c:ptCount val="37"/>
                <c:pt idx="0">
                  <c:v>1864.8770491863261</c:v>
                </c:pt>
                <c:pt idx="1">
                  <c:v>1864.8770491863261</c:v>
                </c:pt>
                <c:pt idx="2">
                  <c:v>1856.2778002458379</c:v>
                </c:pt>
                <c:pt idx="3">
                  <c:v>1846.9649318324816</c:v>
                </c:pt>
                <c:pt idx="4">
                  <c:v>1836.9859142621133</c:v>
                </c:pt>
                <c:pt idx="5">
                  <c:v>1826.3899884234947</c:v>
                </c:pt>
                <c:pt idx="6">
                  <c:v>1815.2276812056473</c:v>
                </c:pt>
                <c:pt idx="7">
                  <c:v>1803.5503338063988</c:v>
                </c:pt>
                <c:pt idx="8">
                  <c:v>1791.4096492945009</c:v>
                </c:pt>
                <c:pt idx="9">
                  <c:v>1778.8572649279467</c:v>
                </c:pt>
                <c:pt idx="10">
                  <c:v>1765.9443538029125</c:v>
                </c:pt>
                <c:pt idx="11">
                  <c:v>1752.721259454278</c:v>
                </c:pt>
                <c:pt idx="12">
                  <c:v>1739.2371660804986</c:v>
                </c:pt>
                <c:pt idx="13">
                  <c:v>1725.5398061495223</c:v>
                </c:pt>
                <c:pt idx="14">
                  <c:v>1711.6752062810658</c:v>
                </c:pt>
                <c:pt idx="15">
                  <c:v>1697.6874715117956</c:v>
                </c:pt>
                <c:pt idx="16">
                  <c:v>1683.6186073470124</c:v>
                </c:pt>
                <c:pt idx="17">
                  <c:v>1669.5083783939408</c:v>
                </c:pt>
                <c:pt idx="18">
                  <c:v>1655.3942018620762</c:v>
                </c:pt>
                <c:pt idx="19">
                  <c:v>1641.3110738058049</c:v>
                </c:pt>
                <c:pt idx="20">
                  <c:v>1627.2915256710937</c:v>
                </c:pt>
                <c:pt idx="21">
                  <c:v>1613.3656084861666</c:v>
                </c:pt>
                <c:pt idx="22">
                  <c:v>1599.5609018984871</c:v>
                </c:pt>
                <c:pt idx="23">
                  <c:v>1585.9025451983603</c:v>
                </c:pt>
                <c:pt idx="24">
                  <c:v>1572.4132874734737</c:v>
                </c:pt>
                <c:pt idx="25">
                  <c:v>1559.1135540987648</c:v>
                </c:pt>
                <c:pt idx="26">
                  <c:v>1546.0215268721636</c:v>
                </c:pt>
                <c:pt idx="27">
                  <c:v>1533.1532352493987</c:v>
                </c:pt>
                <c:pt idx="28">
                  <c:v>1520.522656301169</c:v>
                </c:pt>
                <c:pt idx="29">
                  <c:v>1508.141821205335</c:v>
                </c:pt>
                <c:pt idx="30">
                  <c:v>1496.0209262880239</c:v>
                </c:pt>
                <c:pt idx="31">
                  <c:v>1484.1684468343469</c:v>
                </c:pt>
                <c:pt idx="32">
                  <c:v>1472.5912520963352</c:v>
                </c:pt>
                <c:pt idx="33">
                  <c:v>1461.2947201283657</c:v>
                </c:pt>
                <c:pt idx="34">
                  <c:v>1450.2828512751548</c:v>
                </c:pt>
                <c:pt idx="35">
                  <c:v>1439.5583793217052</c:v>
                </c:pt>
                <c:pt idx="36">
                  <c:v>1429.1228794864396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CB-4CC4-A7AF-BA2FCD731328}"/>
            </c:ext>
          </c:extLst>
        </c:ser>
        <c:ser>
          <c:idx val="1"/>
          <c:order val="1"/>
          <c:tx>
            <c:v>VTR</c:v>
          </c:tx>
          <c:spPr>
            <a:ln w="127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'take-off'!$A$26:$A$29</c:f>
              <c:numCache>
                <c:formatCode>General</c:formatCode>
                <c:ptCount val="4"/>
                <c:pt idx="0">
                  <c:v>67.115778419410034</c:v>
                </c:pt>
                <c:pt idx="1">
                  <c:v>67.115778419410034</c:v>
                </c:pt>
                <c:pt idx="2">
                  <c:v>67.115778419410034</c:v>
                </c:pt>
                <c:pt idx="3">
                  <c:v>67.115778419410034</c:v>
                </c:pt>
              </c:numCache>
            </c:numRef>
          </c:xVal>
          <c:yVal>
            <c:numRef>
              <c:f>'take-off'!$B$26:$B$29</c:f>
              <c:numCache>
                <c:formatCode>General</c:formatCode>
                <c:ptCount val="4"/>
                <c:pt idx="0">
                  <c:v>10</c:v>
                </c:pt>
                <c:pt idx="1">
                  <c:v>400</c:v>
                </c:pt>
                <c:pt idx="2">
                  <c:v>1000</c:v>
                </c:pt>
                <c:pt idx="3">
                  <c:v>2300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CB-4CC4-A7AF-BA2FCD73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53808"/>
        <c:axId val="548551632"/>
      </c:scatterChart>
      <c:scatterChart>
        <c:scatterStyle val="smoothMarker"/>
        <c:varyColors val="0"/>
        <c:ser>
          <c:idx val="2"/>
          <c:order val="2"/>
          <c:tx>
            <c:v>Propeller Efficiency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'take-off'!$M$51:$M$86</c:f>
              <c:numCache>
                <c:formatCode>General</c:formatCode>
                <c:ptCount val="36"/>
                <c:pt idx="0">
                  <c:v>2.6570869605591292</c:v>
                </c:pt>
                <c:pt idx="1">
                  <c:v>5.2992580255404702</c:v>
                </c:pt>
                <c:pt idx="2">
                  <c:v>7.9235595029915196</c:v>
                </c:pt>
                <c:pt idx="3">
                  <c:v>10.527151380382225</c:v>
                </c:pt>
                <c:pt idx="4">
                  <c:v>13.107317636111093</c:v>
                </c:pt>
                <c:pt idx="5">
                  <c:v>15.661475204018055</c:v>
                </c:pt>
                <c:pt idx="6">
                  <c:v>18.187181565922881</c:v>
                </c:pt>
                <c:pt idx="7">
                  <c:v>20.682140968182658</c:v>
                </c:pt>
                <c:pt idx="8">
                  <c:v>23.144209277768564</c:v>
                </c:pt>
                <c:pt idx="9">
                  <c:v>25.571397511078931</c:v>
                </c:pt>
                <c:pt idx="10">
                  <c:v>27.961874084391859</c:v>
                </c:pt>
                <c:pt idx="11">
                  <c:v>30.313965848355529</c:v>
                </c:pt>
                <c:pt idx="12">
                  <c:v>32.626157980133961</c:v>
                </c:pt>
                <c:pt idx="13">
                  <c:v>34.897092815756466</c:v>
                </c:pt>
                <c:pt idx="14">
                  <c:v>37.125567711908744</c:v>
                </c:pt>
                <c:pt idx="15">
                  <c:v>39.310532030953667</c:v>
                </c:pt>
                <c:pt idx="16">
                  <c:v>41.451083345524189</c:v>
                </c:pt>
                <c:pt idx="17">
                  <c:v>43.546462959766167</c:v>
                </c:pt>
                <c:pt idx="18">
                  <c:v>45.596050843424123</c:v>
                </c:pt>
                <c:pt idx="19">
                  <c:v>47.599360072671423</c:v>
                </c:pt>
                <c:pt idx="20">
                  <c:v>49.556030868105658</c:v>
                </c:pt>
                <c:pt idx="21">
                  <c:v>51.465824315877313</c:v>
                </c:pt>
                <c:pt idx="22">
                  <c:v>53.328615852703273</c:v>
                </c:pt>
                <c:pt idx="23">
                  <c:v>55.144388589733623</c:v>
                </c:pt>
                <c:pt idx="24">
                  <c:v>56.91322654407081</c:v>
                </c:pt>
                <c:pt idx="25">
                  <c:v>58.635307840347558</c:v>
                </c:pt>
                <c:pt idx="26">
                  <c:v>60.310897938297515</c:v>
                </c:pt>
                <c:pt idx="27">
                  <c:v>61.940342935822713</c:v>
                </c:pt>
                <c:pt idx="28">
                  <c:v>63.524062990779321</c:v>
                </c:pt>
                <c:pt idx="29">
                  <c:v>65.062545898650527</c:v>
                </c:pt>
                <c:pt idx="30">
                  <c:v>66.556340857520695</c:v>
                </c:pt>
                <c:pt idx="31">
                  <c:v>68.00605244635662</c:v>
                </c:pt>
                <c:pt idx="32">
                  <c:v>69.412334837575543</c:v>
                </c:pt>
                <c:pt idx="33">
                  <c:v>70.775886260258432</c:v>
                </c:pt>
                <c:pt idx="34">
                  <c:v>72.097443726159341</c:v>
                </c:pt>
                <c:pt idx="35">
                  <c:v>73.377778026872136</c:v>
                </c:pt>
              </c:numCache>
            </c:numRef>
          </c:xVal>
          <c:yVal>
            <c:numRef>
              <c:f>'take-off'!$S$51:$S$86</c:f>
              <c:numCache>
                <c:formatCode>General</c:formatCode>
                <c:ptCount val="36"/>
                <c:pt idx="0">
                  <c:v>2.9245724293220227E-2</c:v>
                </c:pt>
                <c:pt idx="1">
                  <c:v>5.8058317523175168E-2</c:v>
                </c:pt>
                <c:pt idx="2">
                  <c:v>8.6374467395052182E-2</c:v>
                </c:pt>
                <c:pt idx="3">
                  <c:v>0.1141361196488716</c:v>
                </c:pt>
                <c:pt idx="4">
                  <c:v>0.14129075669646102</c:v>
                </c:pt>
                <c:pt idx="5">
                  <c:v>0.16779158714062184</c:v>
                </c:pt>
                <c:pt idx="6">
                  <c:v>0.19359764889706166</c:v>
                </c:pt>
                <c:pt idx="7">
                  <c:v>0.21867383036580396</c:v>
                </c:pt>
                <c:pt idx="8">
                  <c:v>0.24299081555011931</c:v>
                </c:pt>
                <c:pt idx="9">
                  <c:v>0.26652496017613631</c:v>
                </c:pt>
                <c:pt idx="10">
                  <c:v>0.28925810671777108</c:v>
                </c:pt>
                <c:pt idx="11">
                  <c:v>0.31117734678470715</c:v>
                </c:pt>
                <c:pt idx="12">
                  <c:v>0.33227473960194942</c:v>
                </c:pt>
                <c:pt idx="13">
                  <c:v>0.35254699532274414</c:v>
                </c:pt>
                <c:pt idx="14">
                  <c:v>0.37199513170360937</c:v>
                </c:pt>
                <c:pt idx="15">
                  <c:v>0.39062411226621352</c:v>
                </c:pt>
                <c:pt idx="16">
                  <c:v>0.40844247351326085</c:v>
                </c:pt>
                <c:pt idx="17">
                  <c:v>0.42546194809194121</c:v>
                </c:pt>
                <c:pt idx="18">
                  <c:v>0.44169709004495872</c:v>
                </c:pt>
                <c:pt idx="19">
                  <c:v>0.45716490748908872</c:v>
                </c:pt>
                <c:pt idx="20">
                  <c:v>0.47188450724443615</c:v>
                </c:pt>
                <c:pt idx="21">
                  <c:v>0.48587675512970496</c:v>
                </c:pt>
                <c:pt idx="22">
                  <c:v>0.49916395486101628</c:v>
                </c:pt>
                <c:pt idx="23">
                  <c:v>0.51176954776080075</c:v>
                </c:pt>
                <c:pt idx="24">
                  <c:v>0.52371783481137835</c:v>
                </c:pt>
                <c:pt idx="25">
                  <c:v>0.53503372198338972</c:v>
                </c:pt>
                <c:pt idx="26">
                  <c:v>0.54574248923701507</c:v>
                </c:pt>
                <c:pt idx="27">
                  <c:v>0.55586958313564494</c:v>
                </c:pt>
                <c:pt idx="28">
                  <c:v>0.56544043262649812</c:v>
                </c:pt>
                <c:pt idx="29">
                  <c:v>0.57448028722776956</c:v>
                </c:pt>
                <c:pt idx="30">
                  <c:v>0.58301407661284199</c:v>
                </c:pt>
                <c:pt idx="31">
                  <c:v>0.59106629039342851</c:v>
                </c:pt>
                <c:pt idx="32">
                  <c:v>0.5986608767691054</c:v>
                </c:pt>
                <c:pt idx="33">
                  <c:v>0.60582115862400887</c:v>
                </c:pt>
                <c:pt idx="34">
                  <c:v>0.61256976560598331</c:v>
                </c:pt>
                <c:pt idx="35">
                  <c:v>0.6189285807127537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CB-4CC4-A7AF-BA2FCD73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55440"/>
        <c:axId val="548563056"/>
      </c:scatterChart>
      <c:valAx>
        <c:axId val="54855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Airspeed, KTAS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1632"/>
        <c:crosses val="autoZero"/>
        <c:crossBetween val="midCat"/>
      </c:valAx>
      <c:valAx>
        <c:axId val="5485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Thrust, lbf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3808"/>
        <c:crosses val="autoZero"/>
        <c:crossBetween val="midCat"/>
      </c:valAx>
      <c:valAx>
        <c:axId val="5485630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Propeller Efficiency</a:t>
                </a:r>
              </a:p>
            </c:rich>
          </c:tx>
          <c:layout>
            <c:manualLayout>
              <c:xMode val="edge"/>
              <c:yMode val="edge"/>
              <c:x val="0.9434158911954188"/>
              <c:y val="0.29202464593959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5440"/>
        <c:crosses val="max"/>
        <c:crossBetween val="midCat"/>
      </c:valAx>
      <c:valAx>
        <c:axId val="548555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856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286596465969153"/>
          <c:y val="0.13009695113838474"/>
          <c:w val="0.20914202180753597"/>
          <c:h val="0.18724117324312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Airspeed  and Acceleration Model</a:t>
            </a:r>
          </a:p>
        </c:rich>
      </c:tx>
      <c:layout>
        <c:manualLayout>
          <c:xMode val="edge"/>
          <c:yMode val="edge"/>
          <c:x val="0.27309446254071668"/>
          <c:y val="3.5767505581045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4759405074365"/>
          <c:y val="0.1435031953334196"/>
          <c:w val="0.75930796150481195"/>
          <c:h val="0.65187539195094513"/>
        </c:manualLayout>
      </c:layout>
      <c:scatterChart>
        <c:scatterStyle val="smoothMarker"/>
        <c:varyColors val="0"/>
        <c:ser>
          <c:idx val="2"/>
          <c:order val="0"/>
          <c:tx>
            <c:v>Airspeed</c:v>
          </c:tx>
          <c:spPr>
            <a:ln w="19050" cap="rnd">
              <a:solidFill>
                <a:schemeClr val="accent3"/>
              </a:solidFill>
              <a:round/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'take-off'!$R$50:$R$86</c:f>
              <c:numCache>
                <c:formatCode>General</c:formatCode>
                <c:ptCount val="37"/>
                <c:pt idx="0">
                  <c:v>0</c:v>
                </c:pt>
                <c:pt idx="1">
                  <c:v>1.1212906973559524</c:v>
                </c:pt>
                <c:pt idx="2">
                  <c:v>4.4788682814899836</c:v>
                </c:pt>
                <c:pt idx="3">
                  <c:v>10.058897278530484</c:v>
                </c:pt>
                <c:pt idx="4">
                  <c:v>17.845097271314202</c:v>
                </c:pt>
                <c:pt idx="5">
                  <c:v>27.818843196274379</c:v>
                </c:pt>
                <c:pt idx="6">
                  <c:v>39.959273774808878</c:v>
                </c:pt>
                <c:pt idx="7">
                  <c:v>54.243406931723953</c:v>
                </c:pt>
                <c:pt idx="8">
                  <c:v>70.646261041116489</c:v>
                </c:pt>
                <c:pt idx="9">
                  <c:v>89.140980844907901</c:v>
                </c:pt>
                <c:pt idx="10">
                  <c:v>109.69896690980154</c:v>
                </c:pt>
                <c:pt idx="11">
                  <c:v>132.29000752309022</c:v>
                </c:pt>
                <c:pt idx="12">
                  <c:v>156.88241197470961</c:v>
                </c:pt>
                <c:pt idx="13">
                  <c:v>183.44314423033217</c:v>
                </c:pt>
                <c:pt idx="14">
                  <c:v>211.93795606619793</c:v>
                </c:pt>
                <c:pt idx="15">
                  <c:v>242.33151880887266</c:v>
                </c:pt>
                <c:pt idx="16">
                  <c:v>274.58755290036061</c:v>
                </c:pt>
                <c:pt idx="17">
                  <c:v>308.66895458923426</c:v>
                </c:pt>
                <c:pt idx="18">
                  <c:v>344.53791913006677</c:v>
                </c:pt>
                <c:pt idx="19">
                  <c:v>382.15605995501306</c:v>
                </c:pt>
                <c:pt idx="20">
                  <c:v>421.4845233616054</c:v>
                </c:pt>
                <c:pt idx="21">
                  <c:v>462.48409833861331</c:v>
                </c:pt>
                <c:pt idx="22">
                  <c:v>505.11532122625414</c:v>
                </c:pt>
                <c:pt idx="23">
                  <c:v>549.33857497739518</c:v>
                </c:pt>
                <c:pt idx="24">
                  <c:v>595.11418285210357</c:v>
                </c:pt>
                <c:pt idx="25">
                  <c:v>642.40249643856907</c:v>
                </c:pt>
                <c:pt idx="26">
                  <c:v>691.16397794879367</c:v>
                </c:pt>
                <c:pt idx="27">
                  <c:v>741.35927678738187</c:v>
                </c:pt>
                <c:pt idx="28">
                  <c:v>792.94930043626061</c:v>
                </c:pt>
                <c:pt idx="29">
                  <c:v>845.89527973728673</c:v>
                </c:pt>
                <c:pt idx="30">
                  <c:v>900.15882868862616</c:v>
                </c:pt>
                <c:pt idx="31">
                  <c:v>955.70199889973037</c:v>
                </c:pt>
                <c:pt idx="32">
                  <c:v>1012.4873288739666</c:v>
                </c:pt>
                <c:pt idx="33">
                  <c:v>1070.4778883077859</c:v>
                </c:pt>
                <c:pt idx="34">
                  <c:v>1129.6373176110717</c:v>
                </c:pt>
                <c:pt idx="35">
                  <c:v>1189.9298628653401</c:v>
                </c:pt>
                <c:pt idx="36">
                  <c:v>1251.3204064451193</c:v>
                </c:pt>
              </c:numCache>
            </c:numRef>
          </c:xVal>
          <c:yVal>
            <c:numRef>
              <c:f>'take-off'!$M$50:$M$86</c:f>
              <c:numCache>
                <c:formatCode>General</c:formatCode>
                <c:ptCount val="37"/>
                <c:pt idx="0">
                  <c:v>0</c:v>
                </c:pt>
                <c:pt idx="1">
                  <c:v>2.6570869605591292</c:v>
                </c:pt>
                <c:pt idx="2">
                  <c:v>5.2992580255404702</c:v>
                </c:pt>
                <c:pt idx="3">
                  <c:v>7.9235595029915196</c:v>
                </c:pt>
                <c:pt idx="4">
                  <c:v>10.527151380382225</c:v>
                </c:pt>
                <c:pt idx="5">
                  <c:v>13.107317636111093</c:v>
                </c:pt>
                <c:pt idx="6">
                  <c:v>15.661475204018055</c:v>
                </c:pt>
                <c:pt idx="7">
                  <c:v>18.187181565922881</c:v>
                </c:pt>
                <c:pt idx="8">
                  <c:v>20.682140968182658</c:v>
                </c:pt>
                <c:pt idx="9">
                  <c:v>23.144209277768564</c:v>
                </c:pt>
                <c:pt idx="10">
                  <c:v>25.571397511078931</c:v>
                </c:pt>
                <c:pt idx="11">
                  <c:v>27.961874084391859</c:v>
                </c:pt>
                <c:pt idx="12">
                  <c:v>30.313965848355529</c:v>
                </c:pt>
                <c:pt idx="13">
                  <c:v>32.626157980133961</c:v>
                </c:pt>
                <c:pt idx="14">
                  <c:v>34.897092815756466</c:v>
                </c:pt>
                <c:pt idx="15">
                  <c:v>37.125567711908744</c:v>
                </c:pt>
                <c:pt idx="16">
                  <c:v>39.310532030953667</c:v>
                </c:pt>
                <c:pt idx="17">
                  <c:v>41.451083345524189</c:v>
                </c:pt>
                <c:pt idx="18">
                  <c:v>43.546462959766167</c:v>
                </c:pt>
                <c:pt idx="19">
                  <c:v>45.596050843424123</c:v>
                </c:pt>
                <c:pt idx="20">
                  <c:v>47.599360072671423</c:v>
                </c:pt>
                <c:pt idx="21">
                  <c:v>49.556030868105658</c:v>
                </c:pt>
                <c:pt idx="22">
                  <c:v>51.465824315877313</c:v>
                </c:pt>
                <c:pt idx="23">
                  <c:v>53.328615852703273</c:v>
                </c:pt>
                <c:pt idx="24">
                  <c:v>55.144388589733623</c:v>
                </c:pt>
                <c:pt idx="25">
                  <c:v>56.91322654407081</c:v>
                </c:pt>
                <c:pt idx="26">
                  <c:v>58.635307840347558</c:v>
                </c:pt>
                <c:pt idx="27">
                  <c:v>60.310897938297515</c:v>
                </c:pt>
                <c:pt idx="28">
                  <c:v>61.940342935822713</c:v>
                </c:pt>
                <c:pt idx="29">
                  <c:v>63.524062990779321</c:v>
                </c:pt>
                <c:pt idx="30">
                  <c:v>65.062545898650527</c:v>
                </c:pt>
                <c:pt idx="31">
                  <c:v>66.556340857520695</c:v>
                </c:pt>
                <c:pt idx="32">
                  <c:v>68.00605244635662</c:v>
                </c:pt>
                <c:pt idx="33">
                  <c:v>69.412334837575543</c:v>
                </c:pt>
                <c:pt idx="34">
                  <c:v>70.775886260258432</c:v>
                </c:pt>
                <c:pt idx="35">
                  <c:v>72.097443726159341</c:v>
                </c:pt>
                <c:pt idx="36">
                  <c:v>73.377778026872136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2A-400B-AF6C-BF0A86A76D0D}"/>
            </c:ext>
          </c:extLst>
        </c:ser>
        <c:ser>
          <c:idx val="1"/>
          <c:order val="1"/>
          <c:tx>
            <c:v>Vlof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'take-off'!$M$31:$M$33</c:f>
              <c:numCache>
                <c:formatCode>General</c:formatCode>
                <c:ptCount val="3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</c:numCache>
            </c:numRef>
          </c:xVal>
          <c:yVal>
            <c:numRef>
              <c:f>'take-off'!$N$31:$N$33</c:f>
              <c:numCache>
                <c:formatCode>General</c:formatCode>
                <c:ptCount val="3"/>
                <c:pt idx="0">
                  <c:v>67.115778419410034</c:v>
                </c:pt>
                <c:pt idx="1">
                  <c:v>67.115778419410034</c:v>
                </c:pt>
                <c:pt idx="2">
                  <c:v>67.115778419410034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2A-400B-AF6C-BF0A86A76D0D}"/>
            </c:ext>
          </c:extLst>
        </c:ser>
        <c:ser>
          <c:idx val="4"/>
          <c:order val="2"/>
          <c:tx>
            <c:strRef>
              <c:f>'take-off'!$N$35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'take-off'!$M$36:$M$38</c:f>
              <c:numCache>
                <c:formatCode>General</c:formatCode>
                <c:ptCount val="3"/>
                <c:pt idx="0">
                  <c:v>955.70199889973037</c:v>
                </c:pt>
                <c:pt idx="1">
                  <c:v>955.70199889973037</c:v>
                </c:pt>
                <c:pt idx="2">
                  <c:v>955.70199889973037</c:v>
                </c:pt>
              </c:numCache>
            </c:numRef>
          </c:xVal>
          <c:yVal>
            <c:numRef>
              <c:f>'take-off'!$N$36:$N$38</c:f>
              <c:numCache>
                <c:formatCode>General</c:formatCode>
                <c:ptCount val="3"/>
                <c:pt idx="0">
                  <c:v>1</c:v>
                </c:pt>
                <c:pt idx="1">
                  <c:v>50</c:v>
                </c:pt>
                <c:pt idx="2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2A-400B-AF6C-BF0A86A7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59248"/>
        <c:axId val="548552176"/>
      </c:scatterChart>
      <c:scatterChart>
        <c:scatterStyle val="smoothMarker"/>
        <c:varyColors val="0"/>
        <c:ser>
          <c:idx val="0"/>
          <c:order val="3"/>
          <c:tx>
            <c:v>aceeleration</c:v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marker>
            <c:symbol val="none"/>
          </c:marker>
          <c:xVal>
            <c:numRef>
              <c:f>'take-off'!$R$50:$R$86</c:f>
              <c:numCache>
                <c:formatCode>General</c:formatCode>
                <c:ptCount val="37"/>
                <c:pt idx="0">
                  <c:v>0</c:v>
                </c:pt>
                <c:pt idx="1">
                  <c:v>1.1212906973559524</c:v>
                </c:pt>
                <c:pt idx="2">
                  <c:v>4.4788682814899836</c:v>
                </c:pt>
                <c:pt idx="3">
                  <c:v>10.058897278530484</c:v>
                </c:pt>
                <c:pt idx="4">
                  <c:v>17.845097271314202</c:v>
                </c:pt>
                <c:pt idx="5">
                  <c:v>27.818843196274379</c:v>
                </c:pt>
                <c:pt idx="6">
                  <c:v>39.959273774808878</c:v>
                </c:pt>
                <c:pt idx="7">
                  <c:v>54.243406931723953</c:v>
                </c:pt>
                <c:pt idx="8">
                  <c:v>70.646261041116489</c:v>
                </c:pt>
                <c:pt idx="9">
                  <c:v>89.140980844907901</c:v>
                </c:pt>
                <c:pt idx="10">
                  <c:v>109.69896690980154</c:v>
                </c:pt>
                <c:pt idx="11">
                  <c:v>132.29000752309022</c:v>
                </c:pt>
                <c:pt idx="12">
                  <c:v>156.88241197470961</c:v>
                </c:pt>
                <c:pt idx="13">
                  <c:v>183.44314423033217</c:v>
                </c:pt>
                <c:pt idx="14">
                  <c:v>211.93795606619793</c:v>
                </c:pt>
                <c:pt idx="15">
                  <c:v>242.33151880887266</c:v>
                </c:pt>
                <c:pt idx="16">
                  <c:v>274.58755290036061</c:v>
                </c:pt>
                <c:pt idx="17">
                  <c:v>308.66895458923426</c:v>
                </c:pt>
                <c:pt idx="18">
                  <c:v>344.53791913006677</c:v>
                </c:pt>
                <c:pt idx="19">
                  <c:v>382.15605995501306</c:v>
                </c:pt>
                <c:pt idx="20">
                  <c:v>421.4845233616054</c:v>
                </c:pt>
                <c:pt idx="21">
                  <c:v>462.48409833861331</c:v>
                </c:pt>
                <c:pt idx="22">
                  <c:v>505.11532122625414</c:v>
                </c:pt>
                <c:pt idx="23">
                  <c:v>549.33857497739518</c:v>
                </c:pt>
                <c:pt idx="24">
                  <c:v>595.11418285210357</c:v>
                </c:pt>
                <c:pt idx="25">
                  <c:v>642.40249643856907</c:v>
                </c:pt>
                <c:pt idx="26">
                  <c:v>691.16397794879367</c:v>
                </c:pt>
                <c:pt idx="27">
                  <c:v>741.35927678738187</c:v>
                </c:pt>
                <c:pt idx="28">
                  <c:v>792.94930043626061</c:v>
                </c:pt>
                <c:pt idx="29">
                  <c:v>845.89527973728673</c:v>
                </c:pt>
                <c:pt idx="30">
                  <c:v>900.15882868862616</c:v>
                </c:pt>
                <c:pt idx="31">
                  <c:v>955.70199889973037</c:v>
                </c:pt>
                <c:pt idx="32">
                  <c:v>1012.4873288739666</c:v>
                </c:pt>
                <c:pt idx="33">
                  <c:v>1070.4778883077859</c:v>
                </c:pt>
                <c:pt idx="34">
                  <c:v>1129.6373176110717</c:v>
                </c:pt>
                <c:pt idx="35">
                  <c:v>1189.9298628653401</c:v>
                </c:pt>
                <c:pt idx="36">
                  <c:v>1251.3204064451193</c:v>
                </c:pt>
              </c:numCache>
            </c:numRef>
          </c:xVal>
          <c:yVal>
            <c:numRef>
              <c:f>'take-off'!$Y$50:$Y$86</c:f>
              <c:numCache>
                <c:formatCode>General</c:formatCode>
                <c:ptCount val="37"/>
                <c:pt idx="0">
                  <c:v>8.9703255788476195</c:v>
                </c:pt>
                <c:pt idx="1">
                  <c:v>8.9703255788476195</c:v>
                </c:pt>
                <c:pt idx="2">
                  <c:v>8.9199695153770087</c:v>
                </c:pt>
                <c:pt idx="3">
                  <c:v>8.8596417878747413</c:v>
                </c:pt>
                <c:pt idx="4">
                  <c:v>8.7897261780710192</c:v>
                </c:pt>
                <c:pt idx="5">
                  <c:v>8.7106412793406527</c:v>
                </c:pt>
                <c:pt idx="6">
                  <c:v>8.6228359492539024</c:v>
                </c:pt>
                <c:pt idx="7">
                  <c:v>8.5267846777906886</c:v>
                </c:pt>
                <c:pt idx="8">
                  <c:v>8.4229829420290159</c:v>
                </c:pt>
                <c:pt idx="9">
                  <c:v>8.3119426131620227</c:v>
                </c:pt>
                <c:pt idx="10">
                  <c:v>8.1941874756558004</c:v>
                </c:pt>
                <c:pt idx="11">
                  <c:v>8.0702489115044518</c:v>
                </c:pt>
                <c:pt idx="12">
                  <c:v>7.9406617951413532</c:v>
                </c:pt>
                <c:pt idx="13">
                  <c:v>7.8059606368839818</c:v>
                </c:pt>
                <c:pt idx="14">
                  <c:v>7.6666760050615723</c:v>
                </c:pt>
                <c:pt idx="15">
                  <c:v>7.5233312494100968</c:v>
                </c:pt>
                <c:pt idx="16">
                  <c:v>7.3764395410956585</c:v>
                </c:pt>
                <c:pt idx="17">
                  <c:v>7.2265012379900861</c:v>
                </c:pt>
                <c:pt idx="18">
                  <c:v>7.0740015776809129</c:v>
                </c:pt>
                <c:pt idx="19">
                  <c:v>6.9194086952292704</c:v>
                </c:pt>
                <c:pt idx="20">
                  <c:v>6.7631719579388934</c:v>
                </c:pt>
                <c:pt idx="21">
                  <c:v>6.6057206053859918</c:v>
                </c:pt>
                <c:pt idx="22">
                  <c:v>6.447462679677102</c:v>
                </c:pt>
                <c:pt idx="23">
                  <c:v>6.2887842283244284</c:v>
                </c:pt>
                <c:pt idx="24">
                  <c:v>6.1300487602144731</c:v>
                </c:pt>
                <c:pt idx="25">
                  <c:v>5.9715969338423323</c:v>
                </c:pt>
                <c:pt idx="26">
                  <c:v>5.8137464562303078</c:v>
                </c:pt>
                <c:pt idx="27">
                  <c:v>5.6567921706790436</c:v>
                </c:pt>
                <c:pt idx="28">
                  <c:v>5.5010063116450842</c:v>
                </c:pt>
                <c:pt idx="29">
                  <c:v>5.3466389055334966</c:v>
                </c:pt>
                <c:pt idx="30">
                  <c:v>5.1939182969731821</c:v>
                </c:pt>
                <c:pt idx="31">
                  <c:v>5.0430517811457287</c:v>
                </c:pt>
                <c:pt idx="32">
                  <c:v>4.8942263239100487</c:v>
                </c:pt>
                <c:pt idx="33">
                  <c:v>4.7476093527550942</c:v>
                </c:pt>
                <c:pt idx="34">
                  <c:v>4.6033496029774259</c:v>
                </c:pt>
                <c:pt idx="35">
                  <c:v>4.461578004881499</c:v>
                </c:pt>
                <c:pt idx="36">
                  <c:v>4.3224085992063745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2A-400B-AF6C-BF0A86A7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48368"/>
        <c:axId val="548555984"/>
      </c:scatterChart>
      <c:valAx>
        <c:axId val="54855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 Run, ft</a:t>
                </a:r>
              </a:p>
            </c:rich>
          </c:tx>
          <c:layout>
            <c:manualLayout>
              <c:xMode val="edge"/>
              <c:yMode val="edge"/>
              <c:x val="0.42659686414636672"/>
              <c:y val="0.90206202887176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2176"/>
        <c:crosses val="autoZero"/>
        <c:crossBetween val="midCat"/>
      </c:valAx>
      <c:valAx>
        <c:axId val="5485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Airspeed, KTAS</a:t>
                </a:r>
              </a:p>
            </c:rich>
          </c:tx>
          <c:layout>
            <c:manualLayout>
              <c:xMode val="edge"/>
              <c:yMode val="edge"/>
              <c:x val="3.1492643224157242E-2"/>
              <c:y val="0.3368186897142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9248"/>
        <c:crosses val="autoZero"/>
        <c:crossBetween val="midCat"/>
      </c:valAx>
      <c:valAx>
        <c:axId val="5485559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</a:t>
                </a:r>
              </a:p>
            </c:rich>
          </c:tx>
          <c:layout>
            <c:manualLayout>
              <c:xMode val="edge"/>
              <c:yMode val="edge"/>
              <c:x val="0.94796967361014572"/>
              <c:y val="0.35330800048721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48368"/>
        <c:crosses val="max"/>
        <c:crossBetween val="midCat"/>
      </c:valAx>
      <c:valAx>
        <c:axId val="548548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855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Climb vs KTAS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6922572178478"/>
          <c:y val="0.22669036162146397"/>
          <c:w val="0.80308552055992999"/>
          <c:h val="0.67976778944298633"/>
        </c:manualLayout>
      </c:layout>
      <c:scatterChart>
        <c:scatterStyle val="smoothMarker"/>
        <c:varyColors val="0"/>
        <c:ser>
          <c:idx val="0"/>
          <c:order val="0"/>
          <c:tx>
            <c:v>ROC AT S-L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climb!$R$4:$R$14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</c:numCache>
            </c:numRef>
          </c:xVal>
          <c:yVal>
            <c:numRef>
              <c:f>climb!$U$4:$U$14</c:f>
              <c:numCache>
                <c:formatCode>General</c:formatCode>
                <c:ptCount val="11"/>
                <c:pt idx="0">
                  <c:v>983.45468627750631</c:v>
                </c:pt>
                <c:pt idx="1">
                  <c:v>1686.5375154645969</c:v>
                </c:pt>
                <c:pt idx="2">
                  <c:v>1791.763865703572</c:v>
                </c:pt>
                <c:pt idx="3">
                  <c:v>1769.7414985380071</c:v>
                </c:pt>
                <c:pt idx="4">
                  <c:v>1656.4888017569849</c:v>
                </c:pt>
                <c:pt idx="5">
                  <c:v>1448.5160382628148</c:v>
                </c:pt>
                <c:pt idx="6">
                  <c:v>1133.2162113685529</c:v>
                </c:pt>
                <c:pt idx="7">
                  <c:v>694.94323785750373</c:v>
                </c:pt>
                <c:pt idx="8">
                  <c:v>116.79964594189482</c:v>
                </c:pt>
                <c:pt idx="9">
                  <c:v>-618.70479917339424</c:v>
                </c:pt>
                <c:pt idx="10">
                  <c:v>-1529.3708271920975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6B-4345-9F9E-9294D96B3100}"/>
            </c:ext>
          </c:extLst>
        </c:ser>
        <c:ser>
          <c:idx val="1"/>
          <c:order val="1"/>
          <c:tx>
            <c:v>ROC AT 10,00ft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climb!$R$4:$R$14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</c:numCache>
            </c:numRef>
          </c:xVal>
          <c:yVal>
            <c:numRef>
              <c:f>climb!$W$4:$W$14</c:f>
              <c:numCache>
                <c:formatCode>General</c:formatCode>
                <c:ptCount val="11"/>
                <c:pt idx="0">
                  <c:v>604.72339291187768</c:v>
                </c:pt>
                <c:pt idx="1">
                  <c:v>1562.9537562903427</c:v>
                </c:pt>
                <c:pt idx="2">
                  <c:v>1728.4664317453189</c:v>
                </c:pt>
                <c:pt idx="3">
                  <c:v>1749.8370959552042</c:v>
                </c:pt>
                <c:pt idx="4">
                  <c:v>1687.1143579513691</c:v>
                </c:pt>
                <c:pt idx="5">
                  <c:v>1546.8443660699979</c:v>
                </c:pt>
                <c:pt idx="6">
                  <c:v>1323.226546948388</c:v>
                </c:pt>
                <c:pt idx="7">
                  <c:v>1006.3447533242071</c:v>
                </c:pt>
                <c:pt idx="8">
                  <c:v>584.58818985880168</c:v>
                </c:pt>
                <c:pt idx="9">
                  <c:v>45.543333177372112</c:v>
                </c:pt>
                <c:pt idx="10">
                  <c:v>-623.62381668524915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6B-4345-9F9E-9294D96B3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60336"/>
        <c:axId val="548553264"/>
      </c:scatterChart>
      <c:valAx>
        <c:axId val="54856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KTAS</a:t>
                </a:r>
              </a:p>
            </c:rich>
          </c:tx>
          <c:layout>
            <c:manualLayout>
              <c:xMode val="edge"/>
              <c:yMode val="edge"/>
              <c:x val="0.47883223972003497"/>
              <c:y val="0.92426728858552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3264"/>
        <c:crosses val="autoZero"/>
        <c:crossBetween val="midCat"/>
      </c:valAx>
      <c:valAx>
        <c:axId val="5485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CLIMB, fpm</a:t>
                </a:r>
              </a:p>
            </c:rich>
          </c:tx>
          <c:layout>
            <c:manualLayout>
              <c:xMode val="edge"/>
              <c:yMode val="edge"/>
              <c:x val="2.7152887139107611E-2"/>
              <c:y val="0.34602527018117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6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Available</a:t>
            </a:r>
            <a:r>
              <a:rPr lang="en-US" baseline="0"/>
              <a:t> and Required Power vs Airspeed</a:t>
            </a:r>
          </a:p>
          <a:p>
            <a:pPr>
              <a:defRPr/>
            </a:pPr>
            <a:r>
              <a:rPr lang="en-US" sz="1100" baseline="0"/>
              <a:t>Simplified drag model S-L</a:t>
            </a:r>
            <a:endParaRPr lang="en-US" sz="110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4711402377353"/>
          <c:y val="0.14885900324406354"/>
          <c:w val="0.81886213251125783"/>
          <c:h val="0.68191051339821462"/>
        </c:manualLayout>
      </c:layout>
      <c:scatterChart>
        <c:scatterStyle val="smoothMarker"/>
        <c:varyColors val="0"/>
        <c:ser>
          <c:idx val="0"/>
          <c:order val="0"/>
          <c:tx>
            <c:v>PREQ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climb!$A$21:$A$30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climb!$E$21:$E$30</c:f>
              <c:numCache>
                <c:formatCode>General</c:formatCode>
                <c:ptCount val="10"/>
                <c:pt idx="0">
                  <c:v>178897.1362741708</c:v>
                </c:pt>
                <c:pt idx="1">
                  <c:v>91679.524616082083</c:v>
                </c:pt>
                <c:pt idx="2">
                  <c:v>67564.668461156209</c:v>
                </c:pt>
                <c:pt idx="3">
                  <c:v>63687.414140014407</c:v>
                </c:pt>
                <c:pt idx="4">
                  <c:v>72902.543065338774</c:v>
                </c:pt>
                <c:pt idx="5">
                  <c:v>94018.159163488235</c:v>
                </c:pt>
                <c:pt idx="6">
                  <c:v>127543.31565044365</c:v>
                </c:pt>
                <c:pt idx="7">
                  <c:v>174624.92172579418</c:v>
                </c:pt>
                <c:pt idx="8">
                  <c:v>236693.37813739915</c:v>
                </c:pt>
                <c:pt idx="9">
                  <c:v>315320.83140725328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53-47C9-8005-E22EECE1B7B9}"/>
            </c:ext>
          </c:extLst>
        </c:ser>
        <c:ser>
          <c:idx val="1"/>
          <c:order val="1"/>
          <c:tx>
            <c:v>PAV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climb!$A$21:$A$30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climb!$F$21:$F$30</c:f>
              <c:numCache>
                <c:formatCode>General</c:formatCode>
                <c:ptCount val="10"/>
                <c:pt idx="0">
                  <c:v>200200</c:v>
                </c:pt>
                <c:pt idx="1">
                  <c:v>200200</c:v>
                </c:pt>
                <c:pt idx="2">
                  <c:v>200200</c:v>
                </c:pt>
                <c:pt idx="3">
                  <c:v>200200</c:v>
                </c:pt>
                <c:pt idx="4">
                  <c:v>200200</c:v>
                </c:pt>
                <c:pt idx="5">
                  <c:v>200200</c:v>
                </c:pt>
                <c:pt idx="6">
                  <c:v>200200</c:v>
                </c:pt>
                <c:pt idx="7">
                  <c:v>200200</c:v>
                </c:pt>
                <c:pt idx="8">
                  <c:v>200200</c:v>
                </c:pt>
                <c:pt idx="9">
                  <c:v>200200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53-47C9-8005-E22EECE1B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59792"/>
        <c:axId val="548560880"/>
      </c:scatterChart>
      <c:valAx>
        <c:axId val="54855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KTAS</a:t>
                </a:r>
              </a:p>
            </c:rich>
          </c:tx>
          <c:layout>
            <c:manualLayout>
              <c:xMode val="edge"/>
              <c:yMode val="edge"/>
              <c:x val="0.46646656775286149"/>
              <c:y val="0.91108788826246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60880"/>
        <c:crosses val="autoZero"/>
        <c:crossBetween val="midCat"/>
        <c:majorUnit val="10"/>
      </c:valAx>
      <c:valAx>
        <c:axId val="5485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Available</a:t>
                </a:r>
                <a:r>
                  <a:rPr lang="en-US" sz="1200" baseline="0"/>
                  <a:t> and Required Power, ft.lb/s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2.7710390087602611E-2"/>
              <c:y val="0.17655772434371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979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6356080489953"/>
          <c:y val="0.62448455005071257"/>
          <c:w val="0.15968088363954505"/>
          <c:h val="0.13274429191926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Best ROC Predictions</a:t>
            </a:r>
          </a:p>
          <a:p>
            <a:pPr>
              <a:defRPr/>
            </a:pPr>
            <a:r>
              <a:rPr lang="en-US" sz="1100" baseline="0"/>
              <a:t>simplified drag model, S-L</a:t>
            </a:r>
            <a:endParaRPr lang="en-US" sz="1100"/>
          </a:p>
        </c:rich>
      </c:tx>
      <c:layout>
        <c:manualLayout>
          <c:xMode val="edge"/>
          <c:yMode val="edge"/>
          <c:x val="0.23727077865266838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5314960629919"/>
          <c:y val="0.17129629629629628"/>
          <c:w val="0.8103912948381452"/>
          <c:h val="0.66574876057159527"/>
        </c:manualLayout>
      </c:layout>
      <c:scatterChart>
        <c:scatterStyle val="smoothMarker"/>
        <c:varyColors val="0"/>
        <c:ser>
          <c:idx val="0"/>
          <c:order val="0"/>
          <c:tx>
            <c:v>np=0.6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climb!$A$37:$A$42</c:f>
              <c:numCache>
                <c:formatCode>General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numCache>
            </c:numRef>
          </c:xVal>
          <c:yVal>
            <c:numRef>
              <c:f>climb!$B$37:$B$42</c:f>
              <c:numCache>
                <c:formatCode>General</c:formatCode>
                <c:ptCount val="6"/>
                <c:pt idx="0">
                  <c:v>1555.4462954228434</c:v>
                </c:pt>
                <c:pt idx="1">
                  <c:v>1453.1694431342651</c:v>
                </c:pt>
                <c:pt idx="2">
                  <c:v>1350.8925908456865</c:v>
                </c:pt>
                <c:pt idx="3">
                  <c:v>1248.6157385571084</c:v>
                </c:pt>
                <c:pt idx="4">
                  <c:v>1146.3388862685299</c:v>
                </c:pt>
                <c:pt idx="5">
                  <c:v>1044.0620339799516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6-4087-8A6D-8034CF0B4BF4}"/>
            </c:ext>
          </c:extLst>
        </c:ser>
        <c:ser>
          <c:idx val="1"/>
          <c:order val="1"/>
          <c:tx>
            <c:v>np=0.7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climb!$A$37:$A$42</c:f>
              <c:numCache>
                <c:formatCode>General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numCache>
            </c:numRef>
          </c:xVal>
          <c:yVal>
            <c:numRef>
              <c:f>climb!$C$37:$C$42</c:f>
              <c:numCache>
                <c:formatCode>General</c:formatCode>
                <c:ptCount val="6"/>
                <c:pt idx="0">
                  <c:v>1848.7796287561766</c:v>
                </c:pt>
                <c:pt idx="1">
                  <c:v>1746.5027764675981</c:v>
                </c:pt>
                <c:pt idx="2">
                  <c:v>1644.22592417902</c:v>
                </c:pt>
                <c:pt idx="3">
                  <c:v>1541.9490718904417</c:v>
                </c:pt>
                <c:pt idx="4">
                  <c:v>1439.6722196018634</c:v>
                </c:pt>
                <c:pt idx="5">
                  <c:v>1337.3953673132849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16-4087-8A6D-8034CF0B4BF4}"/>
            </c:ext>
          </c:extLst>
        </c:ser>
        <c:ser>
          <c:idx val="2"/>
          <c:order val="2"/>
          <c:tx>
            <c:v>np=0.8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climb!$A$37:$A$42</c:f>
              <c:numCache>
                <c:formatCode>General</c:formatCode>
                <c:ptCount val="6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</c:numCache>
            </c:numRef>
          </c:xVal>
          <c:yVal>
            <c:numRef>
              <c:f>climb!$D$37:$D$42</c:f>
              <c:numCache>
                <c:formatCode>General</c:formatCode>
                <c:ptCount val="6"/>
                <c:pt idx="0">
                  <c:v>2142.1129620895103</c:v>
                </c:pt>
                <c:pt idx="1">
                  <c:v>2039.8361098009318</c:v>
                </c:pt>
                <c:pt idx="2">
                  <c:v>1937.5592575123535</c:v>
                </c:pt>
                <c:pt idx="3">
                  <c:v>1835.2824052237752</c:v>
                </c:pt>
                <c:pt idx="4">
                  <c:v>1733.0055529351969</c:v>
                </c:pt>
                <c:pt idx="5">
                  <c:v>1630.7287006466183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16-4087-8A6D-8034CF0B4BF4}"/>
            </c:ext>
          </c:extLst>
        </c:ser>
        <c:ser>
          <c:idx val="3"/>
          <c:order val="3"/>
          <c:tx>
            <c:v>predicted VY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climb!$C$44:$C$47</c:f>
              <c:numCache>
                <c:formatCode>General</c:formatCode>
                <c:ptCount val="4"/>
                <c:pt idx="0">
                  <c:v>75.225033459938444</c:v>
                </c:pt>
                <c:pt idx="1">
                  <c:v>75.225033459938444</c:v>
                </c:pt>
                <c:pt idx="2">
                  <c:v>75.225033459938444</c:v>
                </c:pt>
                <c:pt idx="3">
                  <c:v>75.225033459938444</c:v>
                </c:pt>
              </c:numCache>
            </c:numRef>
          </c:xVal>
          <c:yVal>
            <c:numRef>
              <c:f>climb!$D$44:$D$47</c:f>
              <c:numCache>
                <c:formatCode>General</c:formatCode>
                <c:ptCount val="4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2300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16-4087-8A6D-8034CF0B4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57072"/>
        <c:axId val="548548912"/>
      </c:scatterChart>
      <c:valAx>
        <c:axId val="5485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KTAS</a:t>
                </a:r>
              </a:p>
            </c:rich>
          </c:tx>
          <c:layout>
            <c:manualLayout>
              <c:xMode val="edge"/>
              <c:yMode val="edge"/>
              <c:x val="0.48362379702537184"/>
              <c:y val="0.9074074074074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48912"/>
        <c:crosses val="autoZero"/>
        <c:crossBetween val="midCat"/>
      </c:valAx>
      <c:valAx>
        <c:axId val="5485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of Climb, fpm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707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9722222222222222"/>
          <c:y val="0.4522561242344707"/>
          <c:w val="0.2338895450568679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Climb versus Airspeed(KCAS)</a:t>
            </a:r>
          </a:p>
          <a:p>
            <a:pPr>
              <a:defRPr/>
            </a:pPr>
            <a:r>
              <a:rPr lang="en-US"/>
              <a:t>Propeller Efficiency Sensitivity Plot, 5000ft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92825896762905"/>
          <c:y val="0.16666666666666666"/>
          <c:w val="0.79715507436570432"/>
          <c:h val="0.71201370662000585"/>
        </c:manualLayout>
      </c:layout>
      <c:scatterChart>
        <c:scatterStyle val="smoothMarker"/>
        <c:varyColors val="0"/>
        <c:ser>
          <c:idx val="0"/>
          <c:order val="0"/>
          <c:tx>
            <c:v>np = 0.6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climb!$D$57:$D$69</c:f>
              <c:numCache>
                <c:formatCode>General</c:formatCode>
                <c:ptCount val="1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</c:numCache>
            </c:numRef>
          </c:xVal>
          <c:yVal>
            <c:numRef>
              <c:f>climb!$P$57:$P$69</c:f>
              <c:numCache>
                <c:formatCode>General</c:formatCode>
                <c:ptCount val="13"/>
                <c:pt idx="0">
                  <c:v>440.68448762758379</c:v>
                </c:pt>
                <c:pt idx="1">
                  <c:v>621.97648721103383</c:v>
                </c:pt>
                <c:pt idx="2">
                  <c:v>724.11540572389663</c:v>
                </c:pt>
                <c:pt idx="3">
                  <c:v>774.00972903754382</c:v>
                </c:pt>
                <c:pt idx="4">
                  <c:v>783.99779458511034</c:v>
                </c:pt>
                <c:pt idx="5">
                  <c:v>759.94231827162912</c:v>
                </c:pt>
                <c:pt idx="6">
                  <c:v>704.46820523807889</c:v>
                </c:pt>
                <c:pt idx="7">
                  <c:v>618.4342820268663</c:v>
                </c:pt>
                <c:pt idx="8">
                  <c:v>501.66916266456218</c:v>
                </c:pt>
                <c:pt idx="9">
                  <c:v>353.36748424491617</c:v>
                </c:pt>
                <c:pt idx="10">
                  <c:v>172.31632726200726</c:v>
                </c:pt>
                <c:pt idx="11">
                  <c:v>-42.968932189866422</c:v>
                </c:pt>
                <c:pt idx="12">
                  <c:v>-294.15971479125631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59-41F1-884C-57E0C8F2638A}"/>
            </c:ext>
          </c:extLst>
        </c:ser>
        <c:ser>
          <c:idx val="1"/>
          <c:order val="1"/>
          <c:tx>
            <c:v>np=0.7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climb!$D$57:$D$69</c:f>
              <c:numCache>
                <c:formatCode>General</c:formatCode>
                <c:ptCount val="1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</c:numCache>
            </c:numRef>
          </c:xVal>
          <c:yVal>
            <c:numRef>
              <c:f>climb!$T$57:$T$69</c:f>
              <c:numCache>
                <c:formatCode>General</c:formatCode>
                <c:ptCount val="13"/>
                <c:pt idx="0">
                  <c:v>688.08463135398188</c:v>
                </c:pt>
                <c:pt idx="1">
                  <c:v>869.37663093743197</c:v>
                </c:pt>
                <c:pt idx="2">
                  <c:v>971.51554945029477</c:v>
                </c:pt>
                <c:pt idx="3">
                  <c:v>1021.4098727639421</c:v>
                </c:pt>
                <c:pt idx="4">
                  <c:v>1031.3979383115084</c:v>
                </c:pt>
                <c:pt idx="5">
                  <c:v>1007.3424619980271</c:v>
                </c:pt>
                <c:pt idx="6">
                  <c:v>951.86834896447704</c:v>
                </c:pt>
                <c:pt idx="7">
                  <c:v>865.83442575326444</c:v>
                </c:pt>
                <c:pt idx="8">
                  <c:v>749.06930639096026</c:v>
                </c:pt>
                <c:pt idx="9">
                  <c:v>600.76762797131425</c:v>
                </c:pt>
                <c:pt idx="10">
                  <c:v>419.71647098840538</c:v>
                </c:pt>
                <c:pt idx="11">
                  <c:v>204.43121153653169</c:v>
                </c:pt>
                <c:pt idx="12">
                  <c:v>-46.759571064858193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59-41F1-884C-57E0C8F2638A}"/>
            </c:ext>
          </c:extLst>
        </c:ser>
        <c:ser>
          <c:idx val="2"/>
          <c:order val="2"/>
          <c:tx>
            <c:v>np=0.75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climb!$D$57:$D$69</c:f>
              <c:numCache>
                <c:formatCode>General</c:formatCode>
                <c:ptCount val="13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</c:numCache>
            </c:numRef>
          </c:xVal>
          <c:yVal>
            <c:numRef>
              <c:f>climb!$X$57:$X$69</c:f>
              <c:numCache>
                <c:formatCode>General</c:formatCode>
                <c:ptCount val="13"/>
                <c:pt idx="0">
                  <c:v>811.784703217181</c:v>
                </c:pt>
                <c:pt idx="1">
                  <c:v>993.07670280063132</c:v>
                </c:pt>
                <c:pt idx="2">
                  <c:v>1095.215621313494</c:v>
                </c:pt>
                <c:pt idx="3">
                  <c:v>1145.109944627141</c:v>
                </c:pt>
                <c:pt idx="4">
                  <c:v>1155.0980101747077</c:v>
                </c:pt>
                <c:pt idx="5">
                  <c:v>1131.042533861226</c:v>
                </c:pt>
                <c:pt idx="6">
                  <c:v>1075.5684208276764</c:v>
                </c:pt>
                <c:pt idx="7">
                  <c:v>989.53449761646357</c:v>
                </c:pt>
                <c:pt idx="8">
                  <c:v>872.76937825415939</c:v>
                </c:pt>
                <c:pt idx="9">
                  <c:v>724.46769983451338</c:v>
                </c:pt>
                <c:pt idx="10">
                  <c:v>543.41654285160439</c:v>
                </c:pt>
                <c:pt idx="11">
                  <c:v>328.13128339973076</c:v>
                </c:pt>
                <c:pt idx="12">
                  <c:v>76.940500798340864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59-41F1-884C-57E0C8F2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27600"/>
        <c:axId val="648028144"/>
      </c:scatterChart>
      <c:valAx>
        <c:axId val="64802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KCAS</a:t>
                </a:r>
              </a:p>
            </c:rich>
          </c:tx>
          <c:layout>
            <c:manualLayout>
              <c:xMode val="edge"/>
              <c:yMode val="edge"/>
              <c:x val="0.4539986876640419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28144"/>
        <c:crosses val="autoZero"/>
        <c:crossBetween val="midCat"/>
      </c:valAx>
      <c:valAx>
        <c:axId val="6480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Climb, fpm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2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292897150742759"/>
          <c:y val="0.63219698385260925"/>
          <c:w val="0.51668479584381855"/>
          <c:h val="6.7873767473265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coefficient vs KTAS</a:t>
            </a:r>
            <a:endParaRPr lang="en-US"/>
          </a:p>
        </c:rich>
      </c:tx>
      <c:layout>
        <c:manualLayout>
          <c:xMode val="edge"/>
          <c:yMode val="edge"/>
          <c:x val="0.4150485564304462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cruise!$I$4:$I$12</c:f>
              <c:numCache>
                <c:formatCode>General</c:formatCode>
                <c:ptCount val="9"/>
                <c:pt idx="0">
                  <c:v>1.850970232124209</c:v>
                </c:pt>
                <c:pt idx="1">
                  <c:v>1.1197227330134105</c:v>
                </c:pt>
                <c:pt idx="2">
                  <c:v>0.7495664576370763</c:v>
                </c:pt>
                <c:pt idx="3">
                  <c:v>0.53667184245021438</c:v>
                </c:pt>
                <c:pt idx="4">
                  <c:v>0.40310018388482777</c:v>
                </c:pt>
                <c:pt idx="5">
                  <c:v>0.31383232309372405</c:v>
                </c:pt>
                <c:pt idx="6">
                  <c:v>0.25123972679802287</c:v>
                </c:pt>
                <c:pt idx="7">
                  <c:v>0.20566335912491215</c:v>
                </c:pt>
                <c:pt idx="8">
                  <c:v>0.17145092887350891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9-4A2C-A4AC-00DA7863E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9568"/>
        <c:axId val="648040112"/>
      </c:scatterChart>
      <c:valAx>
        <c:axId val="64803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0112"/>
        <c:crosses val="autoZero"/>
        <c:crossBetween val="midCat"/>
      </c:valAx>
      <c:valAx>
        <c:axId val="6480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39568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</a:t>
            </a:r>
            <a:r>
              <a:rPr lang="en-US" baseline="0"/>
              <a:t> Coefficients versus KTAS</a:t>
            </a:r>
          </a:p>
          <a:p>
            <a:pPr>
              <a:defRPr/>
            </a:pPr>
            <a:r>
              <a:rPr lang="en-US" sz="1000" baseline="0"/>
              <a:t>Kenya One Aircraft, 10000ft</a:t>
            </a:r>
          </a:p>
          <a:p>
            <a:pPr>
              <a:defRPr/>
            </a:pPr>
            <a:r>
              <a:rPr lang="en-US" sz="1000" baseline="0"/>
              <a:t>Adjusted Drag model: CD=CD</a:t>
            </a:r>
            <a:r>
              <a:rPr lang="en-US" sz="1000" baseline="-25000"/>
              <a:t>min</a:t>
            </a:r>
            <a:r>
              <a:rPr lang="en-US" sz="1000" baseline="0"/>
              <a:t>+(CL-CL</a:t>
            </a:r>
            <a:r>
              <a:rPr lang="en-US" sz="1000" baseline="-25000"/>
              <a:t>MIND</a:t>
            </a:r>
            <a:r>
              <a:rPr lang="en-US" sz="1000" baseline="0"/>
              <a:t>)</a:t>
            </a:r>
            <a:r>
              <a:rPr lang="en-US" sz="1000" baseline="3000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4420384951881"/>
          <c:y val="0.23148148148148148"/>
          <c:w val="0.81483552055993003"/>
          <c:h val="0.66111913094196562"/>
        </c:manualLayout>
      </c:layout>
      <c:scatterChart>
        <c:scatterStyle val="smoothMarker"/>
        <c:varyColors val="0"/>
        <c:ser>
          <c:idx val="0"/>
          <c:order val="0"/>
          <c:tx>
            <c:v>CD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cruise!$N$4:$N$12</c:f>
              <c:numCache>
                <c:formatCode>General</c:formatCode>
                <c:ptCount val="9"/>
                <c:pt idx="0">
                  <c:v>0.21011400489231852</c:v>
                </c:pt>
                <c:pt idx="1">
                  <c:v>9.2848844613820078E-2</c:v>
                </c:pt>
                <c:pt idx="2">
                  <c:v>5.5507595988014469E-2</c:v>
                </c:pt>
                <c:pt idx="3">
                  <c:v>4.0734652085816808E-2</c:v>
                </c:pt>
                <c:pt idx="4">
                  <c:v>3.3965336029893059E-2</c:v>
                </c:pt>
                <c:pt idx="5">
                  <c:v>3.0515633279436676E-2</c:v>
                </c:pt>
                <c:pt idx="6">
                  <c:v>2.8610134651856606E-2</c:v>
                </c:pt>
                <c:pt idx="7">
                  <c:v>2.7488910512510373E-2</c:v>
                </c:pt>
                <c:pt idx="8">
                  <c:v>2.6794677099661022E-2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4A-4108-A6ED-12AF4307C815}"/>
            </c:ext>
          </c:extLst>
        </c:ser>
        <c:ser>
          <c:idx val="1"/>
          <c:order val="1"/>
          <c:tx>
            <c:v>CDi</c:v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cruise!$R$4:$R$12</c:f>
              <c:numCache>
                <c:formatCode>General</c:formatCode>
                <c:ptCount val="9"/>
                <c:pt idx="0">
                  <c:v>0.18489406088151261</c:v>
                </c:pt>
                <c:pt idx="1">
                  <c:v>6.7628900603014158E-2</c:v>
                </c:pt>
                <c:pt idx="2">
                  <c:v>3.0287651977208552E-2</c:v>
                </c:pt>
                <c:pt idx="3">
                  <c:v>1.551470807501089E-2</c:v>
                </c:pt>
                <c:pt idx="4">
                  <c:v>8.745392019087141E-3</c:v>
                </c:pt>
                <c:pt idx="5">
                  <c:v>5.2956892686307558E-3</c:v>
                </c:pt>
                <c:pt idx="6">
                  <c:v>3.390190641050686E-3</c:v>
                </c:pt>
                <c:pt idx="7">
                  <c:v>2.2689665017044543E-3</c:v>
                </c:pt>
                <c:pt idx="8">
                  <c:v>1.5747330888551032E-3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4A-4108-A6ED-12AF4307C815}"/>
            </c:ext>
          </c:extLst>
        </c:ser>
        <c:ser>
          <c:idx val="2"/>
          <c:order val="2"/>
          <c:tx>
            <c:v>CDmin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cruise!$P$4:$P$12</c:f>
              <c:numCache>
                <c:formatCode>General</c:formatCode>
                <c:ptCount val="9"/>
                <c:pt idx="0">
                  <c:v>2.521994401080592E-2</c:v>
                </c:pt>
                <c:pt idx="1">
                  <c:v>2.521994401080592E-2</c:v>
                </c:pt>
                <c:pt idx="2">
                  <c:v>2.521994401080592E-2</c:v>
                </c:pt>
                <c:pt idx="3">
                  <c:v>2.521994401080592E-2</c:v>
                </c:pt>
                <c:pt idx="4">
                  <c:v>2.521994401080592E-2</c:v>
                </c:pt>
                <c:pt idx="5">
                  <c:v>2.521994401080592E-2</c:v>
                </c:pt>
                <c:pt idx="6">
                  <c:v>2.521994401080592E-2</c:v>
                </c:pt>
                <c:pt idx="7">
                  <c:v>2.521994401080592E-2</c:v>
                </c:pt>
                <c:pt idx="8">
                  <c:v>2.521994401080592E-2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4A-4108-A6ED-12AF4307C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40656"/>
        <c:axId val="648041200"/>
      </c:scatterChart>
      <c:valAx>
        <c:axId val="64804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1200"/>
        <c:crosses val="autoZero"/>
        <c:crossBetween val="midCat"/>
      </c:valAx>
      <c:valAx>
        <c:axId val="6480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Dag</a:t>
                </a:r>
                <a:r>
                  <a:rPr lang="en-US" baseline="0"/>
                  <a:t> Coefficient , CD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0656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94422572178483"/>
          <c:y val="0.26244130941965588"/>
          <c:w val="0.1717224409448819"/>
          <c:h val="0.2125998780499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28575" cap="flat" cmpd="sng" algn="ctr">
      <a:solidFill>
        <a:srgbClr val="66FF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</a:t>
            </a:r>
            <a:r>
              <a:rPr lang="en-US" baseline="0"/>
              <a:t> Force versus Airspeed</a:t>
            </a:r>
          </a:p>
          <a:p>
            <a:pPr>
              <a:defRPr/>
            </a:pPr>
            <a:r>
              <a:rPr lang="en-US" sz="1000" baseline="0"/>
              <a:t>Kenya One Aircraft</a:t>
            </a:r>
          </a:p>
          <a:p>
            <a:pPr>
              <a:defRPr/>
            </a:pPr>
            <a:r>
              <a:rPr lang="en-US" sz="1000" baseline="0"/>
              <a:t>Simplified and Adjusted Models, 10000ft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80758605634309"/>
          <c:y val="0.22048223199770176"/>
          <c:w val="0.85085795519801077"/>
          <c:h val="0.64640524010543898"/>
        </c:manualLayout>
      </c:layout>
      <c:scatterChart>
        <c:scatterStyle val="smoothMarker"/>
        <c:varyColors val="0"/>
        <c:ser>
          <c:idx val="0"/>
          <c:order val="0"/>
          <c:tx>
            <c:v>Dmin(adjusted)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cruise!$Q$4:$Q$12</c:f>
              <c:numCache>
                <c:formatCode>General</c:formatCode>
                <c:ptCount val="9"/>
                <c:pt idx="0">
                  <c:v>79.707749969538256</c:v>
                </c:pt>
                <c:pt idx="1">
                  <c:v>131.76179076597137</c:v>
                </c:pt>
                <c:pt idx="2">
                  <c:v>196.82934176151286</c:v>
                </c:pt>
                <c:pt idx="3">
                  <c:v>274.91040295616261</c:v>
                </c:pt>
                <c:pt idx="4">
                  <c:v>366.00497434992047</c:v>
                </c:pt>
                <c:pt idx="5">
                  <c:v>470.11305594278673</c:v>
                </c:pt>
                <c:pt idx="6">
                  <c:v>587.23464773476132</c:v>
                </c:pt>
                <c:pt idx="7">
                  <c:v>717.36974972584414</c:v>
                </c:pt>
                <c:pt idx="8">
                  <c:v>860.51836191603559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CB-4291-80AD-082551762A1F}"/>
            </c:ext>
          </c:extLst>
        </c:ser>
        <c:ser>
          <c:idx val="1"/>
          <c:order val="1"/>
          <c:tx>
            <c:v>Dmin (simple)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cruise!$L$4:$L$12</c:f>
              <c:numCache>
                <c:formatCode>General</c:formatCode>
                <c:ptCount val="9"/>
                <c:pt idx="0">
                  <c:v>79.707749969538256</c:v>
                </c:pt>
                <c:pt idx="1">
                  <c:v>131.76179076597137</c:v>
                </c:pt>
                <c:pt idx="2">
                  <c:v>196.82934176151286</c:v>
                </c:pt>
                <c:pt idx="3">
                  <c:v>274.91040295616261</c:v>
                </c:pt>
                <c:pt idx="4">
                  <c:v>366.00497434992047</c:v>
                </c:pt>
                <c:pt idx="5">
                  <c:v>470.11305594278673</c:v>
                </c:pt>
                <c:pt idx="6">
                  <c:v>587.23464773476132</c:v>
                </c:pt>
                <c:pt idx="7">
                  <c:v>717.36974972584414</c:v>
                </c:pt>
                <c:pt idx="8">
                  <c:v>860.51836191603559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CB-4291-80AD-082551762A1F}"/>
            </c:ext>
          </c:extLst>
        </c:ser>
        <c:ser>
          <c:idx val="2"/>
          <c:order val="2"/>
          <c:tx>
            <c:v>Di (adjusted)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cruise!$S$4:$S$12</c:f>
              <c:numCache>
                <c:formatCode>General</c:formatCode>
                <c:ptCount val="9"/>
                <c:pt idx="0">
                  <c:v>584.35853661220108</c:v>
                </c:pt>
                <c:pt idx="1">
                  <c:v>353.3277094972533</c:v>
                </c:pt>
                <c:pt idx="2">
                  <c:v>236.38032660268539</c:v>
                </c:pt>
                <c:pt idx="3">
                  <c:v>169.11832345151097</c:v>
                </c:pt>
                <c:pt idx="4">
                  <c:v>126.91768785269809</c:v>
                </c:pt>
                <c:pt idx="5">
                  <c:v>98.714440616233162</c:v>
                </c:pt>
                <c:pt idx="6">
                  <c:v>78.939009777264999</c:v>
                </c:pt>
                <c:pt idx="7">
                  <c:v>64.539712331107381</c:v>
                </c:pt>
                <c:pt idx="8">
                  <c:v>53.730759175990329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CB-4291-80AD-082551762A1F}"/>
            </c:ext>
          </c:extLst>
        </c:ser>
        <c:ser>
          <c:idx val="3"/>
          <c:order val="3"/>
          <c:tx>
            <c:v>Di (simple)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cruise!$M$4:$M$12</c:f>
              <c:numCache>
                <c:formatCode>General</c:formatCode>
                <c:ptCount val="9"/>
                <c:pt idx="0">
                  <c:v>584.79691699386967</c:v>
                </c:pt>
                <c:pt idx="1">
                  <c:v>353.76603620616811</c:v>
                </c:pt>
                <c:pt idx="2">
                  <c:v>236.81858622065795</c:v>
                </c:pt>
                <c:pt idx="3">
                  <c:v>169.5565025603527</c:v>
                </c:pt>
                <c:pt idx="4">
                  <c:v>127.3557730342205</c:v>
                </c:pt>
                <c:pt idx="5">
                  <c:v>99.152418452247801</c:v>
                </c:pt>
                <c:pt idx="6">
                  <c:v>79.376866849583436</c:v>
                </c:pt>
                <c:pt idx="7">
                  <c:v>64.977435221541086</c:v>
                </c:pt>
                <c:pt idx="8">
                  <c:v>54.168334466350856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CB-4291-80AD-082551762A1F}"/>
            </c:ext>
          </c:extLst>
        </c:ser>
        <c:ser>
          <c:idx val="4"/>
          <c:order val="4"/>
          <c:tx>
            <c:v>D (adjusted)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74CB-4291-80AD-082551762A1F}"/>
            </c:ext>
          </c:extLst>
        </c:ser>
        <c:ser>
          <c:idx val="5"/>
          <c:order val="5"/>
          <c:tx>
            <c:v>D (simple)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cruise!$G$4:$G$12</c:f>
              <c:numCache>
                <c:formatCode>General</c:formatCode>
                <c:ptCount val="9"/>
                <c:pt idx="0">
                  <c:v>70</c:v>
                </c:pt>
                <c:pt idx="1">
                  <c:v>90</c:v>
                </c:pt>
                <c:pt idx="2">
                  <c:v>110</c:v>
                </c:pt>
                <c:pt idx="3">
                  <c:v>130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230</c:v>
                </c:pt>
              </c:numCache>
            </c:numRef>
          </c:xVal>
          <c:yVal>
            <c:numRef>
              <c:f>cruise!$K$4:$K$12</c:f>
              <c:numCache>
                <c:formatCode>General</c:formatCode>
                <c:ptCount val="9"/>
                <c:pt idx="0">
                  <c:v>664.504666963408</c:v>
                </c:pt>
                <c:pt idx="1">
                  <c:v>485.52782697213945</c:v>
                </c:pt>
                <c:pt idx="2">
                  <c:v>433.64792798217081</c:v>
                </c:pt>
                <c:pt idx="3">
                  <c:v>444.46690551651523</c:v>
                </c:pt>
                <c:pt idx="4">
                  <c:v>493.36074738414101</c:v>
                </c:pt>
                <c:pt idx="5">
                  <c:v>569.26547439503452</c:v>
                </c:pt>
                <c:pt idx="6">
                  <c:v>666.61151458434472</c:v>
                </c:pt>
                <c:pt idx="7">
                  <c:v>782.34718494738513</c:v>
                </c:pt>
                <c:pt idx="8">
                  <c:v>914.68669638238646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4CB-4291-80AD-082551762A1F}"/>
            </c:ext>
          </c:extLst>
        </c:ser>
        <c:ser>
          <c:idx val="6"/>
          <c:order val="6"/>
          <c:tx>
            <c:v>Vcruise(KTAS)</c:v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cruise!$T$4:$T$12</c:f>
              <c:numCache>
                <c:formatCode>General</c:formatCode>
                <c:ptCount val="9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</c:numCache>
            </c:numRef>
          </c:xVal>
          <c:yVal>
            <c:numRef>
              <c:f>cruise!$U$4:$U$12</c:f>
              <c:numCache>
                <c:formatCode>General</c:formatCode>
                <c:ptCount val="9"/>
                <c:pt idx="0">
                  <c:v>0</c:v>
                </c:pt>
                <c:pt idx="1">
                  <c:v>100</c:v>
                </c:pt>
                <c:pt idx="2">
                  <c:v>250</c:v>
                </c:pt>
                <c:pt idx="3">
                  <c:v>400</c:v>
                </c:pt>
                <c:pt idx="4">
                  <c:v>550</c:v>
                </c:pt>
                <c:pt idx="5">
                  <c:v>700</c:v>
                </c:pt>
                <c:pt idx="6">
                  <c:v>850</c:v>
                </c:pt>
                <c:pt idx="7">
                  <c:v>1000</c:v>
                </c:pt>
                <c:pt idx="8">
                  <c:v>1150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4CB-4291-80AD-082551762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5216"/>
        <c:axId val="648041744"/>
      </c:scatterChart>
      <c:valAx>
        <c:axId val="64803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KTAS</a:t>
                </a:r>
              </a:p>
            </c:rich>
          </c:tx>
          <c:layout>
            <c:manualLayout>
              <c:xMode val="edge"/>
              <c:yMode val="edge"/>
              <c:x val="0.50159913169954218"/>
              <c:y val="0.92232520449753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1744"/>
        <c:crosses val="autoZero"/>
        <c:crossBetween val="midCat"/>
        <c:majorUnit val="20"/>
      </c:valAx>
      <c:valAx>
        <c:axId val="6480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Drag, lbf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35216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66224918224228"/>
          <c:y val="0.21018729590210572"/>
          <c:w val="0.26207414570509524"/>
          <c:h val="0.49142301580568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28575" cap="flat" cmpd="sng" algn="ctr">
      <a:solidFill>
        <a:srgbClr val="66FF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Stalling Speed with Altitude</a:t>
            </a:r>
          </a:p>
          <a:p>
            <a:pPr>
              <a:defRPr/>
            </a:pPr>
            <a:r>
              <a:rPr lang="en-US" sz="1000" baseline="0"/>
              <a:t>Simplified drag model,Incompressive Approximation, CLmax=1.8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91426071741034"/>
          <c:y val="0.17129629629629628"/>
          <c:w val="0.80434908136482941"/>
          <c:h val="0.67037839020122481"/>
        </c:manualLayout>
      </c:layout>
      <c:scatterChart>
        <c:scatterStyle val="smoothMarker"/>
        <c:varyColors val="0"/>
        <c:ser>
          <c:idx val="0"/>
          <c:order val="0"/>
          <c:tx>
            <c:v>Vs, KCAS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cruise!$I$36:$I$41</c:f>
              <c:numCache>
                <c:formatCode>General</c:formatCode>
                <c:ptCount val="6"/>
                <c:pt idx="0">
                  <c:v>61.00002833544805</c:v>
                </c:pt>
                <c:pt idx="1">
                  <c:v>61.000028335448043</c:v>
                </c:pt>
                <c:pt idx="2">
                  <c:v>61.00002833544805</c:v>
                </c:pt>
                <c:pt idx="3">
                  <c:v>61.000028335448043</c:v>
                </c:pt>
                <c:pt idx="4">
                  <c:v>61.000028335448043</c:v>
                </c:pt>
                <c:pt idx="5">
                  <c:v>61.000028335448036</c:v>
                </c:pt>
              </c:numCache>
            </c:numRef>
          </c:xVal>
          <c:yVal>
            <c:numRef>
              <c:f>cruise!$E$36:$E$41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84-4C4E-9C57-A2395168CC1A}"/>
            </c:ext>
          </c:extLst>
        </c:ser>
        <c:ser>
          <c:idx val="1"/>
          <c:order val="1"/>
          <c:tx>
            <c:v>Vs, KTAS</c:v>
          </c:tx>
          <c:spPr>
            <a:ln w="19050" cap="rnd">
              <a:solidFill>
                <a:schemeClr val="tx1">
                  <a:lumMod val="65000"/>
                  <a:lumOff val="3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tx1">
                    <a:lumMod val="65000"/>
                    <a:lumOff val="35000"/>
                  </a:schemeClr>
                </a:solidFill>
                <a:prstDash val="dash"/>
              </a:ln>
              <a:effectLst/>
            </c:spPr>
          </c:marker>
          <c:xVal>
            <c:numRef>
              <c:f>cruise!$H$36:$H$41</c:f>
              <c:numCache>
                <c:formatCode>General</c:formatCode>
                <c:ptCount val="6"/>
                <c:pt idx="0">
                  <c:v>61.00002833544805</c:v>
                </c:pt>
                <c:pt idx="1">
                  <c:v>62.82421799135124</c:v>
                </c:pt>
                <c:pt idx="2">
                  <c:v>64.729735589276885</c:v>
                </c:pt>
                <c:pt idx="3">
                  <c:v>66.721435206625586</c:v>
                </c:pt>
                <c:pt idx="4">
                  <c:v>68.804536092568085</c:v>
                </c:pt>
                <c:pt idx="5">
                  <c:v>70.984655985139398</c:v>
                </c:pt>
              </c:numCache>
            </c:numRef>
          </c:xVal>
          <c:yVal>
            <c:numRef>
              <c:f>cruise!$E$36:$E$41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84-4C4E-9C57-A2395168C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42288"/>
        <c:axId val="648042832"/>
      </c:scatterChart>
      <c:valAx>
        <c:axId val="64804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KCAS</a:t>
                </a:r>
                <a:r>
                  <a:rPr lang="en-US" baseline="0"/>
                  <a:t> and KTAS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456780402449701"/>
              <c:y val="0.916666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2832"/>
        <c:crosses val="autoZero"/>
        <c:crossBetween val="midCat"/>
      </c:valAx>
      <c:valAx>
        <c:axId val="6480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Cruise</a:t>
                </a:r>
                <a:r>
                  <a:rPr lang="en-US" baseline="0"/>
                  <a:t> Altitude, ft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2288"/>
        <c:crosses val="autoZero"/>
        <c:crossBetween val="midCat"/>
        <c:majorUnit val="1000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8556430446197"/>
          <c:y val="0.50057815689705454"/>
          <c:w val="0.15886447928948641"/>
          <c:h val="0.15306229578445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Estimated C</a:t>
            </a:r>
            <a:r>
              <a:rPr lang="en-US" baseline="-25000">
                <a:solidFill>
                  <a:sysClr val="windowText" lastClr="000000"/>
                </a:solidFill>
              </a:rPr>
              <a:t>D</a:t>
            </a:r>
            <a:r>
              <a:rPr lang="en-US" baseline="0">
                <a:solidFill>
                  <a:sysClr val="windowText" lastClr="000000"/>
                </a:solidFill>
              </a:rPr>
              <a:t> and L/D versus C</a:t>
            </a:r>
            <a:r>
              <a:rPr lang="en-US" baseline="-25000">
                <a:solidFill>
                  <a:sysClr val="windowText" lastClr="000000"/>
                </a:solidFill>
              </a:rPr>
              <a:t>L</a:t>
            </a:r>
          </a:p>
          <a:p>
            <a:pPr algn="ctr">
              <a:defRPr/>
            </a:pPr>
            <a:r>
              <a:rPr lang="en-US" sz="1100" baseline="0"/>
              <a:t>Kenya One Project, Simplified Drag Model</a:t>
            </a:r>
            <a:endParaRPr lang="en-US" sz="1100" baseline="-25000"/>
          </a:p>
        </c:rich>
      </c:tx>
      <c:layout>
        <c:manualLayout>
          <c:xMode val="edge"/>
          <c:yMode val="edge"/>
          <c:x val="0.28908560756371376"/>
          <c:y val="2.2068962321446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66603857560594E-2"/>
          <c:y val="0.16862714546081706"/>
          <c:w val="0.8419574811468693"/>
          <c:h val="0.68351370317477378"/>
        </c:manualLayout>
      </c:layout>
      <c:scatterChart>
        <c:scatterStyle val="smoothMarker"/>
        <c:varyColors val="0"/>
        <c:ser>
          <c:idx val="0"/>
          <c:order val="0"/>
          <c:tx>
            <c:v>CD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'Range &amp; Endurance'!$R$12:$R$27</c:f>
              <c:numCache>
                <c:formatCode>General</c:formatCode>
                <c:ptCount val="16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1.5999999999999999</c:v>
                </c:pt>
                <c:pt idx="14">
                  <c:v>1.7999999999999998</c:v>
                </c:pt>
                <c:pt idx="15">
                  <c:v>1.9999999999999998</c:v>
                </c:pt>
              </c:numCache>
            </c:numRef>
          </c:xVal>
          <c:yVal>
            <c:numRef>
              <c:f>'Range &amp; Endurance'!$S$12:$S$27</c:f>
              <c:numCache>
                <c:formatCode>General</c:formatCode>
                <c:ptCount val="16"/>
                <c:pt idx="0">
                  <c:v>7.9226909234387577E-2</c:v>
                </c:pt>
                <c:pt idx="1">
                  <c:v>5.9784401753898195E-2</c:v>
                </c:pt>
                <c:pt idx="2">
                  <c:v>4.4662451491295323E-2</c:v>
                </c:pt>
                <c:pt idx="3">
                  <c:v>3.3861058446578989E-2</c:v>
                </c:pt>
                <c:pt idx="4">
                  <c:v>2.7380222619749189E-2</c:v>
                </c:pt>
                <c:pt idx="5">
                  <c:v>2.521994401080592E-2</c:v>
                </c:pt>
                <c:pt idx="6">
                  <c:v>2.7380222619749185E-2</c:v>
                </c:pt>
                <c:pt idx="7">
                  <c:v>3.3861058446578989E-2</c:v>
                </c:pt>
                <c:pt idx="8">
                  <c:v>4.4662451491295323E-2</c:v>
                </c:pt>
                <c:pt idx="9">
                  <c:v>5.9784401753898195E-2</c:v>
                </c:pt>
                <c:pt idx="10">
                  <c:v>7.9226909234387577E-2</c:v>
                </c:pt>
                <c:pt idx="11">
                  <c:v>0.10298997393276352</c:v>
                </c:pt>
                <c:pt idx="12">
                  <c:v>0.13107359584902595</c:v>
                </c:pt>
                <c:pt idx="13">
                  <c:v>0.16347777498317495</c:v>
                </c:pt>
                <c:pt idx="14">
                  <c:v>0.2002025113352105</c:v>
                </c:pt>
                <c:pt idx="15">
                  <c:v>0.24124780490513253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31-48F4-8068-948BD9B7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29776"/>
        <c:axId val="648031408"/>
      </c:scatterChart>
      <c:scatterChart>
        <c:scatterStyle val="smoothMarker"/>
        <c:varyColors val="0"/>
        <c:ser>
          <c:idx val="1"/>
          <c:order val="1"/>
          <c:tx>
            <c:v>L/D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'Range &amp; Endurance'!$R$12:$R$27</c:f>
              <c:numCache>
                <c:formatCode>General</c:formatCode>
                <c:ptCount val="16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1.5999999999999999</c:v>
                </c:pt>
                <c:pt idx="14">
                  <c:v>1.7999999999999998</c:v>
                </c:pt>
                <c:pt idx="15">
                  <c:v>1.9999999999999998</c:v>
                </c:pt>
              </c:numCache>
            </c:numRef>
          </c:xVal>
          <c:yVal>
            <c:numRef>
              <c:f>'Range &amp; Endurance'!$T$12:$T$27</c:f>
              <c:numCache>
                <c:formatCode>General</c:formatCode>
                <c:ptCount val="16"/>
                <c:pt idx="0">
                  <c:v>-12.621974145697973</c:v>
                </c:pt>
                <c:pt idx="1">
                  <c:v>-13.381416833327043</c:v>
                </c:pt>
                <c:pt idx="2">
                  <c:v>-13.434103591849176</c:v>
                </c:pt>
                <c:pt idx="3">
                  <c:v>-11.812979816654622</c:v>
                </c:pt>
                <c:pt idx="4">
                  <c:v>-7.3045425078370725</c:v>
                </c:pt>
                <c:pt idx="5">
                  <c:v>0</c:v>
                </c:pt>
                <c:pt idx="6">
                  <c:v>7.3045425078370707</c:v>
                </c:pt>
                <c:pt idx="7">
                  <c:v>11.81297981665462</c:v>
                </c:pt>
                <c:pt idx="8">
                  <c:v>13.434103591849176</c:v>
                </c:pt>
                <c:pt idx="9">
                  <c:v>13.381416833327043</c:v>
                </c:pt>
                <c:pt idx="10">
                  <c:v>12.621974145697973</c:v>
                </c:pt>
                <c:pt idx="11">
                  <c:v>11.651619610889638</c:v>
                </c:pt>
                <c:pt idx="12">
                  <c:v>10.681022298438789</c:v>
                </c:pt>
                <c:pt idx="13">
                  <c:v>9.7872631320353545</c:v>
                </c:pt>
                <c:pt idx="14">
                  <c:v>8.9908962080208727</c:v>
                </c:pt>
                <c:pt idx="15">
                  <c:v>8.2902308718890652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31-48F4-8068-948BD9B7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7392"/>
        <c:axId val="648031952"/>
      </c:scatterChart>
      <c:valAx>
        <c:axId val="64802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Lift</a:t>
                </a:r>
                <a:r>
                  <a:rPr lang="en-US" sz="1200" b="1" baseline="0"/>
                  <a:t> Coefficient, C</a:t>
                </a:r>
                <a:r>
                  <a:rPr lang="en-US" sz="1200" b="1" baseline="-25000"/>
                  <a:t>L</a:t>
                </a:r>
              </a:p>
            </c:rich>
          </c:tx>
          <c:layout>
            <c:manualLayout>
              <c:xMode val="edge"/>
              <c:yMode val="edge"/>
              <c:x val="0.42039326334208221"/>
              <c:y val="0.94407342650760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31408"/>
        <c:crosses val="autoZero"/>
        <c:crossBetween val="midCat"/>
      </c:valAx>
      <c:valAx>
        <c:axId val="6480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Drag</a:t>
                </a:r>
                <a:r>
                  <a:rPr lang="en-US" sz="1200" b="1" baseline="0"/>
                  <a:t> Coefficient, C</a:t>
                </a:r>
                <a:r>
                  <a:rPr lang="en-US" sz="1200" b="1" baseline="-25000"/>
                  <a:t>D</a:t>
                </a:r>
              </a:p>
            </c:rich>
          </c:tx>
          <c:layout>
            <c:manualLayout>
              <c:xMode val="edge"/>
              <c:yMode val="edge"/>
              <c:x val="1.5019113102145905E-2"/>
              <c:y val="0.3245631894921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29776"/>
        <c:crosses val="autoZero"/>
        <c:crossBetween val="midCat"/>
      </c:valAx>
      <c:valAx>
        <c:axId val="6480319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Lift-to- Drag</a:t>
                </a:r>
                <a:r>
                  <a:rPr lang="en-US" sz="1200" b="1" baseline="0"/>
                  <a:t> Ratio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37392"/>
        <c:crosses val="max"/>
        <c:crossBetween val="midCat"/>
      </c:valAx>
      <c:valAx>
        <c:axId val="64803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03195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29133858267715"/>
          <c:y val="0.65798556430446187"/>
          <c:w val="0.10160629921259842"/>
          <c:h val="0.12080619763516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285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0</xdr:row>
      <xdr:rowOff>38101</xdr:rowOff>
    </xdr:from>
    <xdr:to>
      <xdr:col>11</xdr:col>
      <xdr:colOff>866775</xdr:colOff>
      <xdr:row>3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09650" y="38101"/>
          <a:ext cx="6486525" cy="68580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GROUND RUN ANALYSIS</a:t>
          </a:r>
        </a:p>
        <a:p>
          <a:pPr algn="r"/>
          <a:r>
            <a:rPr lang="en-US" sz="1600"/>
            <a:t>-</a:t>
          </a:r>
          <a:r>
            <a:rPr lang="en-US" sz="1100"/>
            <a:t>BY:</a:t>
          </a:r>
          <a:r>
            <a:rPr lang="en-US" sz="1100" baseline="0"/>
            <a:t> Geoffrey </a:t>
          </a:r>
          <a:r>
            <a:rPr lang="en-US" sz="1100" baseline="0">
              <a:solidFill>
                <a:sysClr val="windowText" lastClr="000000"/>
              </a:solidFill>
            </a:rPr>
            <a:t>Nyaga</a:t>
          </a:r>
          <a:r>
            <a:rPr lang="en-US" sz="1100" baseline="0"/>
            <a:t> Kinyua and Kipkirui Sitonik</a:t>
          </a:r>
          <a:endParaRPr lang="en-US" sz="1100"/>
        </a:p>
      </xdr:txBody>
    </xdr:sp>
    <xdr:clientData/>
  </xdr:twoCellAnchor>
  <xdr:oneCellAnchor>
    <xdr:from>
      <xdr:col>10</xdr:col>
      <xdr:colOff>57150</xdr:colOff>
      <xdr:row>11</xdr:row>
      <xdr:rowOff>128587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</xdr:colOff>
      <xdr:row>11</xdr:row>
      <xdr:rowOff>128587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133350</xdr:colOff>
      <xdr:row>19</xdr:row>
      <xdr:rowOff>66675</xdr:rowOff>
    </xdr:from>
    <xdr:to>
      <xdr:col>7</xdr:col>
      <xdr:colOff>352425</xdr:colOff>
      <xdr:row>19</xdr:row>
      <xdr:rowOff>142875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00550" y="3438525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20</xdr:row>
      <xdr:rowOff>66675</xdr:rowOff>
    </xdr:from>
    <xdr:to>
      <xdr:col>7</xdr:col>
      <xdr:colOff>352425</xdr:colOff>
      <xdr:row>20</xdr:row>
      <xdr:rowOff>142875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400550" y="3438525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21</xdr:row>
      <xdr:rowOff>66675</xdr:rowOff>
    </xdr:from>
    <xdr:to>
      <xdr:col>7</xdr:col>
      <xdr:colOff>352425</xdr:colOff>
      <xdr:row>21</xdr:row>
      <xdr:rowOff>142875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400550" y="3438525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22</xdr:row>
      <xdr:rowOff>66675</xdr:rowOff>
    </xdr:from>
    <xdr:to>
      <xdr:col>7</xdr:col>
      <xdr:colOff>352425</xdr:colOff>
      <xdr:row>22</xdr:row>
      <xdr:rowOff>142875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00550" y="3438525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361950</xdr:colOff>
      <xdr:row>19</xdr:row>
      <xdr:rowOff>76200</xdr:rowOff>
    </xdr:from>
    <xdr:to>
      <xdr:col>12</xdr:col>
      <xdr:colOff>581025</xdr:colOff>
      <xdr:row>19</xdr:row>
      <xdr:rowOff>152400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10500" y="3448050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361950</xdr:colOff>
      <xdr:row>20</xdr:row>
      <xdr:rowOff>76200</xdr:rowOff>
    </xdr:from>
    <xdr:to>
      <xdr:col>12</xdr:col>
      <xdr:colOff>581025</xdr:colOff>
      <xdr:row>20</xdr:row>
      <xdr:rowOff>152400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810500" y="3448050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361950</xdr:colOff>
      <xdr:row>21</xdr:row>
      <xdr:rowOff>76200</xdr:rowOff>
    </xdr:from>
    <xdr:to>
      <xdr:col>12</xdr:col>
      <xdr:colOff>581025</xdr:colOff>
      <xdr:row>21</xdr:row>
      <xdr:rowOff>152400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810500" y="3448050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361950</xdr:colOff>
      <xdr:row>22</xdr:row>
      <xdr:rowOff>76200</xdr:rowOff>
    </xdr:from>
    <xdr:to>
      <xdr:col>12</xdr:col>
      <xdr:colOff>581025</xdr:colOff>
      <xdr:row>22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810500" y="3448050"/>
          <a:ext cx="2190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57150</xdr:colOff>
      <xdr:row>51</xdr:row>
      <xdr:rowOff>157162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943600" y="565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9525</xdr:colOff>
      <xdr:row>11</xdr:row>
      <xdr:rowOff>128587</xdr:rowOff>
    </xdr:from>
    <xdr:ext cx="2876550" cy="4143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2447925" y="2062162"/>
              <a:ext cx="2876550" cy="41433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𝑺𝑻𝑨𝑻𝑰𝑪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𝟖𝟓</m:t>
                    </m:r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𝑷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𝝆</m:t>
                            </m:r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𝑨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p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  <m: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𝒔𝒑𝒊𝒏𝒏𝒆𝒓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𝑨</m:t>
                                </m:r>
                              </m:e>
                              <m: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447925" y="2062162"/>
              <a:ext cx="2876550" cy="41433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𝑻_𝑺𝑻𝑨𝑻𝑰𝑪=𝟎.𝟖𝟓𝑷^(𝟐/𝟑)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(𝟐𝝆𝑨_𝟐 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1" i="0">
                  <a:latin typeface="Cambria Math" panose="02040503050406030204" pitchFamily="18" charset="0"/>
                </a:rPr>
                <a:t>𝟏/𝟑) (𝟏−𝑨_𝒔𝒑𝒊𝒏𝒏𝒆𝒓/𝑨_𝟐 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219075</xdr:colOff>
      <xdr:row>24</xdr:row>
      <xdr:rowOff>28576</xdr:rowOff>
    </xdr:from>
    <xdr:ext cx="3000376" cy="219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828675" y="4572001"/>
              <a:ext cx="3000376" cy="21907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1" i="0">
                      <a:latin typeface="Cambria Math" panose="02040503050406030204" pitchFamily="18" charset="0"/>
                    </a:rPr>
                    <m:t>𝐓𝐡𝐫𝐮𝐬𝐭</m:t>
                  </m:r>
                  <m:r>
                    <a:rPr lang="en-US" sz="1100" b="1" i="0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1" i="0">
                      <a:latin typeface="Cambria Math" panose="02040503050406030204" pitchFamily="18" charset="0"/>
                    </a:rPr>
                    <m:t>𝐞𝐪𝐮𝐚𝐭𝐢𝐨𝐧</m:t>
                  </m:r>
                  <m:r>
                    <a:rPr lang="en-US" sz="1100" b="1" i="0">
                      <a:latin typeface="Cambria Math" panose="02040503050406030204" pitchFamily="18" charset="0"/>
                    </a:rPr>
                    <m:t>:</m:t>
                  </m:r>
                  <m:r>
                    <a:rPr lang="en-US" sz="1100" b="1" i="0">
                      <a:latin typeface="Cambria Math" panose="02040503050406030204" pitchFamily="18" charset="0"/>
                    </a:rPr>
                    <m:t>𝐓</m:t>
                  </m:r>
                  <m:d>
                    <m:d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100" b="1" i="0">
                          <a:latin typeface="Cambria Math" panose="02040503050406030204" pitchFamily="18" charset="0"/>
                        </a:rPr>
                        <m:t>𝐕</m:t>
                      </m:r>
                    </m:e>
                  </m:d>
                  <m:r>
                    <a:rPr lang="en-US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1" i="0">
                      <a:latin typeface="Cambria Math" panose="02040503050406030204" pitchFamily="18" charset="0"/>
                    </a:rPr>
                    <m:t>𝐀</m:t>
                  </m:r>
                  <m:sSup>
                    <m:sSup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𝑽</m:t>
                      </m:r>
                    </m:e>
                    <m:sup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𝟑</m:t>
                      </m:r>
                    </m:sup>
                  </m:sSup>
                  <m:r>
                    <a:rPr lang="en-US" sz="1100" b="1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1" i="1">
                      <a:latin typeface="Cambria Math" panose="02040503050406030204" pitchFamily="18" charset="0"/>
                    </a:rPr>
                    <m:t>𝑩</m:t>
                  </m:r>
                  <m:sSup>
                    <m:sSup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𝑽</m:t>
                      </m:r>
                    </m:e>
                    <m:sup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𝟐</m:t>
                      </m:r>
                    </m:sup>
                  </m:sSup>
                  <m:r>
                    <a:rPr lang="en-US" sz="1100" b="1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1" i="1">
                      <a:latin typeface="Cambria Math" panose="02040503050406030204" pitchFamily="18" charset="0"/>
                    </a:rPr>
                    <m:t>𝑪𝑽</m:t>
                  </m:r>
                  <m:r>
                    <a:rPr lang="en-US" sz="1100" b="1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1" i="1">
                      <a:latin typeface="Cambria Math" panose="02040503050406030204" pitchFamily="18" charset="0"/>
                    </a:rPr>
                    <m:t>𝑫</m:t>
                  </m:r>
                </m:oMath>
              </a14:m>
              <a:r>
                <a:rPr lang="en-US" sz="1100" i="0"/>
                <a:t> </a:t>
              </a:r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828675" y="4572001"/>
              <a:ext cx="3000376" cy="219074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𝐓𝐡𝐫𝐮𝐬𝐭 𝐞𝐪𝐮𝐚𝐭𝐢𝐨𝐧:𝐓(𝐕)=𝐀𝑽^𝟑+𝑩𝑽^𝟐+𝑪𝑽+𝑫</a:t>
              </a:r>
              <a:r>
                <a:rPr lang="en-US" sz="1100" i="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114300</xdr:colOff>
      <xdr:row>6</xdr:row>
      <xdr:rowOff>14287</xdr:rowOff>
    </xdr:from>
    <xdr:ext cx="3448050" cy="8048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4381500" y="966787"/>
              <a:ext cx="3448050" cy="80486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e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e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2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𝟎</m:t>
                                  </m:r>
                                </m:e>
                              </m:mr>
                            </m:m>
                          </m:e>
                        </m:mr>
                        <m:mr>
                          <m:e>
                            <m:sSup>
                              <m:sSupPr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𝑽</m:t>
                                    </m:r>
                                  </m:e>
                                  <m:sub>
                                    <m:r>
                                      <a:rPr lang="en-US" sz="11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𝑪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𝟑</m:t>
                                </m:r>
                              </m:sup>
                            </m:sSup>
                          </m:e>
                          <m:e>
                            <m:sSup>
                              <m:sSupPr>
                                <m:ctrlPr>
                                  <a:rPr kumimoji="0" lang="en-US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kumimoji="0" lang="en-US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n-US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𝑽</m:t>
                                    </m:r>
                                  </m:e>
                                  <m:sub>
                                    <m:r>
                                      <a:rPr kumimoji="0" lang="en-US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𝑪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kumimoji="0" lang="en-US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2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sSub>
                                    <m:sSubPr>
                                      <m:ctrlP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𝑽</m:t>
                                      </m:r>
                                    </m:e>
                                    <m:sub>
                                      <m: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𝑪</m:t>
                                      </m:r>
                                    </m:sub>
                                  </m:sSub>
                                </m:e>
                                <m:e>
                                  <m: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𝟏</m:t>
                                  </m:r>
                                </m:e>
                              </m:mr>
                            </m:m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sSup>
                                    <m:sSupPr>
                                      <m:ctrlPr>
                                        <a:rPr kumimoji="0" lang="en-US" sz="11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sSub>
                                        <m:sSubPr>
                                          <m:ctrlP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𝟑</m:t>
                                          </m:r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𝑽</m:t>
                                          </m:r>
                                        </m:e>
                                        <m:sub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𝑪</m:t>
                                          </m:r>
                                        </m:sub>
                                      </m:sSub>
                                    </m:e>
                                    <m:sup>
                                      <m:r>
                                        <a:rPr kumimoji="0" lang="en-US" sz="11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𝟐</m:t>
                                      </m:r>
                                    </m:sup>
                                  </m:sSup>
                                </m:e>
                              </m:mr>
                              <m:mr>
                                <m:e>
                                  <m:sSup>
                                    <m:sSupPr>
                                      <m:ctrlPr>
                                        <a:rPr kumimoji="0" lang="en-US" sz="11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sSub>
                                        <m:sSubPr>
                                          <m:ctrlP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𝑽</m:t>
                                          </m:r>
                                        </m:e>
                                        <m:sub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𝑯</m:t>
                                          </m:r>
                                        </m:sub>
                                      </m:sSub>
                                    </m:e>
                                    <m:sup>
                                      <m:r>
                                        <a:rPr kumimoji="0" lang="en-US" sz="11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𝟑</m:t>
                                      </m:r>
                                    </m:sup>
                                  </m:sSup>
                                </m:e>
                              </m:mr>
                            </m:m>
                          </m:e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𝟐</m:t>
                                  </m:r>
                                  <m:sSub>
                                    <m:sSubPr>
                                      <m:ctrlP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𝑽</m:t>
                                      </m:r>
                                    </m:e>
                                    <m:sub>
                                      <m: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𝑪</m:t>
                                      </m:r>
                                    </m:sub>
                                  </m:sSub>
                                </m:e>
                              </m:mr>
                              <m:mr>
                                <m:e>
                                  <m:sSup>
                                    <m:sSupPr>
                                      <m:ctrlPr>
                                        <a:rPr kumimoji="0" lang="en-US" sz="11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sSub>
                                        <m:sSubPr>
                                          <m:ctrlP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𝑽</m:t>
                                          </m:r>
                                        </m:e>
                                        <m:sub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𝑯</m:t>
                                          </m:r>
                                        </m:sub>
                                      </m:sSub>
                                    </m:e>
                                    <m:sup>
                                      <m:r>
                                        <a:rPr kumimoji="0" lang="en-US" sz="11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𝟐</m:t>
                                      </m:r>
                                    </m:sup>
                                  </m:sSup>
                                </m:e>
                              </m:mr>
                            </m:m>
                          </m:e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en-US" sz="1100" b="1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𝟏</m:t>
                                        </m:r>
                                      </m:e>
                                      <m:e>
                                        <m:r>
                                          <a:rPr lang="en-US" sz="1100" b="1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𝟎</m:t>
                                        </m:r>
                                      </m:e>
                                    </m:mr>
                                  </m:m>
                                </m:e>
                              </m:m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2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100" b="1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1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1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𝑽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1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𝑯</m:t>
                                            </m:r>
                                          </m:sub>
                                        </m:sSub>
                                      </m:e>
                                      <m:e>
                                        <m:r>
                                          <a:rPr lang="en-US" sz="1100" b="1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𝟏</m:t>
                                        </m:r>
                                      </m:e>
                                    </m:mr>
                                  </m:m>
                                </m:e>
                              </m:mr>
                            </m:m>
                          </m:e>
                        </m:mr>
                      </m:m>
                    </m:e>
                  </m:d>
                  <m:r>
                    <a:rPr lang="en-US" sz="1100" b="1" i="1">
                      <a:latin typeface="Cambria Math" panose="02040503050406030204" pitchFamily="18" charset="0"/>
                    </a:rPr>
                    <m:t> </m:t>
                  </m:r>
                  <m:d>
                    <m:dPr>
                      <m:begChr m:val="{"/>
                      <m:endChr m:val="}"/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100" b="1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e>
                        </m:mr>
                        <m:m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𝑪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𝑫</m:t>
                                  </m:r>
                                </m:e>
                              </m:mr>
                            </m:m>
                          </m:e>
                        </m:mr>
                      </m:m>
                    </m:e>
                  </m:d>
                  <m:r>
                    <a:rPr lang="en-US" sz="1100" b="1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}"/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100" b="1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𝑻</m:t>
                                </m:r>
                              </m:e>
                              <m: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𝑺𝑻𝑨𝑻𝑰𝑪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𝑻</m:t>
                                </m:r>
                              </m:e>
                              <m: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  <m:t>𝑪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1100" b="1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l-GR" sz="1100" b="1" i="1">
                                          <a:latin typeface="Cambria Math" panose="02040503050406030204" pitchFamily="18" charset="0"/>
                                        </a:rPr>
                                        <m:t>𝜼</m:t>
                                      </m:r>
                                    </m:e>
                                    <m:sub>
                                      <m:r>
                                        <a:rPr lang="en-US" sz="1100" b="1" i="1">
                                          <a:latin typeface="Cambria Math" panose="02040503050406030204" pitchFamily="18" charset="0"/>
                                        </a:rPr>
                                        <m:t>𝒑</m:t>
                                      </m:r>
                                    </m:sub>
                                  </m:sSub>
                                  <m:r>
                                    <m:rPr>
                                      <m:brk m:alnAt="7"/>
                                    </m:rP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𝒙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𝟑𝟐𝟓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.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𝟖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𝒙</m:t>
                                  </m:r>
                                  <m:r>
                                    <a:rPr lang="en-US" sz="1100" b="1" i="1"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f>
                                    <m:fPr>
                                      <m:type m:val="skw"/>
                                      <m:ctrlPr>
                                        <a:rPr lang="en-US" sz="1100" b="1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sSub>
                                        <m:sSubPr>
                                          <m:ctrlP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𝑷</m:t>
                                          </m:r>
                                        </m:e>
                                        <m:sub>
                                          <m:r>
                                            <a:rPr kumimoji="0" lang="en-US" sz="1100" b="1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𝑩𝑯𝑷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sSup>
                                        <m:sSupPr>
                                          <m:ctrlPr>
                                            <a:rPr lang="en-US" sz="1100" b="1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p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1" i="1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1" i="1">
                                                  <a:latin typeface="Cambria Math" panose="02040503050406030204" pitchFamily="18" charset="0"/>
                                                </a:rPr>
                                                <m:t>𝑽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1" i="1">
                                                  <a:latin typeface="Cambria Math" panose="02040503050406030204" pitchFamily="18" charset="0"/>
                                                </a:rPr>
                                                <m:t>𝑪</m:t>
                                              </m:r>
                                            </m:sub>
                                          </m:sSub>
                                        </m:e>
                                        <m:sup>
                                          <m:r>
                                            <a:rPr lang="en-US" sz="1100" b="1" i="1">
                                              <a:latin typeface="Cambria Math" panose="02040503050406030204" pitchFamily="18" charset="0"/>
                                            </a:rPr>
                                            <m:t>𝟐</m:t>
                                          </m:r>
                                        </m:sup>
                                      </m:sSup>
                                    </m:den>
                                  </m:f>
                                </m:e>
                              </m:mr>
                              <m:mr>
                                <m:e>
                                  <m:sSub>
                                    <m:sSubPr>
                                      <m:ctrlPr>
                                        <a:rPr lang="en-US" sz="1100" b="1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1" i="1">
                                          <a:latin typeface="Cambria Math" panose="02040503050406030204" pitchFamily="18" charset="0"/>
                                        </a:rPr>
                                        <m:t>𝑻</m:t>
                                      </m:r>
                                    </m:e>
                                    <m:sub>
                                      <m:r>
                                        <a:rPr lang="en-US" sz="1100" b="1" i="1">
                                          <a:latin typeface="Cambria Math" panose="02040503050406030204" pitchFamily="18" charset="0"/>
                                        </a:rPr>
                                        <m:t>𝑯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mr>
                      </m:m>
                    </m:e>
                  </m:d>
                </m:oMath>
              </a14:m>
              <a:r>
                <a:rPr lang="en-US" sz="1100"/>
                <a:t>  </a:t>
              </a: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4381500" y="966787"/>
              <a:ext cx="3448050" cy="80486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[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)@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〖𝑽_𝑪〗^𝟑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〖𝑽_𝑪〗^𝟐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&amp;■8(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𝑽_𝑪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)@■8(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〖〖𝟑𝑽〗_𝑪〗^𝟐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@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〖𝑽_𝑯〗^𝟑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)&amp;■8(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𝟐𝑽_𝑪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〖𝑽_𝑯〗^𝟐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)&amp;■8(■8(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)@■8(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𝑽_𝑯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 </a:t>
              </a:r>
              <a:r>
                <a:rPr lang="en-US" sz="1100" b="1" i="0">
                  <a:latin typeface="Cambria Math" panose="02040503050406030204" pitchFamily="18" charset="0"/>
                </a:rPr>
                <a:t> {■8(𝑨@𝑩@■8(𝑪@𝑫))}={■8(𝑻_𝑺𝑻𝑨𝑻𝑰𝑪@𝑻_𝑪@■8(−</a:t>
              </a:r>
              <a:r>
                <a:rPr lang="el-GR" sz="1100" b="1" i="0">
                  <a:latin typeface="Cambria Math" panose="02040503050406030204" pitchFamily="18" charset="0"/>
                </a:rPr>
                <a:t>𝜼</a:t>
              </a:r>
              <a:r>
                <a:rPr lang="en-US" sz="1100" b="1" i="0">
                  <a:latin typeface="Cambria Math" panose="02040503050406030204" pitchFamily="18" charset="0"/>
                </a:rPr>
                <a:t>_𝒑  𝒙 𝟑𝟐𝟓.𝟖 𝒙 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𝑷_𝑩𝑯𝑷⁄〖</a:t>
              </a:r>
              <a:r>
                <a:rPr lang="en-US" sz="1100" b="1" i="0">
                  <a:latin typeface="Cambria Math" panose="02040503050406030204" pitchFamily="18" charset="0"/>
                </a:rPr>
                <a:t>𝑽_𝑪〗^𝟐 @𝑻_𝑯 ))}</a:t>
              </a:r>
              <a:r>
                <a:rPr lang="en-US" sz="1100"/>
                <a:t>  </a:t>
              </a:r>
            </a:p>
          </xdr:txBody>
        </xdr:sp>
      </mc:Fallback>
    </mc:AlternateContent>
    <xdr:clientData/>
  </xdr:oneCellAnchor>
  <xdr:twoCellAnchor>
    <xdr:from>
      <xdr:col>9</xdr:col>
      <xdr:colOff>449792</xdr:colOff>
      <xdr:row>9</xdr:row>
      <xdr:rowOff>115358</xdr:rowOff>
    </xdr:from>
    <xdr:to>
      <xdr:col>9</xdr:col>
      <xdr:colOff>535517</xdr:colOff>
      <xdr:row>10</xdr:row>
      <xdr:rowOff>176741</xdr:rowOff>
    </xdr:to>
    <xdr:sp macro="" textlink="">
      <xdr:nvSpPr>
        <xdr:cNvPr id="25" name="Up Arr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889625" y="2073275"/>
          <a:ext cx="85725" cy="2836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438150</xdr:colOff>
      <xdr:row>7</xdr:row>
      <xdr:rowOff>19050</xdr:rowOff>
    </xdr:from>
    <xdr:to>
      <xdr:col>12</xdr:col>
      <xdr:colOff>685800</xdr:colOff>
      <xdr:row>7</xdr:row>
      <xdr:rowOff>104775</xdr:rowOff>
    </xdr:to>
    <xdr:sp macro="" textlink="">
      <xdr:nvSpPr>
        <xdr:cNvPr id="27" name="Left Arrow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020050" y="1162050"/>
          <a:ext cx="247650" cy="85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8</xdr:row>
      <xdr:rowOff>85725</xdr:rowOff>
    </xdr:from>
    <xdr:to>
      <xdr:col>6</xdr:col>
      <xdr:colOff>552450</xdr:colOff>
      <xdr:row>8</xdr:row>
      <xdr:rowOff>152400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924300" y="1419225"/>
          <a:ext cx="28575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352425</xdr:colOff>
      <xdr:row>12</xdr:row>
      <xdr:rowOff>66675</xdr:rowOff>
    </xdr:from>
    <xdr:to>
      <xdr:col>4</xdr:col>
      <xdr:colOff>0</xdr:colOff>
      <xdr:row>12</xdr:row>
      <xdr:rowOff>123825</xdr:rowOff>
    </xdr:to>
    <xdr:sp macro="" textlink="">
      <xdr:nvSpPr>
        <xdr:cNvPr id="29" name="Right Arrow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181225" y="2219325"/>
          <a:ext cx="2571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41274</xdr:colOff>
      <xdr:row>25</xdr:row>
      <xdr:rowOff>105302</xdr:rowOff>
    </xdr:from>
    <xdr:to>
      <xdr:col>11</xdr:col>
      <xdr:colOff>730250</xdr:colOff>
      <xdr:row>43</xdr:row>
      <xdr:rowOff>5291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57150</xdr:colOff>
      <xdr:row>89</xdr:row>
      <xdr:rowOff>157162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6076950" y="6043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14</xdr:col>
      <xdr:colOff>8466</xdr:colOff>
      <xdr:row>29</xdr:row>
      <xdr:rowOff>12170</xdr:rowOff>
    </xdr:from>
    <xdr:to>
      <xdr:col>23</xdr:col>
      <xdr:colOff>253999</xdr:colOff>
      <xdr:row>46</xdr:row>
      <xdr:rowOff>106892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190499</xdr:colOff>
      <xdr:row>19</xdr:row>
      <xdr:rowOff>76199</xdr:rowOff>
    </xdr:from>
    <xdr:to>
      <xdr:col>13</xdr:col>
      <xdr:colOff>390524</xdr:colOff>
      <xdr:row>22</xdr:row>
      <xdr:rowOff>142874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601074" y="3857624"/>
          <a:ext cx="200025" cy="638175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85724</xdr:colOff>
      <xdr:row>21</xdr:row>
      <xdr:rowOff>14287</xdr:rowOff>
    </xdr:from>
    <xdr:to>
      <xdr:col>13</xdr:col>
      <xdr:colOff>104775</xdr:colOff>
      <xdr:row>24</xdr:row>
      <xdr:rowOff>104775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8496299" y="4176712"/>
          <a:ext cx="19051" cy="66198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24</xdr:row>
      <xdr:rowOff>104775</xdr:rowOff>
    </xdr:from>
    <xdr:to>
      <xdr:col>13</xdr:col>
      <xdr:colOff>104775</xdr:colOff>
      <xdr:row>24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3905250" y="4838700"/>
          <a:ext cx="461010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62</xdr:row>
      <xdr:rowOff>180975</xdr:rowOff>
    </xdr:from>
    <xdr:to>
      <xdr:col>6</xdr:col>
      <xdr:colOff>590550</xdr:colOff>
      <xdr:row>65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38125" y="13220700"/>
          <a:ext cx="4010025" cy="51435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3ds Light" panose="02000503020000020004" pitchFamily="50" charset="0"/>
            </a:rPr>
            <a:t>COMPARE THE VALUES OF</a:t>
          </a:r>
          <a:r>
            <a:rPr lang="en-US" sz="1200" baseline="0">
              <a:latin typeface="3ds Light" panose="02000503020000020004" pitchFamily="50" charset="0"/>
            </a:rPr>
            <a:t> S</a:t>
          </a:r>
          <a:r>
            <a:rPr lang="en-US" sz="1200" baseline="-25000">
              <a:latin typeface="3ds Light" panose="02000503020000020004" pitchFamily="50" charset="0"/>
            </a:rPr>
            <a:t>G</a:t>
          </a:r>
          <a:r>
            <a:rPr lang="en-US" sz="1200" baseline="0">
              <a:latin typeface="3ds Light" panose="02000503020000020004" pitchFamily="50" charset="0"/>
            </a:rPr>
            <a:t> FOR THE THREE METHODS. METHOD 1 IS THE MOST ACCURATE.!!!!!</a:t>
          </a:r>
          <a:endParaRPr lang="en-US" sz="1200">
            <a:latin typeface="3ds Light" panose="02000503020000020004" pitchFamily="50" charset="0"/>
          </a:endParaRPr>
        </a:p>
      </xdr:txBody>
    </xdr:sp>
    <xdr:clientData/>
  </xdr:twoCellAnchor>
  <xdr:twoCellAnchor>
    <xdr:from>
      <xdr:col>13</xdr:col>
      <xdr:colOff>523875</xdr:colOff>
      <xdr:row>1</xdr:row>
      <xdr:rowOff>9525</xdr:rowOff>
    </xdr:from>
    <xdr:to>
      <xdr:col>13</xdr:col>
      <xdr:colOff>600075</xdr:colOff>
      <xdr:row>17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934450" y="200025"/>
          <a:ext cx="76200" cy="3552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16</xdr:row>
      <xdr:rowOff>219075</xdr:rowOff>
    </xdr:from>
    <xdr:to>
      <xdr:col>21</xdr:col>
      <xdr:colOff>95250</xdr:colOff>
      <xdr:row>17</xdr:row>
      <xdr:rowOff>47625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953500" y="3695700"/>
          <a:ext cx="4552950" cy="57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47</xdr:row>
      <xdr:rowOff>76200</xdr:rowOff>
    </xdr:from>
    <xdr:to>
      <xdr:col>7</xdr:col>
      <xdr:colOff>247650</xdr:colOff>
      <xdr:row>47</xdr:row>
      <xdr:rowOff>133350</xdr:rowOff>
    </xdr:to>
    <xdr:sp macro="" textlink="">
      <xdr:nvSpPr>
        <xdr:cNvPr id="14" name="Round Same Side Corner 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525" y="9791700"/>
          <a:ext cx="4505325" cy="571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47</xdr:row>
      <xdr:rowOff>76200</xdr:rowOff>
    </xdr:from>
    <xdr:to>
      <xdr:col>7</xdr:col>
      <xdr:colOff>245744</xdr:colOff>
      <xdr:row>86</xdr:row>
      <xdr:rowOff>123825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467225" y="9791700"/>
          <a:ext cx="45719" cy="846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66</xdr:row>
      <xdr:rowOff>116206</xdr:rowOff>
    </xdr:from>
    <xdr:to>
      <xdr:col>7</xdr:col>
      <xdr:colOff>228600</xdr:colOff>
      <xdr:row>66</xdr:row>
      <xdr:rowOff>161925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13956031"/>
          <a:ext cx="4495800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</xdr:rowOff>
    </xdr:from>
    <xdr:to>
      <xdr:col>4</xdr:col>
      <xdr:colOff>790575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0" y="9525"/>
          <a:ext cx="2847975" cy="485775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CLIMB</a:t>
          </a:r>
          <a:r>
            <a:rPr lang="en-US" sz="2000" baseline="0"/>
            <a:t> ANALYSIS</a:t>
          </a:r>
          <a:endParaRPr lang="en-US" sz="2000"/>
        </a:p>
      </xdr:txBody>
    </xdr:sp>
    <xdr:clientData/>
  </xdr:twoCellAnchor>
  <xdr:twoCellAnchor>
    <xdr:from>
      <xdr:col>6</xdr:col>
      <xdr:colOff>19049</xdr:colOff>
      <xdr:row>0</xdr:row>
      <xdr:rowOff>33337</xdr:rowOff>
    </xdr:from>
    <xdr:to>
      <xdr:col>16</xdr:col>
      <xdr:colOff>542924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</xdr:colOff>
      <xdr:row>16</xdr:row>
      <xdr:rowOff>85725</xdr:rowOff>
    </xdr:from>
    <xdr:to>
      <xdr:col>17</xdr:col>
      <xdr:colOff>152400</xdr:colOff>
      <xdr:row>33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85725</xdr:colOff>
      <xdr:row>34</xdr:row>
      <xdr:rowOff>19049</xdr:rowOff>
    </xdr:from>
    <xdr:to>
      <xdr:col>14</xdr:col>
      <xdr:colOff>333375</xdr:colOff>
      <xdr:row>49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9526</xdr:colOff>
      <xdr:row>69</xdr:row>
      <xdr:rowOff>90487</xdr:rowOff>
    </xdr:from>
    <xdr:to>
      <xdr:col>9</xdr:col>
      <xdr:colOff>38100</xdr:colOff>
      <xdr:row>86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0.34514</cdr:x>
      <cdr:y>0.48556</cdr:y>
    </cdr:from>
    <cdr:to>
      <cdr:x>0.65347</cdr:x>
      <cdr:y>0.65173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B57E6FA-53AB-4B7D-8874-3FD73D54FB98}"/>
            </a:ext>
          </a:extLst>
        </cdr:cNvPr>
        <cdr:cNvSpPr txBox="1"/>
      </cdr:nvSpPr>
      <cdr:spPr>
        <a:xfrm xmlns:a="http://schemas.openxmlformats.org/drawingml/2006/main">
          <a:off x="2360414" y="1604852"/>
          <a:ext cx="2108654" cy="549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max excess</a:t>
          </a:r>
          <a:r>
            <a:rPr lang="en-US" sz="1100" baseline="0"/>
            <a:t> </a:t>
          </a:r>
          <a:r>
            <a:rPr lang="en-US" sz="1100"/>
            <a:t>power</a:t>
          </a:r>
        </a:p>
        <a:p xmlns:a="http://schemas.openxmlformats.org/drawingml/2006/main">
          <a:r>
            <a:rPr lang="en-US" sz="1100"/>
            <a:t>= max ROC</a:t>
          </a:r>
        </a:p>
      </cdr:txBody>
    </cdr:sp>
  </cdr:relSizeAnchor>
  <cdr:relSizeAnchor xmlns:cdr="http://schemas.openxmlformats.org/drawingml/2006/chartDrawing">
    <cdr:from>
      <cdr:x>0.42851</cdr:x>
      <cdr:y>0.44669</cdr:y>
    </cdr:from>
    <cdr:to>
      <cdr:x>0.42897</cdr:x>
      <cdr:y>0.50724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91DE12F1-B2B9-4BD3-80B7-14271E8BD7D2}"/>
            </a:ext>
          </a:extLst>
        </cdr:cNvPr>
        <cdr:cNvCxnSpPr/>
      </cdr:nvCxnSpPr>
      <cdr:spPr>
        <a:xfrm xmlns:a="http://schemas.openxmlformats.org/drawingml/2006/main" flipV="1">
          <a:off x="2930532" y="1476375"/>
          <a:ext cx="3169" cy="20015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0.4299</cdr:x>
      <cdr:y>0.58301</cdr:y>
    </cdr:from>
    <cdr:to>
      <cdr:x>0.4299</cdr:x>
      <cdr:y>0.7099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F46E12DD-4749-455A-9FFC-1A37D1354293}"/>
            </a:ext>
          </a:extLst>
        </cdr:cNvPr>
        <cdr:cNvCxnSpPr/>
      </cdr:nvCxnSpPr>
      <cdr:spPr>
        <a:xfrm xmlns:a="http://schemas.openxmlformats.org/drawingml/2006/main">
          <a:off x="2940056" y="1926943"/>
          <a:ext cx="0" cy="419394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152400</xdr:rowOff>
    </xdr:from>
    <xdr:to>
      <xdr:col>4</xdr:col>
      <xdr:colOff>114300</xdr:colOff>
      <xdr:row>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3375" y="152400"/>
          <a:ext cx="2219325" cy="485775"/>
        </a:xfrm>
        <a:prstGeom prst="rect">
          <a:avLst/>
        </a:prstGeom>
        <a:solidFill>
          <a:schemeClr val="bg1">
            <a:lumMod val="75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CRUISE ANALYSIS</a:t>
          </a:r>
        </a:p>
      </xdr:txBody>
    </xdr:sp>
    <xdr:clientData/>
  </xdr:twoCellAnchor>
  <xdr:twoCellAnchor>
    <xdr:from>
      <xdr:col>15</xdr:col>
      <xdr:colOff>142875</xdr:colOff>
      <xdr:row>12</xdr:row>
      <xdr:rowOff>33337</xdr:rowOff>
    </xdr:from>
    <xdr:to>
      <xdr:col>22</xdr:col>
      <xdr:colOff>447675</xdr:colOff>
      <xdr:row>28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12</xdr:row>
      <xdr:rowOff>4762</xdr:rowOff>
    </xdr:from>
    <xdr:to>
      <xdr:col>15</xdr:col>
      <xdr:colOff>104775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12</xdr:row>
      <xdr:rowOff>71436</xdr:rowOff>
    </xdr:from>
    <xdr:to>
      <xdr:col>7</xdr:col>
      <xdr:colOff>304801</xdr:colOff>
      <xdr:row>28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104775</xdr:colOff>
      <xdr:row>18</xdr:row>
      <xdr:rowOff>0</xdr:rowOff>
    </xdr:from>
    <xdr:to>
      <xdr:col>5</xdr:col>
      <xdr:colOff>419100</xdr:colOff>
      <xdr:row>18</xdr:row>
      <xdr:rowOff>123825</xdr:rowOff>
    </xdr:to>
    <xdr:sp macro="" textlink="">
      <xdr:nvSpPr>
        <xdr:cNvPr id="6" name="Chevro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152775" y="3543300"/>
          <a:ext cx="314325" cy="1238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18</xdr:row>
      <xdr:rowOff>66675</xdr:rowOff>
    </xdr:from>
    <xdr:to>
      <xdr:col>4</xdr:col>
      <xdr:colOff>333375</xdr:colOff>
      <xdr:row>19</xdr:row>
      <xdr:rowOff>0</xdr:rowOff>
    </xdr:to>
    <xdr:sp macro="" textlink="">
      <xdr:nvSpPr>
        <xdr:cNvPr id="7" name="Chevro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0800000">
          <a:off x="2457450" y="3609975"/>
          <a:ext cx="314325" cy="1238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609599</xdr:colOff>
      <xdr:row>31</xdr:row>
      <xdr:rowOff>52387</xdr:rowOff>
    </xdr:from>
    <xdr:to>
      <xdr:col>18</xdr:col>
      <xdr:colOff>47624</xdr:colOff>
      <xdr:row>45</xdr:row>
      <xdr:rowOff>100012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45</xdr:row>
      <xdr:rowOff>171450</xdr:rowOff>
    </xdr:from>
    <xdr:to>
      <xdr:col>9</xdr:col>
      <xdr:colOff>133350</xdr:colOff>
      <xdr:row>68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524500" y="8982075"/>
          <a:ext cx="95250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123825</xdr:colOff>
      <xdr:row>45</xdr:row>
      <xdr:rowOff>171450</xdr:rowOff>
    </xdr:from>
    <xdr:to>
      <xdr:col>20</xdr:col>
      <xdr:colOff>0</xdr:colOff>
      <xdr:row>46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610225" y="8982075"/>
          <a:ext cx="6581775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0.6618</cdr:x>
      <cdr:y>0.22309</cdr:y>
    </cdr:from>
    <cdr:to>
      <cdr:x>0.96868</cdr:x>
      <cdr:y>0.41342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15B3864-AAB4-476B-BFC7-C2CADD0C60AE}"/>
            </a:ext>
          </a:extLst>
        </cdr:cNvPr>
        <cdr:cNvSpPr txBox="1"/>
      </cdr:nvSpPr>
      <cdr:spPr>
        <a:xfrm xmlns:a="http://schemas.openxmlformats.org/drawingml/2006/main">
          <a:off x="3019425" y="681039"/>
          <a:ext cx="1400175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rapid</a:t>
          </a:r>
          <a:r>
            <a:rPr lang="en-US" sz="1100" baseline="0"/>
            <a:t> rise in zero-lift drag (speed stability)</a:t>
          </a:r>
          <a:endParaRPr lang="en-US" sz="1100"/>
        </a:p>
      </cdr:txBody>
    </cdr:sp>
  </cdr:relSizeAnchor>
  <cdr:relSizeAnchor xmlns:cdr="http://schemas.openxmlformats.org/drawingml/2006/chartDrawing">
    <cdr:from>
      <cdr:x>0.38622</cdr:x>
      <cdr:y>0.21997</cdr:y>
    </cdr:from>
    <cdr:to>
      <cdr:x>0.64092</cdr:x>
      <cdr:y>0.35413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C64DCB9-F453-441B-A19B-2079DE76C6E2}"/>
            </a:ext>
          </a:extLst>
        </cdr:cNvPr>
        <cdr:cNvSpPr txBox="1"/>
      </cdr:nvSpPr>
      <cdr:spPr>
        <a:xfrm xmlns:a="http://schemas.openxmlformats.org/drawingml/2006/main">
          <a:off x="1762126" y="671514"/>
          <a:ext cx="1162050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0.41545</cdr:x>
      <cdr:y>0.24805</cdr:y>
    </cdr:from>
    <cdr:to>
      <cdr:x>0.65136</cdr:x>
      <cdr:y>0.34477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B69683F-3454-4126-BCD5-E015C00E4FE1}"/>
            </a:ext>
          </a:extLst>
        </cdr:cNvPr>
        <cdr:cNvSpPr txBox="1"/>
      </cdr:nvSpPr>
      <cdr:spPr>
        <a:xfrm xmlns:a="http://schemas.openxmlformats.org/drawingml/2006/main">
          <a:off x="1895475" y="757239"/>
          <a:ext cx="10763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0.35282</cdr:x>
      <cdr:y>0.21997</cdr:y>
    </cdr:from>
    <cdr:to>
      <cdr:x>0.65762</cdr:x>
      <cdr:y>0.45086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4831139-9E20-43BA-A936-0B6D341FF678}"/>
            </a:ext>
          </a:extLst>
        </cdr:cNvPr>
        <cdr:cNvSpPr txBox="1"/>
      </cdr:nvSpPr>
      <cdr:spPr>
        <a:xfrm xmlns:a="http://schemas.openxmlformats.org/drawingml/2006/main">
          <a:off x="1609725" y="671514"/>
          <a:ext cx="1390650" cy="704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rapid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rise in lift-induced drag (speed instability)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7</xdr:row>
      <xdr:rowOff>61911</xdr:rowOff>
    </xdr:from>
    <xdr:to>
      <xdr:col>16</xdr:col>
      <xdr:colOff>457200</xdr:colOff>
      <xdr:row>23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initial%20siz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MTOW &amp; WEIGHTS"/>
      <sheetName val="Sref and POWER SIZING"/>
      <sheetName val="PERFORMANCE SIZING "/>
      <sheetName val="Detailed Weights"/>
      <sheetName val="V-n"/>
      <sheetName val="Wing &amp; Airfoil"/>
      <sheetName val="Drag analysis"/>
      <sheetName val="Wing Structural"/>
    </sheetNames>
    <sheetDataSet>
      <sheetData sheetId="0"/>
      <sheetData sheetId="1">
        <row r="7">
          <cell r="B7">
            <v>4</v>
          </cell>
        </row>
        <row r="26">
          <cell r="B26">
            <v>0.5</v>
          </cell>
        </row>
      </sheetData>
      <sheetData sheetId="2">
        <row r="2">
          <cell r="B2">
            <v>2.3779999999999999E-3</v>
          </cell>
          <cell r="G2">
            <v>5561.01</v>
          </cell>
        </row>
        <row r="3">
          <cell r="G3">
            <v>4760.409492467239</v>
          </cell>
        </row>
        <row r="4">
          <cell r="B4">
            <v>10000</v>
          </cell>
        </row>
        <row r="10">
          <cell r="B10">
            <v>1.8</v>
          </cell>
        </row>
        <row r="17">
          <cell r="B17">
            <v>7.8</v>
          </cell>
        </row>
        <row r="26">
          <cell r="B26">
            <v>0.14962326466758191</v>
          </cell>
        </row>
        <row r="30">
          <cell r="B30">
            <v>0.04</v>
          </cell>
        </row>
        <row r="80">
          <cell r="H80">
            <v>23.951178858082848</v>
          </cell>
        </row>
        <row r="86">
          <cell r="K86">
            <v>2</v>
          </cell>
        </row>
        <row r="97">
          <cell r="M97">
            <v>2700</v>
          </cell>
        </row>
        <row r="103">
          <cell r="M103">
            <v>520</v>
          </cell>
        </row>
      </sheetData>
      <sheetData sheetId="3"/>
      <sheetData sheetId="4"/>
      <sheetData sheetId="5"/>
      <sheetData sheetId="6">
        <row r="25">
          <cell r="B25">
            <v>14</v>
          </cell>
          <cell r="H25">
            <v>6.9390000000000001E-4</v>
          </cell>
        </row>
        <row r="33">
          <cell r="M33">
            <v>0.75552604922347777</v>
          </cell>
        </row>
      </sheetData>
      <sheetData sheetId="7">
        <row r="15">
          <cell r="E15">
            <v>2.521994401080592E-2</v>
          </cell>
        </row>
      </sheetData>
      <sheetData sheetId="8"/>
    </sheetDataSet>
  </externalBook>
</externalLink>
</file>

<file path=xl/tables/table1.xml><?xml version="1.0" encoding="utf-8"?>
<table xmlns="http://schemas.openxmlformats.org/spreadsheetml/2006/main" id="1" name="Table1" displayName="Table1" ref="D4:G7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9:G12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4:G18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J3:L7" headerRowCount="0" totalsRowShown="0">
  <tableColumns count="3">
    <tableColumn id="1" name="Column1"/>
    <tableColumn id="2" name="Column2"/>
    <tableColumn id="3" name="Column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7" headerRowCount="0" totalsRowShown="0">
  <tableColumns count="2">
    <tableColumn id="1" name="Column1" dataDxfId="5" totalsRowDxfId="4"/>
    <tableColumn id="2" name="Column2" totalsRow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20:G23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7:H13" headerRowCount="0" totalsRowShown="0">
  <tableColumns count="3">
    <tableColumn id="1" name="Column1" dataDxfId="2"/>
    <tableColumn id="2" name="Column2"/>
    <tableColumn id="3" name="Column3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F2:J5" headerRowCount="0" totalsRowShown="0">
  <tableColumns count="5">
    <tableColumn id="1" name="Column1"/>
    <tableColumn id="2" name="Column2"/>
    <tableColumn id="3" name="Column3"/>
    <tableColumn id="4" name="Column4">
      <calculatedColumnFormula>G2*1.688</calculatedColumnFormula>
    </tableColumn>
    <tableColumn id="5" name="Column5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L2:N4" headerRowCount="0" totalsRowShown="0">
  <tableColumns count="3">
    <tableColumn id="1" name="Column1" headerRowDxfId="1" dataDxfId="0"/>
    <tableColumn id="2" name="Column2"/>
    <tableColumn id="3" name="Column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5.vml"/><Relationship Id="rId5" Type="http://schemas.openxmlformats.org/officeDocument/2006/relationships/comments" Target="../comments5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Y100"/>
  <sheetViews>
    <sheetView topLeftCell="A7" zoomScale="90" zoomScaleNormal="90" workbookViewId="0">
      <selection activeCell="P9" sqref="P9"/>
    </sheetView>
  </sheetViews>
  <sheetFormatPr defaultRowHeight="15" x14ac:dyDescent="0.25"/>
  <cols>
    <col min="7" max="8" width="9.140625" customWidth="1"/>
    <col min="9" max="9" width="8" customWidth="1"/>
    <col min="12" max="12" width="14.28515625" customWidth="1"/>
    <col min="13" max="13" width="12.42578125" customWidth="1"/>
    <col min="17" max="17" width="11" bestFit="1" customWidth="1"/>
  </cols>
  <sheetData>
    <row r="2" spans="1:20" x14ac:dyDescent="0.25">
      <c r="O2" s="29" t="s">
        <v>58</v>
      </c>
      <c r="P2" s="29"/>
      <c r="Q2" s="29"/>
    </row>
    <row r="3" spans="1:20" ht="18" x14ac:dyDescent="0.35">
      <c r="O3" s="34" t="s">
        <v>103</v>
      </c>
      <c r="P3">
        <f>1.2*P12</f>
        <v>123.5616</v>
      </c>
      <c r="Q3" t="s">
        <v>16</v>
      </c>
      <c r="R3" s="34" t="s">
        <v>67</v>
      </c>
      <c r="S3" s="70">
        <f>'[1]Sref and POWER SIZING'!$K$86</f>
        <v>2</v>
      </c>
    </row>
    <row r="4" spans="1:20" x14ac:dyDescent="0.25">
      <c r="O4" s="34" t="s">
        <v>60</v>
      </c>
      <c r="P4" s="9">
        <v>50</v>
      </c>
      <c r="Q4" t="s">
        <v>10</v>
      </c>
      <c r="R4" s="77" t="s">
        <v>68</v>
      </c>
      <c r="S4">
        <f>0.01*P11+0.02</f>
        <v>3.8000000000000006E-2</v>
      </c>
    </row>
    <row r="5" spans="1:20" ht="17.25" x14ac:dyDescent="0.3">
      <c r="B5" s="39" t="s">
        <v>84</v>
      </c>
      <c r="C5" s="39"/>
      <c r="D5" s="24" t="s">
        <v>98</v>
      </c>
      <c r="O5" s="34" t="s">
        <v>61</v>
      </c>
      <c r="P5" s="28">
        <f>'[1]Wing &amp; Airfoil'!$M$33</f>
        <v>0.75552604922347777</v>
      </c>
      <c r="R5" s="34" t="s">
        <v>69</v>
      </c>
      <c r="S5">
        <f>0.694*P11</f>
        <v>1.2491999999999999</v>
      </c>
    </row>
    <row r="6" spans="1:20" ht="18" x14ac:dyDescent="0.35">
      <c r="A6" t="s">
        <v>4</v>
      </c>
      <c r="O6" s="34" t="s">
        <v>220</v>
      </c>
      <c r="P6" s="28">
        <f>'[1]Drag analysis'!$E$15</f>
        <v>2.521994401080592E-2</v>
      </c>
      <c r="R6" s="34" t="s">
        <v>87</v>
      </c>
      <c r="S6">
        <f>M16</f>
        <v>0.14962326466758191</v>
      </c>
    </row>
    <row r="7" spans="1:20" ht="18" x14ac:dyDescent="0.35">
      <c r="A7" s="1" t="s">
        <v>5</v>
      </c>
      <c r="C7" s="28">
        <f>'[1]Sref and POWER SIZING'!$M$103</f>
        <v>520</v>
      </c>
      <c r="D7" t="s">
        <v>9</v>
      </c>
      <c r="E7" s="81" t="s">
        <v>41</v>
      </c>
      <c r="F7" s="9"/>
      <c r="G7" s="9"/>
      <c r="O7" s="34" t="s">
        <v>62</v>
      </c>
      <c r="P7" s="28">
        <f>1/(3.142*P8*P5)</f>
        <v>5.4006965223581664E-2</v>
      </c>
      <c r="R7" s="34" t="s">
        <v>88</v>
      </c>
      <c r="S7">
        <f>0.5*climb!B7*P3^2*R10*S6</f>
        <v>700.23622810291056</v>
      </c>
      <c r="T7" t="s">
        <v>11</v>
      </c>
    </row>
    <row r="8" spans="1:20" ht="18" x14ac:dyDescent="0.35">
      <c r="A8" s="74" t="s">
        <v>6</v>
      </c>
      <c r="C8" s="9">
        <v>6.25</v>
      </c>
      <c r="D8" t="s">
        <v>10</v>
      </c>
      <c r="N8" s="29" t="s">
        <v>42</v>
      </c>
      <c r="O8" s="34" t="s">
        <v>63</v>
      </c>
      <c r="P8" s="28">
        <f>'[1]Sref and POWER SIZING'!$B$17</f>
        <v>7.8</v>
      </c>
      <c r="R8" s="26" t="s">
        <v>17</v>
      </c>
      <c r="S8" s="9">
        <v>0.45</v>
      </c>
    </row>
    <row r="9" spans="1:20" ht="18" x14ac:dyDescent="0.35">
      <c r="A9" s="104" t="s">
        <v>214</v>
      </c>
      <c r="B9" s="104"/>
      <c r="C9" s="9">
        <v>0.2</v>
      </c>
      <c r="F9" s="30" t="s">
        <v>44</v>
      </c>
      <c r="O9" s="34" t="s">
        <v>64</v>
      </c>
      <c r="P9" s="70" t="str">
        <f>[1]!Table9[[#Headers],[5850]]</f>
        <v>5850</v>
      </c>
      <c r="Q9" t="s">
        <v>115</v>
      </c>
      <c r="R9" s="34" t="s">
        <v>76</v>
      </c>
      <c r="S9">
        <f>0.5*S8*C7*550/(P3)</f>
        <v>520.79286768704844</v>
      </c>
      <c r="T9" t="s">
        <v>11</v>
      </c>
    </row>
    <row r="10" spans="1:20" ht="17.25" x14ac:dyDescent="0.25">
      <c r="A10" s="74" t="s">
        <v>7</v>
      </c>
      <c r="C10">
        <f>(3.142*(C8^2))/4</f>
        <v>30.68359375</v>
      </c>
      <c r="D10" t="s">
        <v>12</v>
      </c>
      <c r="O10" s="34" t="s">
        <v>65</v>
      </c>
      <c r="P10" s="28">
        <f>'[1]Sref and POWER SIZING'!$H$80</f>
        <v>23.951178858082848</v>
      </c>
      <c r="Q10" t="s">
        <v>73</v>
      </c>
      <c r="R10" s="5">
        <f>P10*10.7639</f>
        <v>257.80809411051797</v>
      </c>
      <c r="S10" t="s">
        <v>12</v>
      </c>
    </row>
    <row r="11" spans="1:20" ht="18" x14ac:dyDescent="0.35">
      <c r="A11" s="1" t="s">
        <v>21</v>
      </c>
      <c r="C11">
        <f>C9*C8</f>
        <v>1.25</v>
      </c>
      <c r="D11" t="s">
        <v>10</v>
      </c>
      <c r="O11" s="34" t="s">
        <v>212</v>
      </c>
      <c r="P11" s="28">
        <f>'[1]Sref and POWER SIZING'!$B$10</f>
        <v>1.8</v>
      </c>
      <c r="R11" s="25" t="s">
        <v>70</v>
      </c>
      <c r="S11">
        <f>ASIN((S9-S7)/P9)</f>
        <v>-3.067889094356558E-2</v>
      </c>
      <c r="T11" t="s">
        <v>71</v>
      </c>
    </row>
    <row r="12" spans="1:20" ht="17.25" x14ac:dyDescent="0.25">
      <c r="A12" s="1" t="s">
        <v>22</v>
      </c>
      <c r="C12">
        <f>(3.142*C11^2)/4</f>
        <v>1.22734375</v>
      </c>
      <c r="D12" t="s">
        <v>12</v>
      </c>
      <c r="J12" s="29" t="s">
        <v>43</v>
      </c>
      <c r="O12" s="34" t="s">
        <v>59</v>
      </c>
      <c r="P12" s="2">
        <f>61*1.688</f>
        <v>102.968</v>
      </c>
      <c r="Q12" s="2" t="s">
        <v>16</v>
      </c>
      <c r="R12" s="84" t="s">
        <v>72</v>
      </c>
      <c r="S12" s="2">
        <f>S11-0.024</f>
        <v>-5.4678890943565581E-2</v>
      </c>
    </row>
    <row r="13" spans="1:20" x14ac:dyDescent="0.25">
      <c r="A13" s="1" t="s">
        <v>8</v>
      </c>
      <c r="C13">
        <f>0.85*(550*C7)^(2/3)*(2*climb!B7*C10)^(1/3)*(1-(C12/C10))</f>
        <v>1864.8770491863261</v>
      </c>
      <c r="D13" t="s">
        <v>11</v>
      </c>
      <c r="L13" s="13" t="s">
        <v>39</v>
      </c>
      <c r="M13" s="28">
        <f>'[1]Sref and POWER SIZING'!$B$30</f>
        <v>0.04</v>
      </c>
      <c r="O13" s="26" t="s">
        <v>66</v>
      </c>
      <c r="P13" s="2">
        <f>5.75*C7*(S3*C8^2/C7)^(1/3)</f>
        <v>1589.5227589326757</v>
      </c>
      <c r="Q13" s="2" t="s">
        <v>11</v>
      </c>
      <c r="R13" s="2"/>
      <c r="S13" s="2"/>
      <c r="T13" s="2"/>
    </row>
    <row r="14" spans="1:20" x14ac:dyDescent="0.25">
      <c r="L14" s="7" t="s">
        <v>38</v>
      </c>
      <c r="M14" s="70" t="str">
        <f>P9</f>
        <v>5850</v>
      </c>
      <c r="N14" t="s">
        <v>11</v>
      </c>
    </row>
    <row r="15" spans="1:20" ht="21" x14ac:dyDescent="0.35">
      <c r="L15" s="7" t="s">
        <v>36</v>
      </c>
      <c r="M15" s="28">
        <f>R10</f>
        <v>257.80809411051797</v>
      </c>
      <c r="N15" t="s">
        <v>12</v>
      </c>
      <c r="Q15" s="31" t="s">
        <v>75</v>
      </c>
      <c r="R15" s="80">
        <f>(0.863/(1+2.3*S12))*((P9/(R10*0.002378*32.174*S5))+P4)*(2.7+(1/((P13/P9)-S4)))+(655)</f>
        <v>2635.0200915174196</v>
      </c>
      <c r="S15" t="s">
        <v>10</v>
      </c>
    </row>
    <row r="16" spans="1:20" s="2" customFormat="1" ht="18" x14ac:dyDescent="0.35">
      <c r="A16" s="3" t="s">
        <v>13</v>
      </c>
      <c r="B16" s="10">
        <f>140</f>
        <v>140</v>
      </c>
      <c r="C16" s="2" t="s">
        <v>18</v>
      </c>
      <c r="D16" s="2">
        <f>B16*1.688</f>
        <v>236.32</v>
      </c>
      <c r="E16" s="2" t="s">
        <v>27</v>
      </c>
      <c r="F16" s="3" t="s">
        <v>17</v>
      </c>
      <c r="G16" s="11">
        <v>0.75</v>
      </c>
      <c r="H16" s="3" t="s">
        <v>19</v>
      </c>
      <c r="I16" s="2">
        <f>(G16*550*C7)/D16</f>
        <v>907.6675693974272</v>
      </c>
      <c r="L16" s="3" t="s">
        <v>35</v>
      </c>
      <c r="M16" s="47">
        <f>'[1]Sref and POWER SIZING'!$B$26</f>
        <v>0.14962326466758191</v>
      </c>
      <c r="R16" s="2">
        <f>R15/3.28084</f>
        <v>803.15409819357831</v>
      </c>
      <c r="S16" s="2" t="s">
        <v>74</v>
      </c>
    </row>
    <row r="17" spans="1:22" ht="18" x14ac:dyDescent="0.35">
      <c r="A17" s="4" t="s">
        <v>14</v>
      </c>
      <c r="B17" s="82">
        <v>170</v>
      </c>
      <c r="C17" t="s">
        <v>15</v>
      </c>
      <c r="D17" s="2">
        <f>B17*1.688</f>
        <v>286.95999999999998</v>
      </c>
      <c r="E17" t="s">
        <v>16</v>
      </c>
      <c r="F17" s="3" t="s">
        <v>17</v>
      </c>
      <c r="G17" s="12">
        <v>0.75</v>
      </c>
      <c r="H17" s="7" t="s">
        <v>20</v>
      </c>
      <c r="I17" s="2">
        <f>(G17*550*C7)/D17</f>
        <v>747.49093950376368</v>
      </c>
      <c r="L17" s="7" t="s">
        <v>34</v>
      </c>
      <c r="M17" s="28">
        <f>(2*P9)/('[1]Sref and POWER SIZING'!$B$2*Q26^2*R10)</f>
        <v>1.4869053204776603</v>
      </c>
    </row>
    <row r="18" spans="1:22" x14ac:dyDescent="0.25">
      <c r="A18" s="4"/>
      <c r="D18" s="2"/>
      <c r="F18" s="3"/>
      <c r="G18" s="5"/>
      <c r="I18" s="2"/>
    </row>
    <row r="19" spans="1:22" x14ac:dyDescent="0.25">
      <c r="B19" s="68" t="s">
        <v>44</v>
      </c>
      <c r="G19" s="68" t="s">
        <v>42</v>
      </c>
      <c r="J19" s="68" t="s">
        <v>29</v>
      </c>
      <c r="K19" s="29"/>
      <c r="N19" s="68" t="s">
        <v>57</v>
      </c>
      <c r="O19" s="29"/>
      <c r="P19" s="29"/>
      <c r="Q19" s="29"/>
    </row>
    <row r="20" spans="1:22" x14ac:dyDescent="0.25">
      <c r="B20" s="6">
        <v>0</v>
      </c>
      <c r="C20" s="6">
        <v>0</v>
      </c>
      <c r="D20" s="6">
        <v>0</v>
      </c>
      <c r="E20" s="6">
        <v>1</v>
      </c>
      <c r="F20" s="7" t="s">
        <v>45</v>
      </c>
      <c r="G20" s="8">
        <f>C13</f>
        <v>1864.8770491863261</v>
      </c>
      <c r="H20" s="7"/>
      <c r="I20" s="8">
        <f t="array" ref="I20:L23">MINVERSE(matrixa)</f>
        <v>-3.0012004801920915E-7</v>
      </c>
      <c r="J20" s="8">
        <v>-6.2358276643991127E-6</v>
      </c>
      <c r="K20" s="8">
        <v>-2.3809523809523899E-4</v>
      </c>
      <c r="L20" s="8">
        <v>6.5359477124183231E-6</v>
      </c>
      <c r="N20" s="7" t="s">
        <v>23</v>
      </c>
      <c r="O20" s="23">
        <f t="array" ref="O20:O23">MMULT(inversea,matrixb)</f>
        <v>2.0932928675848183E-4</v>
      </c>
    </row>
    <row r="21" spans="1:22" x14ac:dyDescent="0.25">
      <c r="B21" s="6">
        <f>B16^3</f>
        <v>2744000</v>
      </c>
      <c r="C21" s="6">
        <f>B16^2</f>
        <v>19600</v>
      </c>
      <c r="D21" s="6">
        <f>B16</f>
        <v>140</v>
      </c>
      <c r="E21" s="6">
        <v>1</v>
      </c>
      <c r="F21" s="3" t="s">
        <v>46</v>
      </c>
      <c r="G21" s="8">
        <f>I16</f>
        <v>907.6675693974272</v>
      </c>
      <c r="I21" s="8">
        <v>1.350540216086439E-4</v>
      </c>
      <c r="J21" s="8">
        <v>1.6950113378684871E-3</v>
      </c>
      <c r="K21" s="8">
        <v>7.3809523809524075E-2</v>
      </c>
      <c r="L21" s="8">
        <v>-1.8300653594771309E-3</v>
      </c>
      <c r="N21" s="3" t="s">
        <v>24</v>
      </c>
      <c r="O21" s="8">
        <v>-5.6080375521804005E-2</v>
      </c>
    </row>
    <row r="22" spans="1:22" x14ac:dyDescent="0.25">
      <c r="B22" s="6">
        <f>3*(B16^2)</f>
        <v>58800</v>
      </c>
      <c r="C22" s="6">
        <f>2*B16</f>
        <v>280</v>
      </c>
      <c r="D22" s="6">
        <v>1</v>
      </c>
      <c r="E22" s="6">
        <v>0</v>
      </c>
      <c r="F22" s="3" t="s">
        <v>47</v>
      </c>
      <c r="G22" s="8">
        <f>(-G16*325.8*C7)/(B16^2)</f>
        <v>-6.4827551020408167</v>
      </c>
      <c r="I22" s="8">
        <v>-2.0168067226890789E-2</v>
      </c>
      <c r="J22" s="8">
        <v>-0.10793650793650843</v>
      </c>
      <c r="K22" s="8">
        <v>-5.6666666666666865</v>
      </c>
      <c r="L22" s="8">
        <v>0.12810457516339921</v>
      </c>
      <c r="N22" s="3" t="s">
        <v>25</v>
      </c>
      <c r="O22" s="8">
        <v>-3.0888120173343765</v>
      </c>
    </row>
    <row r="23" spans="1:22" x14ac:dyDescent="0.25">
      <c r="B23" s="6">
        <f>B17^3</f>
        <v>4913000</v>
      </c>
      <c r="C23" s="6">
        <f>B17^2</f>
        <v>28900</v>
      </c>
      <c r="D23" s="6">
        <f>B17</f>
        <v>170</v>
      </c>
      <c r="E23" s="6">
        <v>1</v>
      </c>
      <c r="F23" s="3" t="s">
        <v>48</v>
      </c>
      <c r="G23" s="8">
        <f>I17</f>
        <v>747.49093950376368</v>
      </c>
      <c r="I23" s="8">
        <v>1</v>
      </c>
      <c r="J23" s="8">
        <v>0</v>
      </c>
      <c r="K23" s="8">
        <v>0</v>
      </c>
      <c r="L23" s="8">
        <v>0</v>
      </c>
      <c r="N23" s="3" t="s">
        <v>26</v>
      </c>
      <c r="O23" s="8">
        <v>1864.8770491863261</v>
      </c>
    </row>
    <row r="25" spans="1:22" ht="30.75" x14ac:dyDescent="0.55000000000000004">
      <c r="P25" s="33" t="s">
        <v>78</v>
      </c>
      <c r="Q25" s="83">
        <f>VLOOKUP(S26,M50:R86,6,TRUE)</f>
        <v>955.70199889973037</v>
      </c>
      <c r="R25" t="s">
        <v>10</v>
      </c>
    </row>
    <row r="26" spans="1:22" ht="18" x14ac:dyDescent="0.35">
      <c r="A26" s="18">
        <f>S$26</f>
        <v>67.115778419410034</v>
      </c>
      <c r="B26" s="18">
        <v>10</v>
      </c>
      <c r="M26" s="34" t="s">
        <v>79</v>
      </c>
      <c r="N26" s="35">
        <f>Q26/N27</f>
        <v>17.847774797345913</v>
      </c>
      <c r="O26" t="s">
        <v>80</v>
      </c>
      <c r="P26" s="7" t="s">
        <v>50</v>
      </c>
      <c r="Q26" s="32">
        <f>1.556*SQRT(P9/(0.002378*R10*P11))</f>
        <v>113.29143397196412</v>
      </c>
      <c r="R26" t="s">
        <v>77</v>
      </c>
      <c r="S26" s="21">
        <f>Q26/1.688</f>
        <v>67.115778419410034</v>
      </c>
      <c r="T26" t="s">
        <v>100</v>
      </c>
      <c r="U26" s="21">
        <f>S26/61</f>
        <v>1.1002586626132793</v>
      </c>
      <c r="V26" t="s">
        <v>101</v>
      </c>
    </row>
    <row r="27" spans="1:22" ht="18.75" x14ac:dyDescent="0.35">
      <c r="A27" s="18">
        <f t="shared" ref="A27:A29" si="0">S$26</f>
        <v>67.115778419410034</v>
      </c>
      <c r="B27" s="18">
        <v>400</v>
      </c>
      <c r="M27" s="34" t="s">
        <v>81</v>
      </c>
      <c r="N27" s="21">
        <f>Q26^2/(2*Q27)</f>
        <v>6.3476503518416951</v>
      </c>
      <c r="O27" t="s">
        <v>82</v>
      </c>
      <c r="P27" s="34" t="s">
        <v>83</v>
      </c>
      <c r="Q27" s="71">
        <v>1011</v>
      </c>
      <c r="R27" t="s">
        <v>10</v>
      </c>
    </row>
    <row r="28" spans="1:22" s="14" customFormat="1" ht="15.75" x14ac:dyDescent="0.25">
      <c r="A28" s="18">
        <f t="shared" si="0"/>
        <v>67.115778419410034</v>
      </c>
      <c r="B28" s="18">
        <v>1000</v>
      </c>
      <c r="M28" s="36" t="s">
        <v>79</v>
      </c>
      <c r="N28" s="37">
        <f>SQRT(2*Q25/N27)</f>
        <v>17.352807409420731</v>
      </c>
      <c r="O28" s="14" t="s">
        <v>80</v>
      </c>
      <c r="P28" s="14" t="s">
        <v>211</v>
      </c>
      <c r="Q28" s="85">
        <f>VLOOKUP(S26,M50:S86,7,TRUE)</f>
        <v>0.58301407661284199</v>
      </c>
    </row>
    <row r="29" spans="1:22" x14ac:dyDescent="0.25">
      <c r="A29" s="18">
        <f t="shared" si="0"/>
        <v>67.115778419410034</v>
      </c>
      <c r="B29" s="18">
        <v>2300</v>
      </c>
    </row>
    <row r="30" spans="1:22" x14ac:dyDescent="0.25">
      <c r="M30" s="18">
        <v>0</v>
      </c>
      <c r="N30" s="18">
        <f>S$26</f>
        <v>67.115778419410034</v>
      </c>
    </row>
    <row r="31" spans="1:22" x14ac:dyDescent="0.25">
      <c r="M31" s="18">
        <v>1</v>
      </c>
      <c r="N31" s="18">
        <f t="shared" ref="N31:N33" si="1">S$26</f>
        <v>67.115778419410034</v>
      </c>
    </row>
    <row r="32" spans="1:22" x14ac:dyDescent="0.25">
      <c r="M32" s="18">
        <v>500</v>
      </c>
      <c r="N32" s="18">
        <f t="shared" si="1"/>
        <v>67.115778419410034</v>
      </c>
    </row>
    <row r="33" spans="12:24" x14ac:dyDescent="0.25">
      <c r="M33" s="18">
        <v>1000</v>
      </c>
      <c r="N33" s="18">
        <f t="shared" si="1"/>
        <v>67.115778419410034</v>
      </c>
    </row>
    <row r="35" spans="12:24" x14ac:dyDescent="0.25">
      <c r="M35" s="18">
        <f>Q$25</f>
        <v>955.70199889973037</v>
      </c>
      <c r="N35" s="18">
        <v>0</v>
      </c>
    </row>
    <row r="36" spans="12:24" x14ac:dyDescent="0.25">
      <c r="M36" s="18">
        <f>Q$25</f>
        <v>955.70199889973037</v>
      </c>
      <c r="N36" s="18">
        <v>1</v>
      </c>
    </row>
    <row r="37" spans="12:24" x14ac:dyDescent="0.25">
      <c r="M37" s="18">
        <f>Q$25</f>
        <v>955.70199889973037</v>
      </c>
      <c r="N37" s="18">
        <v>50</v>
      </c>
    </row>
    <row r="38" spans="12:24" x14ac:dyDescent="0.25">
      <c r="M38" s="18">
        <f>Q$25</f>
        <v>955.70199889973037</v>
      </c>
      <c r="N38" s="18">
        <v>125</v>
      </c>
    </row>
    <row r="48" spans="12:24" ht="18.75" x14ac:dyDescent="0.3">
      <c r="L48" s="22" t="s">
        <v>56</v>
      </c>
      <c r="M48" s="17"/>
      <c r="T48" s="17"/>
      <c r="U48" s="17"/>
      <c r="V48" s="22" t="s">
        <v>55</v>
      </c>
      <c r="W48" s="17"/>
      <c r="X48" s="17"/>
    </row>
    <row r="49" spans="1:25" ht="18.75" x14ac:dyDescent="0.35">
      <c r="A49" s="39" t="s">
        <v>85</v>
      </c>
      <c r="C49" s="72" t="s">
        <v>86</v>
      </c>
      <c r="I49" s="15" t="s">
        <v>54</v>
      </c>
      <c r="J49" s="15" t="s">
        <v>49</v>
      </c>
      <c r="K49" s="15" t="s">
        <v>0</v>
      </c>
      <c r="L49" s="15" t="s">
        <v>16</v>
      </c>
      <c r="M49" s="15" t="s">
        <v>31</v>
      </c>
      <c r="N49" s="15" t="s">
        <v>1</v>
      </c>
      <c r="O49" s="15" t="s">
        <v>2</v>
      </c>
      <c r="P49" s="15" t="s">
        <v>3</v>
      </c>
      <c r="Q49" s="15" t="s">
        <v>53</v>
      </c>
      <c r="R49" s="20" t="s">
        <v>52</v>
      </c>
      <c r="S49" s="16" t="s">
        <v>51</v>
      </c>
      <c r="T49" s="15" t="s">
        <v>30</v>
      </c>
      <c r="U49" s="15" t="s">
        <v>32</v>
      </c>
      <c r="V49" s="15" t="s">
        <v>33</v>
      </c>
      <c r="W49" s="15" t="s">
        <v>28</v>
      </c>
      <c r="X49" s="15" t="s">
        <v>37</v>
      </c>
      <c r="Y49" s="15" t="s">
        <v>40</v>
      </c>
    </row>
    <row r="50" spans="1:25" ht="18" x14ac:dyDescent="0.35">
      <c r="A50" t="s">
        <v>89</v>
      </c>
      <c r="B50">
        <f>Q26/SQRT(2)</f>
        <v>80.109141211923827</v>
      </c>
      <c r="C50" t="s">
        <v>90</v>
      </c>
      <c r="D50">
        <f>B50/1.688</f>
        <v>47.45802204497857</v>
      </c>
      <c r="E50" t="s">
        <v>91</v>
      </c>
      <c r="I50" s="19">
        <v>1</v>
      </c>
      <c r="J50" s="19">
        <v>0</v>
      </c>
      <c r="K50" s="19">
        <v>0</v>
      </c>
      <c r="L50" s="18">
        <v>0</v>
      </c>
      <c r="M50" s="21">
        <f t="shared" ref="M50:M79" si="2">L50/1.688</f>
        <v>0</v>
      </c>
      <c r="N50" s="19">
        <v>0</v>
      </c>
      <c r="O50" s="19">
        <v>0</v>
      </c>
      <c r="P50" s="19">
        <f t="shared" ref="P50:P79" si="3">0.5*Y50*(K50)^2</f>
        <v>0</v>
      </c>
      <c r="Q50" s="19">
        <f>O50+P50</f>
        <v>0</v>
      </c>
      <c r="R50" s="21">
        <v>0</v>
      </c>
      <c r="S50" s="19">
        <f t="shared" ref="S50:S79" si="4">(T50*L50)/(550*C$7)</f>
        <v>0</v>
      </c>
      <c r="T50" s="19">
        <f>(O$20*M50^3)+(O$21*M50^2)+(O$22*M50)+(O$23)</f>
        <v>1864.8770491863261</v>
      </c>
      <c r="U50" s="19">
        <v>0</v>
      </c>
      <c r="V50" s="19">
        <f t="shared" ref="V50:V79" si="5">U50*M$15*M$17</f>
        <v>0</v>
      </c>
      <c r="W50" s="19">
        <f t="shared" ref="W50:W79" si="6">U50*M$15*M$16</f>
        <v>0</v>
      </c>
      <c r="X50" s="19">
        <f t="shared" ref="X50:X79" si="7">M$13*(M$14-V50)</f>
        <v>234</v>
      </c>
      <c r="Y50" s="19">
        <f>(T50-W50-(M$13*(M$14-V50)))/(M$14/32.1768)</f>
        <v>8.9703255788476195</v>
      </c>
    </row>
    <row r="51" spans="1:25" x14ac:dyDescent="0.25">
      <c r="A51" s="34" t="s">
        <v>33</v>
      </c>
      <c r="B51">
        <f>0.5*climb!B7*B50^2*R10*M17</f>
        <v>2924.9999999999995</v>
      </c>
      <c r="C51" t="s">
        <v>11</v>
      </c>
      <c r="I51" s="19">
        <f>I50+1</f>
        <v>2</v>
      </c>
      <c r="J51" s="19">
        <f>J50+0.5</f>
        <v>0.5</v>
      </c>
      <c r="K51" s="19">
        <f>J51-J50</f>
        <v>0.5</v>
      </c>
      <c r="L51" s="18">
        <f t="shared" ref="L51:L79" si="8">L50+(Y51*K51)</f>
        <v>4.4851627894238097</v>
      </c>
      <c r="M51" s="21">
        <f t="shared" si="2"/>
        <v>2.6570869605591292</v>
      </c>
      <c r="N51" s="19">
        <f t="shared" ref="N51:N79" si="9">N50+(Y51*K51)</f>
        <v>4.4851627894238097</v>
      </c>
      <c r="O51" s="19">
        <f t="shared" ref="O51:O79" si="10">N50*K51</f>
        <v>0</v>
      </c>
      <c r="P51" s="19">
        <f t="shared" si="3"/>
        <v>1.1212906973559524</v>
      </c>
      <c r="Q51" s="19">
        <f>O51+P51</f>
        <v>1.1212906973559524</v>
      </c>
      <c r="R51" s="21">
        <f>R50+Q51</f>
        <v>1.1212906973559524</v>
      </c>
      <c r="S51" s="19">
        <f t="shared" si="4"/>
        <v>2.9245724293220227E-2</v>
      </c>
      <c r="T51" s="19">
        <f t="shared" ref="T51:T79" si="11">(O$20*M50^3)+(O$21*M50^2)+(O$22*M50)+(O$23)</f>
        <v>1864.8770491863261</v>
      </c>
      <c r="U51" s="19">
        <f t="shared" ref="U51:U79" si="12">0.5*0.002378*L50^2</f>
        <v>0</v>
      </c>
      <c r="V51" s="19">
        <f t="shared" si="5"/>
        <v>0</v>
      </c>
      <c r="W51" s="19">
        <f t="shared" si="6"/>
        <v>0</v>
      </c>
      <c r="X51" s="19">
        <f t="shared" si="7"/>
        <v>234</v>
      </c>
      <c r="Y51" s="19">
        <f t="shared" ref="Y51:Y55" si="13">(T51-W51-(M$13*(M$14-V51)))/(M$14/32.1768)</f>
        <v>8.9703255788476195</v>
      </c>
    </row>
    <row r="52" spans="1:25" x14ac:dyDescent="0.25">
      <c r="A52" s="34" t="s">
        <v>28</v>
      </c>
      <c r="B52">
        <f>0.5*climb!B7*R10*B50^2*M16</f>
        <v>294.334846425921</v>
      </c>
      <c r="C52" t="s">
        <v>11</v>
      </c>
      <c r="I52" s="19">
        <f t="shared" ref="I52:I76" si="14">I51+1</f>
        <v>3</v>
      </c>
      <c r="J52" s="19">
        <f t="shared" ref="J52:J86" si="15">J51+0.5</f>
        <v>1</v>
      </c>
      <c r="K52" s="19">
        <f t="shared" ref="K52:K79" si="16">J52-J51</f>
        <v>0.5</v>
      </c>
      <c r="L52" s="18">
        <f t="shared" si="8"/>
        <v>8.9451475471123132</v>
      </c>
      <c r="M52" s="21">
        <f t="shared" si="2"/>
        <v>5.2992580255404702</v>
      </c>
      <c r="N52" s="19">
        <f t="shared" si="9"/>
        <v>8.9451475471123132</v>
      </c>
      <c r="O52" s="19">
        <f t="shared" si="10"/>
        <v>2.2425813947119049</v>
      </c>
      <c r="P52" s="19">
        <f t="shared" si="3"/>
        <v>1.1149961894221261</v>
      </c>
      <c r="Q52" s="19">
        <f t="shared" ref="Q52:Q79" si="17">O52+P52</f>
        <v>3.357577584134031</v>
      </c>
      <c r="R52" s="21">
        <f t="shared" ref="R52:R79" si="18">R51+Q52</f>
        <v>4.4788682814899836</v>
      </c>
      <c r="S52" s="19">
        <f t="shared" si="4"/>
        <v>5.8058317523175168E-2</v>
      </c>
      <c r="T52" s="19">
        <f t="shared" si="11"/>
        <v>1856.2778002458379</v>
      </c>
      <c r="U52" s="19">
        <f t="shared" si="12"/>
        <v>2.3918738759434413E-2</v>
      </c>
      <c r="V52" s="19">
        <f t="shared" si="5"/>
        <v>9.1689190657401252</v>
      </c>
      <c r="W52" s="19">
        <f t="shared" si="6"/>
        <v>0.92264355046369895</v>
      </c>
      <c r="X52" s="19">
        <f t="shared" si="7"/>
        <v>233.63324323737041</v>
      </c>
      <c r="Y52" s="19">
        <f t="shared" si="13"/>
        <v>8.9199695153770087</v>
      </c>
    </row>
    <row r="53" spans="1:25" ht="17.25" x14ac:dyDescent="0.25">
      <c r="A53" s="34" t="s">
        <v>81</v>
      </c>
      <c r="B53">
        <f>(32.174/P9)*(B54-B52-(M13*(P9-B51)))</f>
        <v>6.5735242902616093</v>
      </c>
      <c r="C53" t="s">
        <v>82</v>
      </c>
      <c r="I53" s="19">
        <f t="shared" si="14"/>
        <v>4</v>
      </c>
      <c r="J53" s="19">
        <f t="shared" si="15"/>
        <v>1.5</v>
      </c>
      <c r="K53" s="19">
        <f t="shared" si="16"/>
        <v>0.5</v>
      </c>
      <c r="L53" s="18">
        <f t="shared" si="8"/>
        <v>13.374968441049685</v>
      </c>
      <c r="M53" s="21">
        <f t="shared" si="2"/>
        <v>7.9235595029915196</v>
      </c>
      <c r="N53" s="19">
        <f t="shared" si="9"/>
        <v>13.374968441049685</v>
      </c>
      <c r="O53" s="19">
        <f>N52*K53</f>
        <v>4.4725737735561566</v>
      </c>
      <c r="P53" s="19">
        <f t="shared" si="3"/>
        <v>1.1074552234843427</v>
      </c>
      <c r="Q53" s="19">
        <f t="shared" si="17"/>
        <v>5.5800289970404995</v>
      </c>
      <c r="R53" s="21">
        <f t="shared" si="18"/>
        <v>10.058897278530484</v>
      </c>
      <c r="S53" s="19">
        <f t="shared" si="4"/>
        <v>8.6374467395052182E-2</v>
      </c>
      <c r="T53" s="19">
        <f t="shared" si="11"/>
        <v>1846.9649318324816</v>
      </c>
      <c r="U53" s="19">
        <f t="shared" si="12"/>
        <v>9.5138625256495621E-2</v>
      </c>
      <c r="V53" s="19">
        <f t="shared" si="5"/>
        <v>36.470081628301322</v>
      </c>
      <c r="W53" s="19">
        <f t="shared" si="6"/>
        <v>3.6698857693014957</v>
      </c>
      <c r="X53" s="19">
        <f t="shared" si="7"/>
        <v>232.54119673486795</v>
      </c>
      <c r="Y53" s="19">
        <f>(T53-W53-(M$13*(M$14-V53)))/(M$14/32.1768)</f>
        <v>8.8596417878747413</v>
      </c>
    </row>
    <row r="54" spans="1:25" x14ac:dyDescent="0.25">
      <c r="A54" s="34" t="s">
        <v>66</v>
      </c>
      <c r="B54">
        <f>550*S8*C7/B50</f>
        <v>1606.5582285988066</v>
      </c>
      <c r="C54" t="s">
        <v>11</v>
      </c>
      <c r="D54" s="34" t="s">
        <v>95</v>
      </c>
      <c r="E54">
        <f>SQRT(2*B55/B53)</f>
        <v>12.186635003479342</v>
      </c>
      <c r="F54" t="s">
        <v>80</v>
      </c>
      <c r="I54" s="19">
        <f t="shared" si="14"/>
        <v>5</v>
      </c>
      <c r="J54" s="19">
        <f t="shared" si="15"/>
        <v>2</v>
      </c>
      <c r="K54" s="19">
        <f t="shared" si="16"/>
        <v>0.5</v>
      </c>
      <c r="L54" s="18">
        <f t="shared" si="8"/>
        <v>17.769831530085195</v>
      </c>
      <c r="M54" s="21">
        <f t="shared" si="2"/>
        <v>10.527151380382225</v>
      </c>
      <c r="N54" s="19">
        <f t="shared" si="9"/>
        <v>17.769831530085195</v>
      </c>
      <c r="O54" s="19">
        <f t="shared" si="10"/>
        <v>6.6874842205248424</v>
      </c>
      <c r="P54" s="19">
        <f t="shared" si="3"/>
        <v>1.0987157722588774</v>
      </c>
      <c r="Q54" s="19">
        <f t="shared" si="17"/>
        <v>7.78619999278372</v>
      </c>
      <c r="R54" s="21">
        <f t="shared" si="18"/>
        <v>17.845097271314202</v>
      </c>
      <c r="S54" s="19">
        <f t="shared" si="4"/>
        <v>0.1141361196488716</v>
      </c>
      <c r="T54" s="19">
        <f t="shared" si="11"/>
        <v>1836.9859142621133</v>
      </c>
      <c r="U54" s="19">
        <f t="shared" si="12"/>
        <v>0.2126999493701002</v>
      </c>
      <c r="V54" s="19">
        <f t="shared" si="5"/>
        <v>81.53559603105036</v>
      </c>
      <c r="W54" s="19">
        <f t="shared" si="6"/>
        <v>8.2047067131778277</v>
      </c>
      <c r="X54" s="19">
        <f t="shared" si="7"/>
        <v>230.73857615875798</v>
      </c>
      <c r="Y54" s="19">
        <f t="shared" si="13"/>
        <v>8.7897261780710192</v>
      </c>
    </row>
    <row r="55" spans="1:25" ht="18" x14ac:dyDescent="0.35">
      <c r="A55" s="26" t="s">
        <v>92</v>
      </c>
      <c r="B55" s="2">
        <f>(B50^2)/(2*B53)</f>
        <v>488.13043219595022</v>
      </c>
      <c r="C55" t="s">
        <v>10</v>
      </c>
      <c r="I55" s="19">
        <f t="shared" si="14"/>
        <v>6</v>
      </c>
      <c r="J55" s="19">
        <f t="shared" si="15"/>
        <v>2.5</v>
      </c>
      <c r="K55" s="19">
        <f t="shared" si="16"/>
        <v>0.5</v>
      </c>
      <c r="L55" s="18">
        <f t="shared" si="8"/>
        <v>22.125152169755523</v>
      </c>
      <c r="M55" s="21">
        <f t="shared" si="2"/>
        <v>13.107317636111093</v>
      </c>
      <c r="N55" s="19">
        <f t="shared" si="9"/>
        <v>22.125152169755523</v>
      </c>
      <c r="O55" s="19">
        <f t="shared" si="10"/>
        <v>8.8849157650425976</v>
      </c>
      <c r="P55" s="19">
        <f t="shared" si="3"/>
        <v>1.0888301599175816</v>
      </c>
      <c r="Q55" s="19">
        <f t="shared" si="17"/>
        <v>9.9737459249601788</v>
      </c>
      <c r="R55" s="21">
        <f t="shared" si="18"/>
        <v>27.818843196274379</v>
      </c>
      <c r="S55" s="19">
        <f t="shared" si="4"/>
        <v>0.14129075669646102</v>
      </c>
      <c r="T55" s="19">
        <f t="shared" si="11"/>
        <v>1826.3899884234947</v>
      </c>
      <c r="U55" s="19">
        <f t="shared" si="12"/>
        <v>0.37544685909044817</v>
      </c>
      <c r="V55" s="19">
        <f t="shared" si="5"/>
        <v>143.92238232581695</v>
      </c>
      <c r="W55" s="19">
        <f t="shared" si="6"/>
        <v>14.482520444144283</v>
      </c>
      <c r="X55" s="19">
        <f t="shared" si="7"/>
        <v>228.24310470696733</v>
      </c>
      <c r="Y55" s="19">
        <f t="shared" si="13"/>
        <v>8.7106412793406527</v>
      </c>
    </row>
    <row r="56" spans="1:25" ht="18" x14ac:dyDescent="0.35">
      <c r="A56" s="26" t="s">
        <v>96</v>
      </c>
      <c r="B56">
        <f>B50*1</f>
        <v>80.109141211923827</v>
      </c>
      <c r="C56" t="s">
        <v>10</v>
      </c>
      <c r="I56" s="19">
        <f t="shared" si="14"/>
        <v>7</v>
      </c>
      <c r="J56" s="19">
        <f t="shared" si="15"/>
        <v>3</v>
      </c>
      <c r="K56" s="19">
        <f t="shared" si="16"/>
        <v>0.5</v>
      </c>
      <c r="L56" s="18">
        <f t="shared" si="8"/>
        <v>26.436570144382475</v>
      </c>
      <c r="M56" s="21">
        <f t="shared" si="2"/>
        <v>15.661475204018055</v>
      </c>
      <c r="N56" s="19">
        <f t="shared" si="9"/>
        <v>26.436570144382475</v>
      </c>
      <c r="O56" s="19">
        <f t="shared" si="10"/>
        <v>11.062576084877762</v>
      </c>
      <c r="P56" s="19">
        <f t="shared" si="3"/>
        <v>1.0778544936567378</v>
      </c>
      <c r="Q56" s="19">
        <f t="shared" si="17"/>
        <v>12.140430578534499</v>
      </c>
      <c r="R56" s="21">
        <f t="shared" si="18"/>
        <v>39.959273774808878</v>
      </c>
      <c r="S56" s="19">
        <f t="shared" si="4"/>
        <v>0.16779158714062184</v>
      </c>
      <c r="T56" s="19">
        <f t="shared" si="11"/>
        <v>1815.2276812056473</v>
      </c>
      <c r="U56" s="19">
        <f t="shared" si="12"/>
        <v>0.58204208429792181</v>
      </c>
      <c r="V56" s="19">
        <f t="shared" si="5"/>
        <v>223.11781643074096</v>
      </c>
      <c r="W56" s="19">
        <f t="shared" si="6"/>
        <v>22.451742985992816</v>
      </c>
      <c r="X56" s="19">
        <f t="shared" si="7"/>
        <v>225.07528734277037</v>
      </c>
      <c r="Y56" s="19">
        <f t="shared" ref="Y56:Y79" si="19">(T56-W56-(M$13*(M$14-V56)))/(M$14/32.1768)</f>
        <v>8.6228359492539024</v>
      </c>
    </row>
    <row r="57" spans="1:25" ht="23.25" x14ac:dyDescent="0.35">
      <c r="A57" s="43" t="s">
        <v>97</v>
      </c>
      <c r="B57" s="42">
        <f>B55+B56</f>
        <v>568.2395734078741</v>
      </c>
      <c r="C57" t="s">
        <v>10</v>
      </c>
      <c r="I57" s="19">
        <f t="shared" si="14"/>
        <v>8</v>
      </c>
      <c r="J57" s="19">
        <f t="shared" si="15"/>
        <v>3.5</v>
      </c>
      <c r="K57" s="19">
        <f t="shared" si="16"/>
        <v>0.5</v>
      </c>
      <c r="L57" s="18">
        <f t="shared" si="8"/>
        <v>30.699962483277819</v>
      </c>
      <c r="M57" s="21">
        <f t="shared" si="2"/>
        <v>18.187181565922881</v>
      </c>
      <c r="N57" s="19">
        <f t="shared" si="9"/>
        <v>30.699962483277819</v>
      </c>
      <c r="O57" s="19">
        <f t="shared" si="10"/>
        <v>13.218285072191238</v>
      </c>
      <c r="P57" s="19">
        <f t="shared" si="3"/>
        <v>1.0658480847238361</v>
      </c>
      <c r="Q57" s="19">
        <f t="shared" si="17"/>
        <v>14.284133156915074</v>
      </c>
      <c r="R57" s="21">
        <f t="shared" si="18"/>
        <v>54.243406931723953</v>
      </c>
      <c r="S57" s="19">
        <f t="shared" si="4"/>
        <v>0.19359764889706166</v>
      </c>
      <c r="T57" s="19">
        <f t="shared" si="11"/>
        <v>1803.5503338063988</v>
      </c>
      <c r="U57" s="19">
        <f t="shared" si="12"/>
        <v>0.83098287454763842</v>
      </c>
      <c r="V57" s="19">
        <f t="shared" si="5"/>
        <v>318.54583966046636</v>
      </c>
      <c r="W57" s="19">
        <f t="shared" si="6"/>
        <v>32.05440710977075</v>
      </c>
      <c r="X57" s="19">
        <f t="shared" si="7"/>
        <v>221.25816641358136</v>
      </c>
      <c r="Y57" s="19">
        <f t="shared" si="19"/>
        <v>8.5267846777906886</v>
      </c>
    </row>
    <row r="58" spans="1:25" x14ac:dyDescent="0.25">
      <c r="I58" s="19">
        <f t="shared" si="14"/>
        <v>9</v>
      </c>
      <c r="J58" s="19">
        <f t="shared" si="15"/>
        <v>4</v>
      </c>
      <c r="K58" s="19">
        <f t="shared" si="16"/>
        <v>0.5</v>
      </c>
      <c r="L58" s="18">
        <f t="shared" si="8"/>
        <v>34.911453954292327</v>
      </c>
      <c r="M58" s="21">
        <f t="shared" si="2"/>
        <v>20.682140968182658</v>
      </c>
      <c r="N58" s="19">
        <f t="shared" si="9"/>
        <v>34.911453954292327</v>
      </c>
      <c r="O58" s="19">
        <f t="shared" si="10"/>
        <v>15.349981241638909</v>
      </c>
      <c r="P58" s="19">
        <f t="shared" si="3"/>
        <v>1.052872867753627</v>
      </c>
      <c r="Q58" s="19">
        <f t="shared" si="17"/>
        <v>16.402854109392536</v>
      </c>
      <c r="R58" s="21">
        <f t="shared" si="18"/>
        <v>70.646261041116489</v>
      </c>
      <c r="S58" s="19">
        <f t="shared" si="4"/>
        <v>0.21867383036580396</v>
      </c>
      <c r="T58" s="19">
        <f t="shared" si="11"/>
        <v>1791.4096492945009</v>
      </c>
      <c r="U58" s="19">
        <f t="shared" si="12"/>
        <v>1.1206178711083772</v>
      </c>
      <c r="V58" s="19">
        <f t="shared" si="5"/>
        <v>429.57342638988172</v>
      </c>
      <c r="W58" s="19">
        <f t="shared" si="6"/>
        <v>43.22681315730685</v>
      </c>
      <c r="X58" s="19">
        <f t="shared" si="7"/>
        <v>216.81706294440471</v>
      </c>
      <c r="Y58" s="19">
        <f t="shared" si="19"/>
        <v>8.4229829420290159</v>
      </c>
    </row>
    <row r="59" spans="1:25" ht="15.75" x14ac:dyDescent="0.25">
      <c r="A59" s="39" t="s">
        <v>93</v>
      </c>
      <c r="C59" s="41" t="s">
        <v>94</v>
      </c>
      <c r="I59" s="19">
        <f t="shared" si="14"/>
        <v>10</v>
      </c>
      <c r="J59" s="19">
        <f t="shared" si="15"/>
        <v>4.5</v>
      </c>
      <c r="K59" s="19">
        <f t="shared" si="16"/>
        <v>0.5</v>
      </c>
      <c r="L59" s="18">
        <f t="shared" si="8"/>
        <v>39.067425260873335</v>
      </c>
      <c r="M59" s="21">
        <f t="shared" si="2"/>
        <v>23.144209277768564</v>
      </c>
      <c r="N59" s="19">
        <f t="shared" si="9"/>
        <v>39.067425260873335</v>
      </c>
      <c r="O59" s="19">
        <f t="shared" si="10"/>
        <v>17.455726977146163</v>
      </c>
      <c r="P59" s="19">
        <f t="shared" si="3"/>
        <v>1.0389928266452528</v>
      </c>
      <c r="Q59" s="19">
        <f t="shared" si="17"/>
        <v>18.494719803791416</v>
      </c>
      <c r="R59" s="21">
        <f t="shared" si="18"/>
        <v>89.140980844907901</v>
      </c>
      <c r="S59" s="19">
        <f t="shared" si="4"/>
        <v>0.24299081555011931</v>
      </c>
      <c r="T59" s="19">
        <f t="shared" si="11"/>
        <v>1778.8572649279467</v>
      </c>
      <c r="U59" s="19">
        <f t="shared" si="12"/>
        <v>1.4491646348539784</v>
      </c>
      <c r="V59" s="19">
        <f t="shared" si="5"/>
        <v>555.51730312987297</v>
      </c>
      <c r="W59" s="19">
        <f t="shared" si="6"/>
        <v>55.900205163648891</v>
      </c>
      <c r="X59" s="19">
        <f t="shared" si="7"/>
        <v>211.77930787480508</v>
      </c>
      <c r="Y59" s="19">
        <f t="shared" si="19"/>
        <v>8.3119426131620227</v>
      </c>
    </row>
    <row r="60" spans="1:25" x14ac:dyDescent="0.25">
      <c r="I60" s="19">
        <f t="shared" si="14"/>
        <v>11</v>
      </c>
      <c r="J60" s="19">
        <f t="shared" si="15"/>
        <v>5</v>
      </c>
      <c r="K60" s="19">
        <f t="shared" si="16"/>
        <v>0.5</v>
      </c>
      <c r="L60" s="18">
        <f t="shared" si="8"/>
        <v>43.164518998701233</v>
      </c>
      <c r="M60" s="21">
        <f t="shared" si="2"/>
        <v>25.571397511078931</v>
      </c>
      <c r="N60" s="19">
        <f t="shared" si="9"/>
        <v>43.164518998701233</v>
      </c>
      <c r="O60" s="19">
        <f t="shared" si="10"/>
        <v>19.533712630436668</v>
      </c>
      <c r="P60" s="19">
        <f t="shared" si="3"/>
        <v>1.0242734344569751</v>
      </c>
      <c r="Q60" s="19">
        <f t="shared" si="17"/>
        <v>20.557986064893644</v>
      </c>
      <c r="R60" s="21">
        <f t="shared" si="18"/>
        <v>109.69896690980154</v>
      </c>
      <c r="S60" s="19">
        <f t="shared" si="4"/>
        <v>0.26652496017613631</v>
      </c>
      <c r="T60" s="19">
        <f t="shared" si="11"/>
        <v>1765.9443538029125</v>
      </c>
      <c r="U60" s="19">
        <f t="shared" si="12"/>
        <v>1.8147275589350556</v>
      </c>
      <c r="V60" s="19">
        <f t="shared" si="5"/>
        <v>695.65081510330936</v>
      </c>
      <c r="W60" s="19">
        <f t="shared" si="6"/>
        <v>70.001461822051056</v>
      </c>
      <c r="X60" s="19">
        <f t="shared" si="7"/>
        <v>206.17396739586763</v>
      </c>
      <c r="Y60" s="19">
        <f t="shared" si="19"/>
        <v>8.1941874756558004</v>
      </c>
    </row>
    <row r="61" spans="1:25" ht="18" x14ac:dyDescent="0.35">
      <c r="C61" s="3" t="s">
        <v>17</v>
      </c>
      <c r="D61" s="34">
        <v>0.4</v>
      </c>
      <c r="I61" s="19">
        <f t="shared" si="14"/>
        <v>12</v>
      </c>
      <c r="J61" s="19">
        <f t="shared" si="15"/>
        <v>5.5</v>
      </c>
      <c r="K61" s="19">
        <f t="shared" si="16"/>
        <v>0.5</v>
      </c>
      <c r="L61" s="18">
        <f t="shared" si="8"/>
        <v>47.199643454453458</v>
      </c>
      <c r="M61" s="21">
        <f t="shared" si="2"/>
        <v>27.961874084391859</v>
      </c>
      <c r="N61" s="19">
        <f t="shared" si="9"/>
        <v>47.199643454453458</v>
      </c>
      <c r="O61" s="19">
        <f t="shared" si="10"/>
        <v>21.582259499350616</v>
      </c>
      <c r="P61" s="19">
        <f t="shared" si="3"/>
        <v>1.0087811139380565</v>
      </c>
      <c r="Q61" s="19">
        <f t="shared" si="17"/>
        <v>22.591040613288673</v>
      </c>
      <c r="R61" s="21">
        <f t="shared" si="18"/>
        <v>132.29000752309022</v>
      </c>
      <c r="S61" s="19">
        <f t="shared" si="4"/>
        <v>0.28925810671777108</v>
      </c>
      <c r="T61" s="19">
        <f t="shared" si="11"/>
        <v>1752.721259454278</v>
      </c>
      <c r="U61" s="19">
        <f t="shared" si="12"/>
        <v>2.2153159077628057</v>
      </c>
      <c r="V61" s="19">
        <f t="shared" si="5"/>
        <v>849.21084124103231</v>
      </c>
      <c r="W61" s="19">
        <f t="shared" si="6"/>
        <v>85.453792321335541</v>
      </c>
      <c r="X61" s="19">
        <f t="shared" si="7"/>
        <v>200.0315663503587</v>
      </c>
      <c r="Y61" s="19">
        <f t="shared" si="19"/>
        <v>8.0702489115044518</v>
      </c>
    </row>
    <row r="62" spans="1:25" ht="24" x14ac:dyDescent="0.45">
      <c r="A62" s="40" t="s">
        <v>99</v>
      </c>
      <c r="B62" s="40">
        <f>(Q26^2*P9)/((50051*D61*C7/Q26)+(16.09*climb!B7*Q26^2*R10*((M13*M17)-M16))-(64.35*M13*P9))</f>
        <v>1147.7098796179619</v>
      </c>
      <c r="C62" t="s">
        <v>10</v>
      </c>
      <c r="I62" s="19">
        <f t="shared" si="14"/>
        <v>13</v>
      </c>
      <c r="J62" s="19">
        <f t="shared" si="15"/>
        <v>6</v>
      </c>
      <c r="K62" s="19">
        <f t="shared" si="16"/>
        <v>0.5</v>
      </c>
      <c r="L62" s="18">
        <f t="shared" si="8"/>
        <v>51.169974352024134</v>
      </c>
      <c r="M62" s="21">
        <f t="shared" si="2"/>
        <v>30.313965848355529</v>
      </c>
      <c r="N62" s="19">
        <f t="shared" si="9"/>
        <v>51.169974352024134</v>
      </c>
      <c r="O62" s="19">
        <f t="shared" si="10"/>
        <v>23.599821727226729</v>
      </c>
      <c r="P62" s="19">
        <f t="shared" si="3"/>
        <v>0.99258272439266915</v>
      </c>
      <c r="Q62" s="19">
        <f t="shared" si="17"/>
        <v>24.592404451619398</v>
      </c>
      <c r="R62" s="21">
        <f t="shared" si="18"/>
        <v>156.88241197470961</v>
      </c>
      <c r="S62" s="19">
        <f t="shared" si="4"/>
        <v>0.31117734678470715</v>
      </c>
      <c r="T62" s="19">
        <f t="shared" si="11"/>
        <v>1739.2371660804986</v>
      </c>
      <c r="U62" s="19">
        <f t="shared" si="12"/>
        <v>2.6488617409085347</v>
      </c>
      <c r="V62" s="19">
        <f t="shared" si="5"/>
        <v>1015.404665061869</v>
      </c>
      <c r="W62" s="19">
        <f t="shared" si="6"/>
        <v>102.17742774398256</v>
      </c>
      <c r="X62" s="19">
        <f t="shared" si="7"/>
        <v>193.38381339752524</v>
      </c>
      <c r="Y62" s="19">
        <f t="shared" si="19"/>
        <v>7.9406617951413532</v>
      </c>
    </row>
    <row r="63" spans="1:25" x14ac:dyDescent="0.25">
      <c r="I63" s="19">
        <f t="shared" si="14"/>
        <v>14</v>
      </c>
      <c r="J63" s="19">
        <f t="shared" si="15"/>
        <v>6.5</v>
      </c>
      <c r="K63" s="19">
        <f t="shared" si="16"/>
        <v>0.5</v>
      </c>
      <c r="L63" s="18">
        <f t="shared" si="8"/>
        <v>55.072954670466125</v>
      </c>
      <c r="M63" s="21">
        <f t="shared" si="2"/>
        <v>32.626157980133961</v>
      </c>
      <c r="N63" s="19">
        <f t="shared" si="9"/>
        <v>55.072954670466125</v>
      </c>
      <c r="O63" s="19">
        <f t="shared" si="10"/>
        <v>25.584987176012067</v>
      </c>
      <c r="P63" s="19">
        <f t="shared" si="3"/>
        <v>0.97574507961049772</v>
      </c>
      <c r="Q63" s="19">
        <f t="shared" si="17"/>
        <v>26.560732255622565</v>
      </c>
      <c r="R63" s="21">
        <f t="shared" si="18"/>
        <v>183.44314423033217</v>
      </c>
      <c r="S63" s="19">
        <f t="shared" si="4"/>
        <v>0.33227473960194942</v>
      </c>
      <c r="T63" s="19">
        <f t="shared" si="11"/>
        <v>1725.5398061495223</v>
      </c>
      <c r="U63" s="19">
        <f t="shared" si="12"/>
        <v>3.1132375011971143</v>
      </c>
      <c r="V63" s="19">
        <f t="shared" si="5"/>
        <v>1193.4167168260151</v>
      </c>
      <c r="W63" s="19">
        <f t="shared" si="6"/>
        <v>120.09029951080754</v>
      </c>
      <c r="X63" s="19">
        <f t="shared" si="7"/>
        <v>186.26333132695939</v>
      </c>
      <c r="Y63" s="19">
        <f t="shared" si="19"/>
        <v>7.8059606368839818</v>
      </c>
    </row>
    <row r="64" spans="1:25" x14ac:dyDescent="0.25">
      <c r="I64" s="19">
        <f t="shared" si="14"/>
        <v>15</v>
      </c>
      <c r="J64" s="19">
        <f t="shared" si="15"/>
        <v>7</v>
      </c>
      <c r="K64" s="19">
        <f t="shared" si="16"/>
        <v>0.5</v>
      </c>
      <c r="L64" s="18">
        <f t="shared" si="8"/>
        <v>58.906292672996912</v>
      </c>
      <c r="M64" s="21">
        <f t="shared" si="2"/>
        <v>34.897092815756466</v>
      </c>
      <c r="N64" s="19">
        <f t="shared" si="9"/>
        <v>58.906292672996912</v>
      </c>
      <c r="O64" s="19">
        <f t="shared" si="10"/>
        <v>27.536477335233062</v>
      </c>
      <c r="P64" s="19">
        <f t="shared" si="3"/>
        <v>0.95833450063269654</v>
      </c>
      <c r="Q64" s="19">
        <f t="shared" si="17"/>
        <v>28.494811835865757</v>
      </c>
      <c r="R64" s="21">
        <f t="shared" si="18"/>
        <v>211.93795606619793</v>
      </c>
      <c r="S64" s="19">
        <f t="shared" si="4"/>
        <v>0.35254699532274414</v>
      </c>
      <c r="T64" s="19">
        <f t="shared" si="11"/>
        <v>1711.6752062810658</v>
      </c>
      <c r="U64" s="19">
        <f t="shared" si="12"/>
        <v>3.6062730696647725</v>
      </c>
      <c r="V64" s="19">
        <f t="shared" si="5"/>
        <v>1382.4151113182013</v>
      </c>
      <c r="W64" s="19">
        <f t="shared" si="6"/>
        <v>139.10869726041548</v>
      </c>
      <c r="X64" s="19">
        <f t="shared" si="7"/>
        <v>178.70339554727195</v>
      </c>
      <c r="Y64" s="19">
        <f t="shared" si="19"/>
        <v>7.6666760050615723</v>
      </c>
    </row>
    <row r="65" spans="1:25" x14ac:dyDescent="0.25">
      <c r="I65" s="19">
        <f t="shared" si="14"/>
        <v>16</v>
      </c>
      <c r="J65" s="19">
        <f t="shared" si="15"/>
        <v>7.5</v>
      </c>
      <c r="K65" s="19">
        <f t="shared" si="16"/>
        <v>0.5</v>
      </c>
      <c r="L65" s="18">
        <f t="shared" si="8"/>
        <v>62.667958297701958</v>
      </c>
      <c r="M65" s="21">
        <f t="shared" si="2"/>
        <v>37.125567711908744</v>
      </c>
      <c r="N65" s="19">
        <f t="shared" si="9"/>
        <v>62.667958297701958</v>
      </c>
      <c r="O65" s="19">
        <f t="shared" si="10"/>
        <v>29.453146336498456</v>
      </c>
      <c r="P65" s="19">
        <f t="shared" si="3"/>
        <v>0.9404164061762621</v>
      </c>
      <c r="Q65" s="19">
        <f t="shared" si="17"/>
        <v>30.393562742674717</v>
      </c>
      <c r="R65" s="21">
        <f t="shared" si="18"/>
        <v>242.33151880887266</v>
      </c>
      <c r="S65" s="19">
        <f t="shared" si="4"/>
        <v>0.37199513170360937</v>
      </c>
      <c r="T65" s="19">
        <f t="shared" si="11"/>
        <v>1697.6874715117956</v>
      </c>
      <c r="U65" s="19">
        <f t="shared" si="12"/>
        <v>4.1257721152908786</v>
      </c>
      <c r="V65" s="19">
        <f t="shared" si="5"/>
        <v>1581.5579152921862</v>
      </c>
      <c r="W65" s="19">
        <f t="shared" si="6"/>
        <v>159.1478995252053</v>
      </c>
      <c r="X65" s="19">
        <f t="shared" si="7"/>
        <v>170.73768338831255</v>
      </c>
      <c r="Y65" s="19">
        <f t="shared" si="19"/>
        <v>7.5233312494100968</v>
      </c>
    </row>
    <row r="66" spans="1:25" x14ac:dyDescent="0.25">
      <c r="I66" s="19">
        <f t="shared" si="14"/>
        <v>17</v>
      </c>
      <c r="J66" s="19">
        <f t="shared" si="15"/>
        <v>8</v>
      </c>
      <c r="K66" s="19">
        <f t="shared" si="16"/>
        <v>0.5</v>
      </c>
      <c r="L66" s="18">
        <f t="shared" si="8"/>
        <v>66.35617806824979</v>
      </c>
      <c r="M66" s="21">
        <f t="shared" si="2"/>
        <v>39.310532030953667</v>
      </c>
      <c r="N66" s="19">
        <f t="shared" si="9"/>
        <v>66.35617806824979</v>
      </c>
      <c r="O66" s="19">
        <f t="shared" si="10"/>
        <v>31.333979148850979</v>
      </c>
      <c r="P66" s="19">
        <f t="shared" si="3"/>
        <v>0.92205494263695731</v>
      </c>
      <c r="Q66" s="19">
        <f t="shared" si="17"/>
        <v>32.256034091487933</v>
      </c>
      <c r="R66" s="21">
        <f t="shared" si="18"/>
        <v>274.58755290036061</v>
      </c>
      <c r="S66" s="19">
        <f t="shared" si="4"/>
        <v>0.39062411226621352</v>
      </c>
      <c r="T66" s="19">
        <f t="shared" si="11"/>
        <v>1683.6186073470124</v>
      </c>
      <c r="U66" s="19">
        <f t="shared" si="12"/>
        <v>4.6695275936737861</v>
      </c>
      <c r="V66" s="19">
        <f t="shared" si="5"/>
        <v>1789.9990886746734</v>
      </c>
      <c r="W66" s="19">
        <f t="shared" si="6"/>
        <v>180.1227715786662</v>
      </c>
      <c r="X66" s="19">
        <f t="shared" si="7"/>
        <v>162.40003645301306</v>
      </c>
      <c r="Y66" s="19">
        <f t="shared" si="19"/>
        <v>7.3764395410956585</v>
      </c>
    </row>
    <row r="67" spans="1:25" x14ac:dyDescent="0.25">
      <c r="I67" s="19">
        <f t="shared" si="14"/>
        <v>18</v>
      </c>
      <c r="J67" s="19">
        <f t="shared" si="15"/>
        <v>8.5</v>
      </c>
      <c r="K67" s="19">
        <f t="shared" si="16"/>
        <v>0.5</v>
      </c>
      <c r="L67" s="18">
        <f t="shared" si="8"/>
        <v>69.969428687244829</v>
      </c>
      <c r="M67" s="21">
        <f t="shared" si="2"/>
        <v>41.451083345524189</v>
      </c>
      <c r="N67" s="19">
        <f t="shared" si="9"/>
        <v>69.969428687244829</v>
      </c>
      <c r="O67" s="19">
        <f t="shared" si="10"/>
        <v>33.178089034124895</v>
      </c>
      <c r="P67" s="19">
        <f t="shared" si="3"/>
        <v>0.90331265474876077</v>
      </c>
      <c r="Q67" s="19">
        <f t="shared" si="17"/>
        <v>34.081401688873655</v>
      </c>
      <c r="R67" s="21">
        <f t="shared" si="18"/>
        <v>308.66895458923426</v>
      </c>
      <c r="S67" s="19">
        <f t="shared" si="4"/>
        <v>0.40844247351326085</v>
      </c>
      <c r="T67" s="19">
        <f t="shared" si="11"/>
        <v>1669.5083783939408</v>
      </c>
      <c r="U67" s="19">
        <f t="shared" si="12"/>
        <v>5.2353362753442507</v>
      </c>
      <c r="V67" s="19">
        <f t="shared" si="5"/>
        <v>2006.8940537941587</v>
      </c>
      <c r="W67" s="19">
        <f t="shared" si="6"/>
        <v>201.94832585182834</v>
      </c>
      <c r="X67" s="19">
        <f t="shared" si="7"/>
        <v>153.72423784823366</v>
      </c>
      <c r="Y67" s="19">
        <f t="shared" si="19"/>
        <v>7.2265012379900861</v>
      </c>
    </row>
    <row r="68" spans="1:25" x14ac:dyDescent="0.25">
      <c r="I68" s="19">
        <f t="shared" si="14"/>
        <v>19</v>
      </c>
      <c r="J68" s="19">
        <f t="shared" si="15"/>
        <v>9</v>
      </c>
      <c r="K68" s="19">
        <f t="shared" si="16"/>
        <v>0.5</v>
      </c>
      <c r="L68" s="18">
        <f t="shared" si="8"/>
        <v>73.506429476085287</v>
      </c>
      <c r="M68" s="21">
        <f t="shared" si="2"/>
        <v>43.546462959766167</v>
      </c>
      <c r="N68" s="19">
        <f t="shared" si="9"/>
        <v>73.506429476085287</v>
      </c>
      <c r="O68" s="19">
        <f t="shared" si="10"/>
        <v>34.984714343622414</v>
      </c>
      <c r="P68" s="19">
        <f t="shared" si="3"/>
        <v>0.88425019721011411</v>
      </c>
      <c r="Q68" s="19">
        <f t="shared" si="17"/>
        <v>35.868964540832529</v>
      </c>
      <c r="R68" s="21">
        <f t="shared" si="18"/>
        <v>344.53791913006677</v>
      </c>
      <c r="S68" s="19">
        <f t="shared" si="4"/>
        <v>0.42546194809194121</v>
      </c>
      <c r="T68" s="19">
        <f t="shared" si="11"/>
        <v>1655.3942018620762</v>
      </c>
      <c r="U68" s="19">
        <f t="shared" si="12"/>
        <v>5.8210122105243132</v>
      </c>
      <c r="V68" s="19">
        <f t="shared" si="5"/>
        <v>2231.4048569107958</v>
      </c>
      <c r="W68" s="19">
        <f t="shared" si="6"/>
        <v>224.54024132406613</v>
      </c>
      <c r="X68" s="19">
        <f t="shared" si="7"/>
        <v>144.74380572356816</v>
      </c>
      <c r="Y68" s="19">
        <f t="shared" si="19"/>
        <v>7.0740015776809129</v>
      </c>
    </row>
    <row r="69" spans="1:25" ht="23.25" x14ac:dyDescent="0.35">
      <c r="B69" s="44" t="s">
        <v>102</v>
      </c>
      <c r="I69" s="19">
        <f t="shared" si="14"/>
        <v>20</v>
      </c>
      <c r="J69" s="19">
        <f t="shared" si="15"/>
        <v>9.5</v>
      </c>
      <c r="K69" s="19">
        <f t="shared" si="16"/>
        <v>0.5</v>
      </c>
      <c r="L69" s="18">
        <f t="shared" si="8"/>
        <v>76.96613382369992</v>
      </c>
      <c r="M69" s="21">
        <f t="shared" si="2"/>
        <v>45.596050843424123</v>
      </c>
      <c r="N69" s="19">
        <f t="shared" si="9"/>
        <v>76.96613382369992</v>
      </c>
      <c r="O69" s="19">
        <f t="shared" si="10"/>
        <v>36.753214738042644</v>
      </c>
      <c r="P69" s="19">
        <f t="shared" si="3"/>
        <v>0.8649260869036588</v>
      </c>
      <c r="Q69" s="19">
        <f t="shared" si="17"/>
        <v>37.618140824946302</v>
      </c>
      <c r="R69" s="21">
        <f t="shared" si="18"/>
        <v>382.15605995501306</v>
      </c>
      <c r="S69" s="19">
        <f t="shared" si="4"/>
        <v>0.44169709004495872</v>
      </c>
      <c r="T69" s="19">
        <f t="shared" si="11"/>
        <v>1641.3110738058049</v>
      </c>
      <c r="U69" s="19">
        <f t="shared" si="12"/>
        <v>6.42439906226969</v>
      </c>
      <c r="V69" s="19">
        <f t="shared" si="5"/>
        <v>2462.7048959566637</v>
      </c>
      <c r="W69" s="19">
        <f t="shared" si="6"/>
        <v>247.81533926282683</v>
      </c>
      <c r="X69" s="19">
        <f t="shared" si="7"/>
        <v>135.49180416173346</v>
      </c>
      <c r="Y69" s="19">
        <f t="shared" si="19"/>
        <v>6.9194086952292704</v>
      </c>
    </row>
    <row r="70" spans="1:25" ht="18" x14ac:dyDescent="0.35">
      <c r="A70" s="34" t="s">
        <v>104</v>
      </c>
      <c r="B70">
        <f>P12</f>
        <v>102.968</v>
      </c>
      <c r="C70" t="s">
        <v>16</v>
      </c>
      <c r="I70" s="19">
        <f t="shared" si="14"/>
        <v>21</v>
      </c>
      <c r="J70" s="19">
        <f t="shared" si="15"/>
        <v>10</v>
      </c>
      <c r="K70" s="19">
        <f t="shared" si="16"/>
        <v>0.5</v>
      </c>
      <c r="L70" s="18">
        <f t="shared" si="8"/>
        <v>80.34771980266936</v>
      </c>
      <c r="M70" s="21">
        <f t="shared" si="2"/>
        <v>47.599360072671423</v>
      </c>
      <c r="N70" s="19">
        <f t="shared" si="9"/>
        <v>80.34771980266936</v>
      </c>
      <c r="O70" s="19">
        <f t="shared" si="10"/>
        <v>38.48306691184996</v>
      </c>
      <c r="P70" s="19">
        <f t="shared" si="3"/>
        <v>0.84539649474236167</v>
      </c>
      <c r="Q70" s="19">
        <f t="shared" si="17"/>
        <v>39.32846340659232</v>
      </c>
      <c r="R70" s="21">
        <f t="shared" si="18"/>
        <v>421.4845233616054</v>
      </c>
      <c r="S70" s="19">
        <f t="shared" si="4"/>
        <v>0.45716490748908872</v>
      </c>
      <c r="T70" s="19">
        <f t="shared" si="11"/>
        <v>1627.2915256710937</v>
      </c>
      <c r="U70" s="19">
        <f t="shared" si="12"/>
        <v>7.0433812636077775</v>
      </c>
      <c r="V70" s="19">
        <f t="shared" si="5"/>
        <v>2699.9831974709523</v>
      </c>
      <c r="W70" s="19">
        <f t="shared" si="6"/>
        <v>271.69201360006156</v>
      </c>
      <c r="X70" s="19">
        <f t="shared" si="7"/>
        <v>126.00067210116191</v>
      </c>
      <c r="Y70" s="19">
        <f t="shared" si="19"/>
        <v>6.7631719579388934</v>
      </c>
    </row>
    <row r="71" spans="1:25" ht="18" x14ac:dyDescent="0.35">
      <c r="A71" s="34" t="s">
        <v>105</v>
      </c>
      <c r="B71">
        <f>1.15*B70</f>
        <v>118.41319999999999</v>
      </c>
      <c r="C71" t="s">
        <v>16</v>
      </c>
      <c r="I71" s="19">
        <f>I70+1</f>
        <v>22</v>
      </c>
      <c r="J71" s="19">
        <f t="shared" si="15"/>
        <v>10.5</v>
      </c>
      <c r="K71" s="19">
        <f t="shared" si="16"/>
        <v>0.5</v>
      </c>
      <c r="L71" s="18">
        <f t="shared" si="8"/>
        <v>83.650580105362351</v>
      </c>
      <c r="M71" s="21">
        <f t="shared" si="2"/>
        <v>49.556030868105658</v>
      </c>
      <c r="N71" s="19">
        <f t="shared" si="9"/>
        <v>83.650580105362351</v>
      </c>
      <c r="O71" s="19">
        <f t="shared" si="10"/>
        <v>40.17385990133468</v>
      </c>
      <c r="P71" s="19">
        <f t="shared" si="3"/>
        <v>0.82571507567324898</v>
      </c>
      <c r="Q71" s="19">
        <f t="shared" si="17"/>
        <v>40.999574977007931</v>
      </c>
      <c r="R71" s="21">
        <f t="shared" si="18"/>
        <v>462.48409833861331</v>
      </c>
      <c r="S71" s="19">
        <f t="shared" si="4"/>
        <v>0.47188450724443615</v>
      </c>
      <c r="T71" s="19">
        <f t="shared" si="11"/>
        <v>1613.3656084861666</v>
      </c>
      <c r="U71" s="19">
        <f t="shared" si="12"/>
        <v>7.6758939761335476</v>
      </c>
      <c r="V71" s="19">
        <f t="shared" si="5"/>
        <v>2942.4482340905365</v>
      </c>
      <c r="W71" s="19">
        <f t="shared" si="6"/>
        <v>296.09061507598659</v>
      </c>
      <c r="X71" s="19">
        <f t="shared" si="7"/>
        <v>116.30207063637855</v>
      </c>
      <c r="Y71" s="19">
        <f t="shared" si="19"/>
        <v>6.6057206053859918</v>
      </c>
    </row>
    <row r="72" spans="1:25" ht="18" x14ac:dyDescent="0.35">
      <c r="A72" s="34" t="s">
        <v>106</v>
      </c>
      <c r="B72">
        <f>2*P9/(climb!B7*R10*B71^2)</f>
        <v>1.3610598656002564</v>
      </c>
      <c r="I72" s="19">
        <f t="shared" si="14"/>
        <v>23</v>
      </c>
      <c r="J72" s="19">
        <f t="shared" si="15"/>
        <v>11</v>
      </c>
      <c r="K72" s="19">
        <f t="shared" si="16"/>
        <v>0.5</v>
      </c>
      <c r="L72" s="18">
        <f t="shared" si="8"/>
        <v>86.874311445200902</v>
      </c>
      <c r="M72" s="21">
        <f t="shared" si="2"/>
        <v>51.465824315877313</v>
      </c>
      <c r="N72" s="19">
        <f t="shared" si="9"/>
        <v>86.874311445200902</v>
      </c>
      <c r="O72" s="19">
        <f t="shared" si="10"/>
        <v>41.825290052681176</v>
      </c>
      <c r="P72" s="19">
        <f t="shared" si="3"/>
        <v>0.80593283495963774</v>
      </c>
      <c r="Q72" s="19">
        <f t="shared" si="17"/>
        <v>42.631222887640817</v>
      </c>
      <c r="R72" s="21">
        <f t="shared" si="18"/>
        <v>505.11532122625414</v>
      </c>
      <c r="S72" s="19">
        <f t="shared" si="4"/>
        <v>0.48587675512970496</v>
      </c>
      <c r="T72" s="19">
        <f t="shared" si="11"/>
        <v>1599.5609018984871</v>
      </c>
      <c r="U72" s="19">
        <f t="shared" si="12"/>
        <v>8.3199318472847708</v>
      </c>
      <c r="V72" s="19">
        <f t="shared" si="5"/>
        <v>3189.3312815308177</v>
      </c>
      <c r="W72" s="19">
        <f t="shared" si="6"/>
        <v>320.93378904299459</v>
      </c>
      <c r="X72" s="19">
        <f t="shared" si="7"/>
        <v>106.42674873876729</v>
      </c>
      <c r="Y72" s="19">
        <f t="shared" si="19"/>
        <v>6.447462679677102</v>
      </c>
    </row>
    <row r="73" spans="1:25" ht="18" x14ac:dyDescent="0.35">
      <c r="A73" s="34" t="s">
        <v>87</v>
      </c>
      <c r="B73">
        <f>P6+(P7*B72^2)</f>
        <v>0.12526698069413364</v>
      </c>
      <c r="I73" s="19">
        <f t="shared" si="14"/>
        <v>24</v>
      </c>
      <c r="J73" s="19">
        <f t="shared" si="15"/>
        <v>11.5</v>
      </c>
      <c r="K73" s="19">
        <f t="shared" si="16"/>
        <v>0.5</v>
      </c>
      <c r="L73" s="18">
        <f t="shared" si="8"/>
        <v>90.018703559363118</v>
      </c>
      <c r="M73" s="21">
        <f t="shared" si="2"/>
        <v>53.328615852703273</v>
      </c>
      <c r="N73" s="19">
        <f t="shared" si="9"/>
        <v>90.018703559363118</v>
      </c>
      <c r="O73" s="19">
        <f t="shared" si="10"/>
        <v>43.437155722600451</v>
      </c>
      <c r="P73" s="19">
        <f t="shared" si="3"/>
        <v>0.78609802854055355</v>
      </c>
      <c r="Q73" s="19">
        <f t="shared" si="17"/>
        <v>44.223253751141002</v>
      </c>
      <c r="R73" s="21">
        <f t="shared" si="18"/>
        <v>549.33857497739518</v>
      </c>
      <c r="S73" s="19">
        <f t="shared" si="4"/>
        <v>0.49916395486101628</v>
      </c>
      <c r="T73" s="19">
        <f t="shared" si="11"/>
        <v>1585.9025451983603</v>
      </c>
      <c r="U73" s="19">
        <f t="shared" si="12"/>
        <v>8.9735565810134617</v>
      </c>
      <c r="V73" s="19">
        <f t="shared" si="5"/>
        <v>3439.8893206983489</v>
      </c>
      <c r="W73" s="19">
        <f t="shared" si="6"/>
        <v>346.14676749740664</v>
      </c>
      <c r="X73" s="19">
        <f t="shared" si="7"/>
        <v>96.40442717206605</v>
      </c>
      <c r="Y73" s="19">
        <f t="shared" si="19"/>
        <v>6.2887842283244284</v>
      </c>
    </row>
    <row r="74" spans="1:25" x14ac:dyDescent="0.25">
      <c r="A74" s="34" t="s">
        <v>107</v>
      </c>
      <c r="B74">
        <f>B72/B73</f>
        <v>10.865272381103985</v>
      </c>
      <c r="I74" s="19">
        <f t="shared" si="14"/>
        <v>25</v>
      </c>
      <c r="J74" s="19">
        <f t="shared" si="15"/>
        <v>12</v>
      </c>
      <c r="K74" s="19">
        <f t="shared" si="16"/>
        <v>0.5</v>
      </c>
      <c r="L74" s="18">
        <f t="shared" si="8"/>
        <v>93.08372793947035</v>
      </c>
      <c r="M74" s="21">
        <f t="shared" si="2"/>
        <v>55.144388589733623</v>
      </c>
      <c r="N74" s="19">
        <f t="shared" si="9"/>
        <v>93.08372793947035</v>
      </c>
      <c r="O74" s="19">
        <f t="shared" si="10"/>
        <v>45.009351779681559</v>
      </c>
      <c r="P74" s="19">
        <f t="shared" si="3"/>
        <v>0.76625609502680914</v>
      </c>
      <c r="Q74" s="19">
        <f t="shared" si="17"/>
        <v>45.775607874708371</v>
      </c>
      <c r="R74" s="21">
        <f t="shared" si="18"/>
        <v>595.11418285210357</v>
      </c>
      <c r="S74" s="19">
        <f t="shared" si="4"/>
        <v>0.51176954776080075</v>
      </c>
      <c r="T74" s="19">
        <f t="shared" si="11"/>
        <v>1572.4132874734737</v>
      </c>
      <c r="U74" s="19">
        <f t="shared" si="12"/>
        <v>9.6349033517146001</v>
      </c>
      <c r="V74" s="19">
        <f t="shared" si="5"/>
        <v>3693.4074963820699</v>
      </c>
      <c r="W74" s="19">
        <f t="shared" si="6"/>
        <v>371.65761649092724</v>
      </c>
      <c r="X74" s="19">
        <f t="shared" si="7"/>
        <v>86.263700144717205</v>
      </c>
      <c r="Y74" s="19">
        <f t="shared" si="19"/>
        <v>6.1300487602144731</v>
      </c>
    </row>
    <row r="75" spans="1:25" x14ac:dyDescent="0.25">
      <c r="A75" s="45" t="s">
        <v>30</v>
      </c>
      <c r="B75" s="70">
        <f>VLOOKUP(B71,L50:T86,9,TRUE)</f>
        <v>1461.2947201283657</v>
      </c>
      <c r="I75" s="19">
        <f t="shared" si="14"/>
        <v>26</v>
      </c>
      <c r="J75" s="19">
        <f t="shared" si="15"/>
        <v>12.5</v>
      </c>
      <c r="K75" s="19">
        <f t="shared" si="16"/>
        <v>0.5</v>
      </c>
      <c r="L75" s="18">
        <f t="shared" si="8"/>
        <v>96.069526406391518</v>
      </c>
      <c r="M75" s="21">
        <f t="shared" si="2"/>
        <v>56.91322654407081</v>
      </c>
      <c r="N75" s="19">
        <f t="shared" si="9"/>
        <v>96.069526406391518</v>
      </c>
      <c r="O75" s="19">
        <f t="shared" si="10"/>
        <v>46.541863969735175</v>
      </c>
      <c r="P75" s="19">
        <f t="shared" si="3"/>
        <v>0.74644961673029153</v>
      </c>
      <c r="Q75" s="19">
        <f t="shared" si="17"/>
        <v>47.288313586465463</v>
      </c>
      <c r="R75" s="21">
        <f t="shared" si="18"/>
        <v>642.40249643856907</v>
      </c>
      <c r="S75" s="19">
        <f t="shared" si="4"/>
        <v>0.52371783481137835</v>
      </c>
      <c r="T75" s="19">
        <f t="shared" si="11"/>
        <v>1559.1135540987648</v>
      </c>
      <c r="U75" s="19">
        <f t="shared" si="12"/>
        <v>10.302186104052996</v>
      </c>
      <c r="V75" s="19">
        <f t="shared" si="5"/>
        <v>3949.2011488689432</v>
      </c>
      <c r="W75" s="19">
        <f t="shared" si="6"/>
        <v>397.39744056663636</v>
      </c>
      <c r="X75" s="19">
        <f t="shared" si="7"/>
        <v>76.031954045242273</v>
      </c>
      <c r="Y75" s="19">
        <f t="shared" si="19"/>
        <v>5.9715969338423323</v>
      </c>
    </row>
    <row r="76" spans="1:25" ht="18" x14ac:dyDescent="0.35">
      <c r="A76" s="26" t="s">
        <v>108</v>
      </c>
      <c r="B76">
        <f>ASIN((B75/P9)-(1/B74))</f>
        <v>0.15841942382112581</v>
      </c>
      <c r="C76" t="s">
        <v>71</v>
      </c>
      <c r="I76" s="19">
        <f t="shared" si="14"/>
        <v>27</v>
      </c>
      <c r="J76" s="19">
        <f t="shared" si="15"/>
        <v>13</v>
      </c>
      <c r="K76" s="19">
        <f t="shared" si="16"/>
        <v>0.5</v>
      </c>
      <c r="L76" s="18">
        <f t="shared" si="8"/>
        <v>98.976399634506677</v>
      </c>
      <c r="M76" s="21">
        <f t="shared" si="2"/>
        <v>58.635307840347558</v>
      </c>
      <c r="N76" s="19">
        <f t="shared" si="9"/>
        <v>98.976399634506677</v>
      </c>
      <c r="O76" s="19">
        <f t="shared" si="10"/>
        <v>48.034763203195759</v>
      </c>
      <c r="P76" s="19">
        <f t="shared" si="3"/>
        <v>0.72671830702878848</v>
      </c>
      <c r="Q76" s="19">
        <f t="shared" si="17"/>
        <v>48.761481510224549</v>
      </c>
      <c r="R76" s="21">
        <f t="shared" si="18"/>
        <v>691.16397794879367</v>
      </c>
      <c r="S76" s="19">
        <f t="shared" si="4"/>
        <v>0.53503372198338972</v>
      </c>
      <c r="T76" s="19">
        <f t="shared" si="11"/>
        <v>1546.0215268721636</v>
      </c>
      <c r="U76" s="19">
        <f t="shared" si="12"/>
        <v>10.973701791794596</v>
      </c>
      <c r="V76" s="19">
        <f t="shared" si="5"/>
        <v>4206.6174388415475</v>
      </c>
      <c r="W76" s="19">
        <f t="shared" si="6"/>
        <v>423.30054626804389</v>
      </c>
      <c r="X76" s="19">
        <f t="shared" si="7"/>
        <v>65.735302446338096</v>
      </c>
      <c r="Y76" s="19">
        <f t="shared" si="19"/>
        <v>5.8137464562303078</v>
      </c>
    </row>
    <row r="77" spans="1:25" x14ac:dyDescent="0.25">
      <c r="B77">
        <f>B76*57.3</f>
        <v>9.0774329849505087</v>
      </c>
      <c r="C77" t="s">
        <v>109</v>
      </c>
      <c r="I77" s="19">
        <f>I76+1</f>
        <v>28</v>
      </c>
      <c r="J77" s="19">
        <f t="shared" si="15"/>
        <v>13.5</v>
      </c>
      <c r="K77" s="19">
        <f t="shared" si="16"/>
        <v>0.5</v>
      </c>
      <c r="L77" s="18">
        <f t="shared" si="8"/>
        <v>101.8047957198462</v>
      </c>
      <c r="M77" s="21">
        <f t="shared" si="2"/>
        <v>60.310897938297515</v>
      </c>
      <c r="N77" s="19">
        <f t="shared" si="9"/>
        <v>101.8047957198462</v>
      </c>
      <c r="O77" s="19">
        <f t="shared" si="10"/>
        <v>49.488199817253339</v>
      </c>
      <c r="P77" s="19">
        <f t="shared" si="3"/>
        <v>0.70709902133488045</v>
      </c>
      <c r="Q77" s="19">
        <f t="shared" si="17"/>
        <v>50.195298838588222</v>
      </c>
      <c r="R77" s="21">
        <f t="shared" si="18"/>
        <v>741.35927678738187</v>
      </c>
      <c r="S77" s="19">
        <f t="shared" si="4"/>
        <v>0.54574248923701507</v>
      </c>
      <c r="T77" s="19">
        <f t="shared" si="11"/>
        <v>1533.1532352493987</v>
      </c>
      <c r="U77" s="19">
        <f t="shared" si="12"/>
        <v>11.647833617000783</v>
      </c>
      <c r="V77" s="19">
        <f t="shared" si="5"/>
        <v>4465.0365890786043</v>
      </c>
      <c r="W77" s="19">
        <f t="shared" si="6"/>
        <v>449.30456708805792</v>
      </c>
      <c r="X77" s="19">
        <f t="shared" si="7"/>
        <v>55.398536436855828</v>
      </c>
      <c r="Y77" s="19">
        <f t="shared" si="19"/>
        <v>5.6567921706790436</v>
      </c>
    </row>
    <row r="78" spans="1:25" x14ac:dyDescent="0.25">
      <c r="A78" s="26" t="s">
        <v>110</v>
      </c>
      <c r="B78">
        <f>0.2156*B70^2</f>
        <v>2285.8793855744002</v>
      </c>
      <c r="C78" t="s">
        <v>10</v>
      </c>
      <c r="I78" s="19">
        <f>I77+1</f>
        <v>29</v>
      </c>
      <c r="J78" s="19">
        <f t="shared" si="15"/>
        <v>14</v>
      </c>
      <c r="K78" s="19">
        <f t="shared" si="16"/>
        <v>0.5</v>
      </c>
      <c r="L78" s="18">
        <f t="shared" si="8"/>
        <v>104.55529887566874</v>
      </c>
      <c r="M78" s="21">
        <f t="shared" si="2"/>
        <v>61.940342935822713</v>
      </c>
      <c r="N78" s="19">
        <f t="shared" si="9"/>
        <v>104.55529887566874</v>
      </c>
      <c r="O78" s="19">
        <f t="shared" si="10"/>
        <v>50.902397859923099</v>
      </c>
      <c r="P78" s="19">
        <f t="shared" si="3"/>
        <v>0.68762578895563553</v>
      </c>
      <c r="Q78" s="19">
        <f t="shared" si="17"/>
        <v>51.590023648878734</v>
      </c>
      <c r="R78" s="21">
        <f t="shared" si="18"/>
        <v>792.94930043626061</v>
      </c>
      <c r="S78" s="19">
        <f t="shared" si="4"/>
        <v>0.55586958313564494</v>
      </c>
      <c r="T78" s="19">
        <f t="shared" si="11"/>
        <v>1520.522656301169</v>
      </c>
      <c r="U78" s="19">
        <f t="shared" si="12"/>
        <v>12.323053337124382</v>
      </c>
      <c r="V78" s="19">
        <f t="shared" si="5"/>
        <v>4723.8727688484514</v>
      </c>
      <c r="W78" s="19">
        <f t="shared" si="6"/>
        <v>475.35055246311089</v>
      </c>
      <c r="X78" s="19">
        <f t="shared" si="7"/>
        <v>45.045089246061941</v>
      </c>
      <c r="Y78" s="19">
        <f t="shared" si="19"/>
        <v>5.5010063116450842</v>
      </c>
    </row>
    <row r="79" spans="1:25" ht="18" x14ac:dyDescent="0.35">
      <c r="A79" s="26" t="s">
        <v>111</v>
      </c>
      <c r="B79">
        <f>B78*((B75/P9)-(1/B74))</f>
        <v>360.61489223121737</v>
      </c>
      <c r="C79" t="s">
        <v>10</v>
      </c>
      <c r="I79" s="19">
        <f>I78+1</f>
        <v>30</v>
      </c>
      <c r="J79" s="19">
        <f t="shared" si="15"/>
        <v>14.5</v>
      </c>
      <c r="K79" s="19">
        <f t="shared" si="16"/>
        <v>0.5</v>
      </c>
      <c r="L79" s="18">
        <f t="shared" si="8"/>
        <v>107.22861832843549</v>
      </c>
      <c r="M79" s="21">
        <f t="shared" si="2"/>
        <v>63.524062990779321</v>
      </c>
      <c r="N79" s="19">
        <f t="shared" si="9"/>
        <v>107.22861832843549</v>
      </c>
      <c r="O79" s="19">
        <f t="shared" si="10"/>
        <v>52.27764943783437</v>
      </c>
      <c r="P79" s="19">
        <f t="shared" si="3"/>
        <v>0.66832986319168708</v>
      </c>
      <c r="Q79" s="19">
        <f t="shared" si="17"/>
        <v>52.945979301026057</v>
      </c>
      <c r="R79" s="21">
        <f t="shared" si="18"/>
        <v>845.89527973728673</v>
      </c>
      <c r="S79" s="19">
        <f t="shared" si="4"/>
        <v>0.56544043262649812</v>
      </c>
      <c r="T79" s="19">
        <f t="shared" si="11"/>
        <v>1508.141821205335</v>
      </c>
      <c r="U79" s="19">
        <f t="shared" si="12"/>
        <v>12.997922711823716</v>
      </c>
      <c r="V79" s="19">
        <f t="shared" si="5"/>
        <v>4982.5746485252857</v>
      </c>
      <c r="W79" s="19">
        <f t="shared" si="6"/>
        <v>501.38302358269323</v>
      </c>
      <c r="X79" s="19">
        <f t="shared" si="7"/>
        <v>34.697014058988572</v>
      </c>
      <c r="Y79" s="19">
        <f t="shared" si="19"/>
        <v>5.3466389055334966</v>
      </c>
    </row>
    <row r="80" spans="1:25" ht="18" x14ac:dyDescent="0.35">
      <c r="A80" s="26" t="s">
        <v>112</v>
      </c>
      <c r="B80">
        <f>B78*(1-COS(RADIANS(B77)))</f>
        <v>28.628299309039164</v>
      </c>
      <c r="C80" t="s">
        <v>10</v>
      </c>
      <c r="I80" s="19">
        <f t="shared" ref="I80:I86" si="20">I79+1</f>
        <v>31</v>
      </c>
      <c r="J80" s="19">
        <f t="shared" si="15"/>
        <v>15</v>
      </c>
      <c r="K80" s="19">
        <f t="shared" ref="K80:K86" si="21">J80-J79</f>
        <v>0.5</v>
      </c>
      <c r="L80" s="18">
        <f t="shared" ref="L80:L86" si="22">L79+(Y80*K80)</f>
        <v>109.82557747692208</v>
      </c>
      <c r="M80" s="21">
        <f t="shared" ref="M80:M86" si="23">L80/1.688</f>
        <v>65.062545898650527</v>
      </c>
      <c r="N80" s="19">
        <f t="shared" ref="N80:N86" si="24">N79+(Y80*K80)</f>
        <v>109.82557747692208</v>
      </c>
      <c r="O80" s="19">
        <f t="shared" ref="O80:O86" si="25">N79*K80</f>
        <v>53.614309164217744</v>
      </c>
      <c r="P80" s="19">
        <f t="shared" ref="P80:P86" si="26">0.5*Y80*(K80)^2</f>
        <v>0.64923978712164776</v>
      </c>
      <c r="Q80" s="19">
        <f t="shared" ref="Q80:Q86" si="27">O80+P80</f>
        <v>54.263548951339395</v>
      </c>
      <c r="R80" s="21">
        <f t="shared" ref="R80:R86" si="28">R79+Q80</f>
        <v>900.15882868862616</v>
      </c>
      <c r="S80" s="19">
        <f t="shared" ref="S80:S86" si="29">(T80*L80)/(550*C$7)</f>
        <v>0.57448028722776956</v>
      </c>
      <c r="T80" s="19">
        <f t="shared" ref="T80:T86" si="30">(O$20*M79^3)+(O$21*M79^2)+(O$22*M79)+(O$23)</f>
        <v>1496.0209262880239</v>
      </c>
      <c r="U80" s="19">
        <f t="shared" ref="U80:U86" si="31">0.5*0.002378*L79^2</f>
        <v>13.671094163875471</v>
      </c>
      <c r="V80" s="19">
        <f t="shared" ref="V80:V86" si="32">U80*M$15*M$17</f>
        <v>5240.6256529410075</v>
      </c>
      <c r="W80" s="19">
        <f t="shared" ref="W80:W86" si="33">U80*M$15*M$16</f>
        <v>527.34999888346454</v>
      </c>
      <c r="X80" s="19">
        <f t="shared" ref="X80:X86" si="34">M$13*(M$14-V80)</f>
        <v>24.374973882359701</v>
      </c>
      <c r="Y80" s="19">
        <f t="shared" ref="Y80:Y86" si="35">(T80-W80-(M$13*(M$14-V80)))/(M$14/32.1768)</f>
        <v>5.1939182969731821</v>
      </c>
    </row>
    <row r="81" spans="1:25" ht="18" x14ac:dyDescent="0.35">
      <c r="A81" s="26" t="s">
        <v>113</v>
      </c>
      <c r="B81">
        <f>(P4-B80)/TAN(RADIANS(B77))</f>
        <v>133.76533292439734</v>
      </c>
      <c r="C81" t="s">
        <v>10</v>
      </c>
      <c r="I81" s="19">
        <f t="shared" si="20"/>
        <v>32</v>
      </c>
      <c r="J81" s="19">
        <f t="shared" si="15"/>
        <v>15.5</v>
      </c>
      <c r="K81" s="19">
        <f t="shared" si="21"/>
        <v>0.5</v>
      </c>
      <c r="L81" s="18">
        <f t="shared" si="22"/>
        <v>112.34710336749494</v>
      </c>
      <c r="M81" s="21">
        <f t="shared" si="23"/>
        <v>66.556340857520695</v>
      </c>
      <c r="N81" s="19">
        <f t="shared" si="24"/>
        <v>112.34710336749494</v>
      </c>
      <c r="O81" s="19">
        <f t="shared" si="25"/>
        <v>54.912788738461039</v>
      </c>
      <c r="P81" s="19">
        <f t="shared" si="26"/>
        <v>0.63038147264321609</v>
      </c>
      <c r="Q81" s="19">
        <f t="shared" si="27"/>
        <v>55.543170211104254</v>
      </c>
      <c r="R81" s="21">
        <f t="shared" si="28"/>
        <v>955.70199889973037</v>
      </c>
      <c r="S81" s="19">
        <f t="shared" si="29"/>
        <v>0.58301407661284199</v>
      </c>
      <c r="T81" s="19">
        <f t="shared" si="30"/>
        <v>1484.1684468343469</v>
      </c>
      <c r="U81" s="19">
        <f t="shared" si="31"/>
        <v>14.341310729617764</v>
      </c>
      <c r="V81" s="19">
        <f t="shared" si="32"/>
        <v>5497.5439423882508</v>
      </c>
      <c r="W81" s="19">
        <f t="shared" si="33"/>
        <v>553.20299213764054</v>
      </c>
      <c r="X81" s="19">
        <f t="shared" si="34"/>
        <v>14.098242304469968</v>
      </c>
      <c r="Y81" s="19">
        <f t="shared" si="35"/>
        <v>5.0430517811457287</v>
      </c>
    </row>
    <row r="82" spans="1:25" x14ac:dyDescent="0.25">
      <c r="I82" s="19">
        <f t="shared" si="20"/>
        <v>33</v>
      </c>
      <c r="J82" s="19">
        <f t="shared" si="15"/>
        <v>16</v>
      </c>
      <c r="K82" s="19">
        <f t="shared" si="21"/>
        <v>0.5</v>
      </c>
      <c r="L82" s="18">
        <f t="shared" si="22"/>
        <v>114.79421652944997</v>
      </c>
      <c r="M82" s="21">
        <f t="shared" si="23"/>
        <v>68.00605244635662</v>
      </c>
      <c r="N82" s="19">
        <f t="shared" si="24"/>
        <v>114.79421652944997</v>
      </c>
      <c r="O82" s="19">
        <f t="shared" si="25"/>
        <v>56.173551683747469</v>
      </c>
      <c r="P82" s="19">
        <f t="shared" si="26"/>
        <v>0.61177829048875609</v>
      </c>
      <c r="Q82" s="19">
        <f t="shared" si="27"/>
        <v>56.785329974236227</v>
      </c>
      <c r="R82" s="21">
        <f t="shared" si="28"/>
        <v>1012.4873288739666</v>
      </c>
      <c r="S82" s="19">
        <f t="shared" si="29"/>
        <v>0.59106629039342851</v>
      </c>
      <c r="T82" s="19">
        <f t="shared" si="30"/>
        <v>1472.5912520963352</v>
      </c>
      <c r="U82" s="19">
        <f t="shared" si="31"/>
        <v>15.007405374094178</v>
      </c>
      <c r="V82" s="19">
        <f t="shared" si="32"/>
        <v>5752.8821500902868</v>
      </c>
      <c r="W82" s="19">
        <f t="shared" si="33"/>
        <v>578.89698603529814</v>
      </c>
      <c r="X82" s="19">
        <f t="shared" si="34"/>
        <v>3.8847139963885273</v>
      </c>
      <c r="Y82" s="19">
        <f t="shared" si="35"/>
        <v>4.8942263239100487</v>
      </c>
    </row>
    <row r="83" spans="1:25" ht="21" x14ac:dyDescent="0.35">
      <c r="B83" s="58" t="s">
        <v>114</v>
      </c>
      <c r="I83" s="19">
        <f t="shared" si="20"/>
        <v>34</v>
      </c>
      <c r="J83" s="19">
        <f t="shared" si="15"/>
        <v>16.5</v>
      </c>
      <c r="K83" s="19">
        <f t="shared" si="21"/>
        <v>0.5</v>
      </c>
      <c r="L83" s="18">
        <f t="shared" si="22"/>
        <v>117.16802120582751</v>
      </c>
      <c r="M83" s="21">
        <f t="shared" si="23"/>
        <v>69.412334837575543</v>
      </c>
      <c r="N83" s="19">
        <f t="shared" si="24"/>
        <v>117.16802120582751</v>
      </c>
      <c r="O83" s="19">
        <f t="shared" si="25"/>
        <v>57.397108264724984</v>
      </c>
      <c r="P83" s="19">
        <f t="shared" si="26"/>
        <v>0.59345116909438678</v>
      </c>
      <c r="Q83" s="19">
        <f t="shared" si="27"/>
        <v>57.990559433819371</v>
      </c>
      <c r="R83" s="21">
        <f t="shared" si="28"/>
        <v>1070.4778883077859</v>
      </c>
      <c r="S83" s="19">
        <f t="shared" si="29"/>
        <v>0.5986608767691054</v>
      </c>
      <c r="T83" s="19">
        <f t="shared" si="30"/>
        <v>1461.2947201283657</v>
      </c>
      <c r="U83" s="19">
        <f t="shared" si="31"/>
        <v>15.668299744697579</v>
      </c>
      <c r="V83" s="19">
        <f t="shared" si="32"/>
        <v>6006.2269044275399</v>
      </c>
      <c r="W83" s="19">
        <f t="shared" si="33"/>
        <v>604.39038410732144</v>
      </c>
      <c r="X83" s="19">
        <f t="shared" si="34"/>
        <v>-6.249076177101597</v>
      </c>
      <c r="Y83" s="19">
        <f t="shared" si="35"/>
        <v>4.7476093527550942</v>
      </c>
    </row>
    <row r="84" spans="1:25" x14ac:dyDescent="0.25">
      <c r="I84" s="19">
        <f t="shared" si="20"/>
        <v>35</v>
      </c>
      <c r="J84" s="19">
        <f t="shared" si="15"/>
        <v>17</v>
      </c>
      <c r="K84" s="19">
        <f t="shared" si="21"/>
        <v>0.5</v>
      </c>
      <c r="L84" s="18">
        <f t="shared" si="22"/>
        <v>119.46969600731623</v>
      </c>
      <c r="M84" s="21">
        <f t="shared" si="23"/>
        <v>70.775886260258432</v>
      </c>
      <c r="N84" s="19">
        <f t="shared" si="24"/>
        <v>119.46969600731623</v>
      </c>
      <c r="O84" s="19">
        <f t="shared" si="25"/>
        <v>58.584010602913757</v>
      </c>
      <c r="P84" s="19">
        <f t="shared" si="26"/>
        <v>0.57541870037217824</v>
      </c>
      <c r="Q84" s="19">
        <f t="shared" si="27"/>
        <v>59.159429303285933</v>
      </c>
      <c r="R84" s="21">
        <f t="shared" si="28"/>
        <v>1129.6373176110717</v>
      </c>
      <c r="S84" s="19">
        <f t="shared" si="29"/>
        <v>0.60582115862400887</v>
      </c>
      <c r="T84" s="19">
        <f t="shared" si="30"/>
        <v>1450.2828512751548</v>
      </c>
      <c r="U84" s="19">
        <f t="shared" si="31"/>
        <v>16.323002434820914</v>
      </c>
      <c r="V84" s="19">
        <f t="shared" si="32"/>
        <v>6257.1981633320438</v>
      </c>
      <c r="W84" s="19">
        <f t="shared" si="33"/>
        <v>629.64494374731362</v>
      </c>
      <c r="X84" s="19">
        <f t="shared" si="34"/>
        <v>-16.287926533281752</v>
      </c>
      <c r="Y84" s="19">
        <f t="shared" si="35"/>
        <v>4.6033496029774259</v>
      </c>
    </row>
    <row r="85" spans="1:25" ht="23.25" x14ac:dyDescent="0.35">
      <c r="B85" s="73">
        <f>Q25+B56+B81</f>
        <v>1169.5764730360515</v>
      </c>
      <c r="C85" s="38" t="s">
        <v>10</v>
      </c>
      <c r="I85" s="19">
        <f t="shared" si="20"/>
        <v>36</v>
      </c>
      <c r="J85" s="19">
        <f t="shared" si="15"/>
        <v>17.5</v>
      </c>
      <c r="K85" s="19">
        <f t="shared" si="21"/>
        <v>0.5</v>
      </c>
      <c r="L85" s="18">
        <f t="shared" si="22"/>
        <v>121.70048500975697</v>
      </c>
      <c r="M85" s="21">
        <f t="shared" si="23"/>
        <v>72.097443726159341</v>
      </c>
      <c r="N85" s="19">
        <f t="shared" si="24"/>
        <v>121.70048500975697</v>
      </c>
      <c r="O85" s="19">
        <f t="shared" si="25"/>
        <v>59.734848003658115</v>
      </c>
      <c r="P85" s="19">
        <f t="shared" si="26"/>
        <v>0.55769725061018738</v>
      </c>
      <c r="Q85" s="19">
        <f t="shared" si="27"/>
        <v>60.292545254268305</v>
      </c>
      <c r="R85" s="21">
        <f t="shared" si="28"/>
        <v>1189.9298628653401</v>
      </c>
      <c r="S85" s="19">
        <f t="shared" si="29"/>
        <v>0.61256976560598331</v>
      </c>
      <c r="T85" s="19">
        <f t="shared" si="30"/>
        <v>1439.5583793217052</v>
      </c>
      <c r="U85" s="19">
        <f t="shared" si="31"/>
        <v>16.970606825991776</v>
      </c>
      <c r="V85" s="19">
        <f t="shared" si="32"/>
        <v>6505.4483870994427</v>
      </c>
      <c r="W85" s="19">
        <f t="shared" si="33"/>
        <v>654.62569297390439</v>
      </c>
      <c r="X85" s="19">
        <f t="shared" si="34"/>
        <v>-26.217935483977708</v>
      </c>
      <c r="Y85" s="19">
        <f t="shared" si="35"/>
        <v>4.461578004881499</v>
      </c>
    </row>
    <row r="86" spans="1:25" x14ac:dyDescent="0.25">
      <c r="I86" s="19">
        <f t="shared" si="20"/>
        <v>37</v>
      </c>
      <c r="J86" s="19">
        <f t="shared" si="15"/>
        <v>18</v>
      </c>
      <c r="K86" s="19">
        <f t="shared" si="21"/>
        <v>0.5</v>
      </c>
      <c r="L86" s="18">
        <f t="shared" si="22"/>
        <v>123.86168930936016</v>
      </c>
      <c r="M86" s="21">
        <f t="shared" si="23"/>
        <v>73.377778026872136</v>
      </c>
      <c r="N86" s="19">
        <f t="shared" si="24"/>
        <v>123.86168930936016</v>
      </c>
      <c r="O86" s="19">
        <f t="shared" si="25"/>
        <v>60.850242504878487</v>
      </c>
      <c r="P86" s="19">
        <f t="shared" si="26"/>
        <v>0.54030107490079682</v>
      </c>
      <c r="Q86" s="19">
        <f t="shared" si="27"/>
        <v>61.390543579779283</v>
      </c>
      <c r="R86" s="21">
        <f t="shared" si="28"/>
        <v>1251.3204064451193</v>
      </c>
      <c r="S86" s="19">
        <f t="shared" si="29"/>
        <v>0.6189285807127537</v>
      </c>
      <c r="T86" s="19">
        <f t="shared" si="30"/>
        <v>1429.1228794864396</v>
      </c>
      <c r="U86" s="19">
        <f t="shared" si="31"/>
        <v>17.610288573364386</v>
      </c>
      <c r="V86" s="19">
        <f t="shared" si="32"/>
        <v>6750.6615744869769</v>
      </c>
      <c r="W86" s="19">
        <f t="shared" si="33"/>
        <v>679.30083343589433</v>
      </c>
      <c r="X86" s="19">
        <f t="shared" si="34"/>
        <v>-36.026462979479078</v>
      </c>
      <c r="Y86" s="19">
        <f t="shared" si="35"/>
        <v>4.3224085992063745</v>
      </c>
    </row>
    <row r="87" spans="1:25" x14ac:dyDescent="0.25"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x14ac:dyDescent="0.25"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x14ac:dyDescent="0.25"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x14ac:dyDescent="0.25"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x14ac:dyDescent="0.25"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x14ac:dyDescent="0.25"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x14ac:dyDescent="0.25"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x14ac:dyDescent="0.25"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x14ac:dyDescent="0.25"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x14ac:dyDescent="0.25"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9:25" x14ac:dyDescent="0.25"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9:25" x14ac:dyDescent="0.25"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9:25" x14ac:dyDescent="0.25"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9:25" x14ac:dyDescent="0.25"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</sheetData>
  <mergeCells count="1">
    <mergeCell ref="A9:B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X71"/>
  <sheetViews>
    <sheetView zoomScaleNormal="100" workbookViewId="0">
      <selection activeCell="E8" sqref="E8"/>
    </sheetView>
  </sheetViews>
  <sheetFormatPr defaultRowHeight="15" x14ac:dyDescent="0.25"/>
  <cols>
    <col min="3" max="5" width="12" bestFit="1" customWidth="1"/>
  </cols>
  <sheetData>
    <row r="2" spans="1:23" x14ac:dyDescent="0.25">
      <c r="S2" s="50" t="s">
        <v>124</v>
      </c>
      <c r="V2" s="18" t="s">
        <v>125</v>
      </c>
    </row>
    <row r="3" spans="1:23" x14ac:dyDescent="0.25">
      <c r="R3" s="50" t="s">
        <v>31</v>
      </c>
      <c r="S3" s="50" t="s">
        <v>66</v>
      </c>
      <c r="T3" s="50" t="s">
        <v>32</v>
      </c>
      <c r="U3" s="50" t="s">
        <v>119</v>
      </c>
      <c r="V3" s="49" t="s">
        <v>32</v>
      </c>
      <c r="W3" s="49" t="s">
        <v>119</v>
      </c>
    </row>
    <row r="4" spans="1:23" ht="15.75" x14ac:dyDescent="0.25">
      <c r="A4" s="46"/>
      <c r="R4" s="50">
        <v>10</v>
      </c>
      <c r="S4" s="50">
        <f>B$9*550*'take-off'!C$7/(R4*1.688)</f>
        <v>11860.189573459716</v>
      </c>
      <c r="T4" s="50">
        <f t="shared" ref="T4:T14" si="0">0.5*B$7*(R4*1.688)^2</f>
        <v>0.33878700159999997</v>
      </c>
      <c r="U4" s="50">
        <f>R4*1.688*60*((S4/'take-off'!P$9)-(T4*('take-off'!R$10/'take-off'!P$9)*'take-off'!P$6)-('take-off'!P$7*('take-off'!P$9/'take-off'!R$10)*((COS(climb!B$13))^2)/climb!T4))</f>
        <v>983.45468627750631</v>
      </c>
      <c r="V4" s="18">
        <f t="shared" ref="V4:V14" si="1">0.5*B$8*(R4*1.688)^2</f>
        <v>0.2501724032</v>
      </c>
      <c r="W4" s="18">
        <f>R4*1.688*60*((S4/'take-off'!P$9)-(V4*('take-off'!R$10/'take-off'!P$9)*'take-off'!P$6)-('take-off'!P$7*('take-off'!P$9/'take-off'!R$10)*((COS(climb!B$13))^2)/V4))</f>
        <v>604.72339291187768</v>
      </c>
    </row>
    <row r="5" spans="1:23" ht="18" x14ac:dyDescent="0.35">
      <c r="A5" s="70" t="s">
        <v>123</v>
      </c>
      <c r="B5" s="28">
        <f>'take-off'!B16</f>
        <v>140</v>
      </c>
      <c r="C5" t="s">
        <v>31</v>
      </c>
      <c r="D5" t="s">
        <v>213</v>
      </c>
      <c r="E5">
        <f>1/(2*SQRT('take-off'!P7*'take-off'!P6))</f>
        <v>13.547933564579795</v>
      </c>
      <c r="R5" s="50">
        <f>R4+20</f>
        <v>30</v>
      </c>
      <c r="S5" s="50">
        <f>B$9*550*'take-off'!C$7/(R5*1.688)</f>
        <v>3953.3965244865717</v>
      </c>
      <c r="T5" s="50">
        <f t="shared" si="0"/>
        <v>3.0490830143999998</v>
      </c>
      <c r="U5" s="50">
        <f>R5*1.688*60*((S5/'take-off'!P$9)-(T5*('take-off'!R$10/'take-off'!P$9)*'take-off'!P$6)-('take-off'!P$7*('take-off'!P$9/'take-off'!R$10)*((COS(climb!B$13))^2)/climb!T5))</f>
        <v>1686.5375154645969</v>
      </c>
      <c r="V5" s="18">
        <f t="shared" si="1"/>
        <v>2.2515516287999997</v>
      </c>
      <c r="W5" s="18">
        <f>R5*1.688*60*((S5/'take-off'!P$9)-(V5*('take-off'!R$10/'take-off'!P$9)*'take-off'!P$6)-('take-off'!P$7*('take-off'!P$9/'take-off'!R$10)*((COS(climb!B$13))^2)/V5))</f>
        <v>1562.9537562903427</v>
      </c>
    </row>
    <row r="6" spans="1:23" x14ac:dyDescent="0.25">
      <c r="A6" s="70"/>
      <c r="B6">
        <f>B5*1.688</f>
        <v>236.32</v>
      </c>
      <c r="C6" t="s">
        <v>16</v>
      </c>
      <c r="R6" s="50">
        <f t="shared" ref="R6:R11" si="2">R5+20</f>
        <v>50</v>
      </c>
      <c r="S6" s="50">
        <f>B$9*550*'take-off'!C$7/(R6*1.688)</f>
        <v>2372.0379146919436</v>
      </c>
      <c r="T6" s="50">
        <f t="shared" si="0"/>
        <v>8.4696750399999985</v>
      </c>
      <c r="U6" s="50">
        <f>R6*1.688*60*((S6/'take-off'!P$9)-(T6*('take-off'!R$10/'take-off'!P$9)*'take-off'!P$6)-('take-off'!P$7*('take-off'!P$9/'take-off'!R$10)*((COS(climb!B$13))^2)/climb!T6))</f>
        <v>1791.763865703572</v>
      </c>
      <c r="V6" s="18">
        <f t="shared" si="1"/>
        <v>6.2543100799999989</v>
      </c>
      <c r="W6" s="18">
        <f>R6*1.688*60*((S6/'take-off'!P$9)-(V6*('take-off'!R$10/'take-off'!P$9)*'take-off'!P$6)-('take-off'!P$7*('take-off'!P$9/'take-off'!R$10)*((COS(climb!B$13))^2)/V6))</f>
        <v>1728.4664317453189</v>
      </c>
    </row>
    <row r="7" spans="1:23" ht="17.25" x14ac:dyDescent="0.25">
      <c r="A7" s="70" t="s">
        <v>116</v>
      </c>
      <c r="B7">
        <v>2.3779999999999999E-3</v>
      </c>
      <c r="C7" t="s">
        <v>118</v>
      </c>
      <c r="R7" s="50">
        <f t="shared" si="2"/>
        <v>70</v>
      </c>
      <c r="S7" s="50">
        <f>B$9*550*'take-off'!C$7/(R7*1.688)</f>
        <v>1694.3127962085309</v>
      </c>
      <c r="T7" s="50">
        <f t="shared" si="0"/>
        <v>16.600563078399997</v>
      </c>
      <c r="U7" s="50">
        <f>R7*1.688*60*((S7/'take-off'!P$9)-(T7*('take-off'!R$10/'take-off'!P$9)*'take-off'!P$6)-('take-off'!P$7*('take-off'!P$9/'take-off'!R$10)*((COS(climb!B$13))^2)/climb!T7))</f>
        <v>1769.7414985380071</v>
      </c>
      <c r="V7" s="18">
        <f t="shared" si="1"/>
        <v>12.258447756799999</v>
      </c>
      <c r="W7" s="18">
        <f>R7*1.688*60*((S7/'take-off'!P$9)-(V7*('take-off'!R$10/'take-off'!P$9)*'take-off'!P$6)-('take-off'!P$7*('take-off'!P$9/'take-off'!R$10)*((COS(climb!B$13))^2)/V7))</f>
        <v>1749.8370959552042</v>
      </c>
    </row>
    <row r="8" spans="1:23" ht="17.25" x14ac:dyDescent="0.25">
      <c r="A8" s="70" t="s">
        <v>117</v>
      </c>
      <c r="B8" s="9">
        <v>1.756E-3</v>
      </c>
      <c r="C8" t="s">
        <v>118</v>
      </c>
      <c r="R8" s="50">
        <f t="shared" si="2"/>
        <v>90</v>
      </c>
      <c r="S8" s="50">
        <f>B$9*550*'take-off'!C$7/(R8*1.688)</f>
        <v>1317.7988414955241</v>
      </c>
      <c r="T8" s="50">
        <f t="shared" si="0"/>
        <v>27.441747129599992</v>
      </c>
      <c r="U8" s="50">
        <f>R8*1.688*60*((S8/'take-off'!P$9)-(T8*('take-off'!R$10/'take-off'!P$9)*'take-off'!P$6)-('take-off'!P$7*('take-off'!P$9/'take-off'!R$10)*((COS(climb!B$13))^2)/climb!T8))</f>
        <v>1656.4888017569849</v>
      </c>
      <c r="V8" s="18">
        <f t="shared" si="1"/>
        <v>20.263964659199996</v>
      </c>
      <c r="W8" s="18">
        <f>R8*1.688*60*((S8/'take-off'!P$9)-(V8*('take-off'!R$10/'take-off'!P$9)*'take-off'!P$6)-('take-off'!P$7*('take-off'!P$9/'take-off'!R$10)*((COS(climb!B$13))^2)/V8))</f>
        <v>1687.1143579513691</v>
      </c>
    </row>
    <row r="9" spans="1:23" ht="18" x14ac:dyDescent="0.35">
      <c r="A9" s="26" t="s">
        <v>17</v>
      </c>
      <c r="B9">
        <f>[1]!Table4[1600]</f>
        <v>0.7</v>
      </c>
      <c r="D9" s="34"/>
      <c r="R9" s="50">
        <f t="shared" si="2"/>
        <v>110</v>
      </c>
      <c r="S9" s="50">
        <f>B$9*550*'take-off'!C$7/(R9*1.688)</f>
        <v>1078.1990521327014</v>
      </c>
      <c r="T9" s="50">
        <f t="shared" si="0"/>
        <v>40.993227193599999</v>
      </c>
      <c r="U9" s="50">
        <f>R9*1.688*60*((S9/'take-off'!P$9)-(T9*('take-off'!R$10/'take-off'!P$9)*'take-off'!P$6)-('take-off'!P$7*('take-off'!P$9/'take-off'!R$10)*((COS(climb!B$13))^2)/climb!T9))</f>
        <v>1448.5160382628148</v>
      </c>
      <c r="V9" s="18">
        <f t="shared" si="1"/>
        <v>30.2708607872</v>
      </c>
      <c r="W9" s="18">
        <f>R9*1.688*60*((S9/'take-off'!P$9)-(V9*('take-off'!R$10/'take-off'!P$9)*'take-off'!P$6)-('take-off'!P$7*('take-off'!P$9/'take-off'!R$10)*((COS(climb!B$13))^2)/V9))</f>
        <v>1546.8443660699979</v>
      </c>
    </row>
    <row r="10" spans="1:23" x14ac:dyDescent="0.25">
      <c r="A10" s="7" t="s">
        <v>32</v>
      </c>
      <c r="B10">
        <f>0.5*B7*B6^2</f>
        <v>66.402252313599988</v>
      </c>
      <c r="E10" s="28"/>
      <c r="R10" s="50">
        <f t="shared" si="2"/>
        <v>130</v>
      </c>
      <c r="S10" s="50">
        <f>B$9*550*'take-off'!C$7/(R10*1.688)</f>
        <v>912.32227488151659</v>
      </c>
      <c r="T10" s="50">
        <f t="shared" si="0"/>
        <v>57.255003270399996</v>
      </c>
      <c r="U10" s="50">
        <f>R10*1.688*60*((S10/'take-off'!P$9)-(T10*('take-off'!R$10/'take-off'!P$9)*'take-off'!P$6)-('take-off'!P$7*('take-off'!P$9/'take-off'!R$10)*((COS(climb!B$13))^2)/climb!T10))</f>
        <v>1133.2162113685529</v>
      </c>
      <c r="V10" s="18">
        <f t="shared" si="1"/>
        <v>42.279136140799999</v>
      </c>
      <c r="W10" s="18">
        <f>R10*1.688*60*((S10/'take-off'!P$9)-(V10*('take-off'!R$10/'take-off'!P$9)*'take-off'!P$6)-('take-off'!P$7*('take-off'!P$9/'take-off'!R$10)*((COS(climb!B$13))^2)/V10))</f>
        <v>1323.226546948388</v>
      </c>
    </row>
    <row r="11" spans="1:23" x14ac:dyDescent="0.25">
      <c r="A11" s="105" t="s">
        <v>120</v>
      </c>
      <c r="B11" s="105"/>
      <c r="C11" s="105"/>
      <c r="D11" s="105" t="s">
        <v>126</v>
      </c>
      <c r="E11" s="105"/>
      <c r="F11" s="105"/>
      <c r="R11" s="50">
        <f t="shared" si="2"/>
        <v>150</v>
      </c>
      <c r="S11" s="50">
        <f>B$9*550*'take-off'!C$7/(R11*1.688)</f>
        <v>790.67930489731441</v>
      </c>
      <c r="T11" s="50">
        <f t="shared" si="0"/>
        <v>76.227075359999986</v>
      </c>
      <c r="U11" s="50">
        <f>R11*1.688*60*((S11/'take-off'!P$9)-(T11*('take-off'!R$10/'take-off'!P$9)*'take-off'!P$6)-('take-off'!P$7*('take-off'!P$9/'take-off'!R$10)*((COS(climb!B$13))^2)/climb!T11))</f>
        <v>694.94323785750373</v>
      </c>
      <c r="V11" s="18">
        <f t="shared" si="1"/>
        <v>56.288790719999987</v>
      </c>
      <c r="W11" s="18">
        <f>R11*1.688*60*((S11/'take-off'!P$9)-(V11*('take-off'!R$10/'take-off'!P$9)*'take-off'!P$6)-('take-off'!P$7*('take-off'!P$9/'take-off'!R$10)*((COS(climb!B$13))^2)/V11))</f>
        <v>1006.3447533242071</v>
      </c>
    </row>
    <row r="12" spans="1:23" x14ac:dyDescent="0.25">
      <c r="A12" s="75" t="s">
        <v>66</v>
      </c>
      <c r="B12">
        <f>B9*550*'take-off'!C7/climb!B6</f>
        <v>847.15639810426546</v>
      </c>
      <c r="C12" t="s">
        <v>11</v>
      </c>
      <c r="D12" s="34" t="s">
        <v>127</v>
      </c>
      <c r="E12">
        <f>(B12/'take-off'!P9)-(climb!B10*('take-off'!R10/'take-off'!P9)*'take-off'!P6)-('take-off'!P7*('take-off'!P9/'take-off'!R10)*((COS(climb!B13))^2)/climb!B10)</f>
        <v>6.5623491120793465E-2</v>
      </c>
      <c r="R12" s="50">
        <f t="shared" ref="R12:R14" si="3">R11+20</f>
        <v>170</v>
      </c>
      <c r="S12" s="50">
        <f>B$9*550*'take-off'!C$7/(R12*1.688)</f>
        <v>697.65821020351268</v>
      </c>
      <c r="T12" s="50">
        <f t="shared" si="0"/>
        <v>97.909443462399977</v>
      </c>
      <c r="U12" s="50">
        <f>R12*1.688*60*((S12/'take-off'!P$9)-(T12*('take-off'!R$10/'take-off'!P$9)*'take-off'!P$6)-('take-off'!P$7*('take-off'!P$9/'take-off'!R$10)*((COS(climb!B$13))^2)/climb!T12))</f>
        <v>116.79964594189482</v>
      </c>
      <c r="V12" s="18">
        <f t="shared" si="1"/>
        <v>72.299824524799988</v>
      </c>
      <c r="W12" s="18">
        <f>R12*1.688*60*((S12/'take-off'!P$9)-(V12*('take-off'!R$10/'take-off'!P$9)*'take-off'!P$6)-('take-off'!P$7*('take-off'!P$9/'take-off'!R$10)*((COS(climb!B$13))^2)/V12))</f>
        <v>584.58818985880168</v>
      </c>
    </row>
    <row r="13" spans="1:23" x14ac:dyDescent="0.25">
      <c r="A13" s="76" t="s">
        <v>121</v>
      </c>
      <c r="B13">
        <v>1</v>
      </c>
      <c r="D13" s="13" t="s">
        <v>121</v>
      </c>
      <c r="E13">
        <f>ASIN(E12)</f>
        <v>6.5670683264542548E-2</v>
      </c>
      <c r="F13" t="s">
        <v>71</v>
      </c>
      <c r="R13" s="50">
        <f t="shared" si="3"/>
        <v>190</v>
      </c>
      <c r="S13" s="50">
        <f>B$9*550*'take-off'!C$7/(R13*1.688)</f>
        <v>624.22050386630087</v>
      </c>
      <c r="T13" s="50">
        <f t="shared" si="0"/>
        <v>122.30210757759997</v>
      </c>
      <c r="U13" s="50">
        <f>R13*1.688*60*((S13/'take-off'!P$9)-(T13*('take-off'!R$10/'take-off'!P$9)*'take-off'!P$6)-('take-off'!P$7*('take-off'!P$9/'take-off'!R$10)*((COS(climb!B$13))^2)/climb!T13))</f>
        <v>-618.70479917339424</v>
      </c>
      <c r="V13" s="18">
        <f t="shared" si="1"/>
        <v>90.312237555199971</v>
      </c>
      <c r="W13" s="18">
        <f>R13*1.688*60*((S13/'take-off'!P$9)-(V13*('take-off'!R$10/'take-off'!P$9)*'take-off'!P$6)-('take-off'!P$7*('take-off'!P$9/'take-off'!R$10)*((COS(climb!B$13))^2)/V13))</f>
        <v>45.543333177372112</v>
      </c>
    </row>
    <row r="14" spans="1:23" x14ac:dyDescent="0.25">
      <c r="A14" s="75" t="s">
        <v>119</v>
      </c>
      <c r="B14">
        <f>B6*((B12/'take-off'!P9)-(climb!B10*('take-off'!R10/'take-off'!P9)*'take-off'!P6)-('take-off'!P7*('take-off'!P9/'take-off'!R10)*((COS(climb!B13))^2)/climb!B10))</f>
        <v>15.508143421665912</v>
      </c>
      <c r="C14" t="s">
        <v>16</v>
      </c>
      <c r="E14" s="21">
        <f>E13*57.3</f>
        <v>3.762930151058288</v>
      </c>
      <c r="F14" t="s">
        <v>109</v>
      </c>
      <c r="R14" s="50">
        <f t="shared" si="3"/>
        <v>210</v>
      </c>
      <c r="S14" s="50">
        <f>B$9*550*'take-off'!C$7/(R14*1.688)</f>
        <v>564.77093206951031</v>
      </c>
      <c r="T14" s="50">
        <f t="shared" si="0"/>
        <v>149.40506770559995</v>
      </c>
      <c r="U14" s="50">
        <f>R14*1.688*60*((S14/'take-off'!P$9)-(T14*('take-off'!R$10/'take-off'!P$9)*'take-off'!P$6)-('take-off'!P$7*('take-off'!P$9/'take-off'!R$10)*((COS(climb!B$13))^2)/climb!T14))</f>
        <v>-1529.3708271920975</v>
      </c>
      <c r="V14" s="18">
        <f t="shared" si="1"/>
        <v>110.32602981119997</v>
      </c>
      <c r="W14" s="18">
        <f>R14*1.688*60*((S14/'take-off'!P$9)-(V14*('take-off'!R$10/'take-off'!P$9)*'take-off'!P$6)-('take-off'!P$7*('take-off'!P$9/'take-off'!R$10)*((COS(climb!B$13))^2)/V14))</f>
        <v>-623.62381668524915</v>
      </c>
    </row>
    <row r="15" spans="1:23" ht="15.75" x14ac:dyDescent="0.25">
      <c r="B15" s="51">
        <f>B14*60</f>
        <v>930.48860529995466</v>
      </c>
      <c r="C15" s="38" t="s">
        <v>122</v>
      </c>
    </row>
    <row r="17" spans="1:6" x14ac:dyDescent="0.25">
      <c r="A17" s="105" t="s">
        <v>128</v>
      </c>
      <c r="B17" s="105"/>
      <c r="C17" s="105"/>
    </row>
    <row r="18" spans="1:6" ht="18" x14ac:dyDescent="0.35">
      <c r="A18" s="34" t="s">
        <v>135</v>
      </c>
      <c r="B18" s="34">
        <f>SQRT((2*'take-off'!P9/('take-off'!R10*climb!B7))*SQRT('take-off'!P7/(3*'take-off'!P6)))</f>
        <v>126.97985648037609</v>
      </c>
      <c r="C18" t="s">
        <v>16</v>
      </c>
      <c r="D18" s="34" t="s">
        <v>136</v>
      </c>
      <c r="E18" s="78">
        <f>(SQRT((2*'take-off'!P9/('take-off'!R10*climb!B8))*SQRT('take-off'!P7/(3*'take-off'!P6))))/1.688</f>
        <v>87.53990257496838</v>
      </c>
      <c r="F18" t="s">
        <v>31</v>
      </c>
    </row>
    <row r="19" spans="1:6" ht="15.75" x14ac:dyDescent="0.25">
      <c r="B19" s="79">
        <f>B18/1.688</f>
        <v>75.225033459938444</v>
      </c>
      <c r="C19" t="s">
        <v>31</v>
      </c>
      <c r="D19" s="1" t="s">
        <v>137</v>
      </c>
      <c r="E19" s="27">
        <v>72</v>
      </c>
      <c r="F19" t="s">
        <v>31</v>
      </c>
    </row>
    <row r="20" spans="1:6" ht="18" x14ac:dyDescent="0.35">
      <c r="A20" s="52" t="s">
        <v>131</v>
      </c>
      <c r="B20" s="17" t="s">
        <v>32</v>
      </c>
      <c r="C20" s="17" t="s">
        <v>134</v>
      </c>
      <c r="D20" s="17" t="s">
        <v>130</v>
      </c>
      <c r="E20" s="17" t="s">
        <v>132</v>
      </c>
      <c r="F20" s="17" t="s">
        <v>133</v>
      </c>
    </row>
    <row r="21" spans="1:6" x14ac:dyDescent="0.25">
      <c r="A21" s="17">
        <v>20</v>
      </c>
      <c r="B21" s="17">
        <f>0.5*B$7*(A21*1.688)^2</f>
        <v>1.3551480063999999</v>
      </c>
      <c r="C21" s="17">
        <f>'take-off'!P$9/(climb!B21*'take-off'!R$10)</f>
        <v>16.74451555616459</v>
      </c>
      <c r="D21" s="17">
        <f>B21*'take-off'!R$10*    ('take-off'!P$6 +   ('take-off'!P$7*climb!C21^2)  )</f>
        <v>5299.0857901116942</v>
      </c>
      <c r="E21" s="17">
        <f t="shared" ref="E21:E30" si="4">D21*A21*1.688</f>
        <v>178897.1362741708</v>
      </c>
      <c r="F21" s="17">
        <f>B$9*'take-off'!C$7*550</f>
        <v>200200</v>
      </c>
    </row>
    <row r="22" spans="1:6" x14ac:dyDescent="0.25">
      <c r="A22" s="17">
        <f>A21+20</f>
        <v>40</v>
      </c>
      <c r="B22" s="17">
        <f t="shared" ref="B22:B30" si="5">0.5*B$7*(A22*1.688)^2</f>
        <v>5.4205920255999995</v>
      </c>
      <c r="C22" s="17">
        <f>'take-off'!P$9/(climb!B22*'take-off'!R$10)</f>
        <v>4.1861288890411474</v>
      </c>
      <c r="D22" s="17">
        <f>B22*'take-off'!R$10*    ('take-off'!P$6 +   ('take-off'!P$7*climb!C22^2)  )</f>
        <v>1357.8128645746754</v>
      </c>
      <c r="E22" s="17">
        <f t="shared" si="4"/>
        <v>91679.524616082083</v>
      </c>
      <c r="F22" s="17">
        <f>B$9*'take-off'!C$7*550</f>
        <v>200200</v>
      </c>
    </row>
    <row r="23" spans="1:6" x14ac:dyDescent="0.25">
      <c r="A23" s="17">
        <f t="shared" ref="A23:A30" si="6">A22+20</f>
        <v>60</v>
      </c>
      <c r="B23" s="17">
        <f t="shared" si="5"/>
        <v>12.196332057599999</v>
      </c>
      <c r="C23" s="17">
        <f>'take-off'!P$9/(climb!B23*'take-off'!R$10)</f>
        <v>1.8605017284627321</v>
      </c>
      <c r="D23" s="17">
        <f>B23*'take-off'!R$10*    ('take-off'!P$6 +   ('take-off'!P$7*climb!C23^2)  )</f>
        <v>667.10770597508099</v>
      </c>
      <c r="E23" s="17">
        <f t="shared" si="4"/>
        <v>67564.668461156209</v>
      </c>
      <c r="F23" s="17">
        <f>B$9*'take-off'!C$7*550</f>
        <v>200200</v>
      </c>
    </row>
    <row r="24" spans="1:6" x14ac:dyDescent="0.25">
      <c r="A24" s="17">
        <f t="shared" si="6"/>
        <v>80</v>
      </c>
      <c r="B24" s="17">
        <f t="shared" si="5"/>
        <v>21.682368102399998</v>
      </c>
      <c r="C24" s="17">
        <f>'take-off'!P$9/(climb!B24*'take-off'!R$10)</f>
        <v>1.0465322222602869</v>
      </c>
      <c r="D24" s="17">
        <f>B24*'take-off'!R$10*    ('take-off'!P$6 +   ('take-off'!P$7*climb!C24^2)  )</f>
        <v>471.61888433067543</v>
      </c>
      <c r="E24" s="17">
        <f t="shared" si="4"/>
        <v>63687.414140014407</v>
      </c>
      <c r="F24" s="17">
        <f>B$9*'take-off'!C$7*550</f>
        <v>200200</v>
      </c>
    </row>
    <row r="25" spans="1:6" x14ac:dyDescent="0.25">
      <c r="A25" s="17">
        <f t="shared" si="6"/>
        <v>100</v>
      </c>
      <c r="B25" s="17">
        <f t="shared" si="5"/>
        <v>33.878700159999994</v>
      </c>
      <c r="C25" s="17">
        <f>'take-off'!P$9/(climb!B25*'take-off'!R$10)</f>
        <v>0.66978062224658363</v>
      </c>
      <c r="D25" s="17">
        <f>B25*'take-off'!R$10*    ('take-off'!P$6 +   ('take-off'!P$7*climb!C25^2)  )</f>
        <v>431.88710346764674</v>
      </c>
      <c r="E25" s="17">
        <f t="shared" si="4"/>
        <v>72902.543065338774</v>
      </c>
      <c r="F25" s="17">
        <f>B$9*'take-off'!C$7*550</f>
        <v>200200</v>
      </c>
    </row>
    <row r="26" spans="1:6" x14ac:dyDescent="0.25">
      <c r="A26" s="17">
        <f t="shared" si="6"/>
        <v>120</v>
      </c>
      <c r="B26" s="17">
        <f t="shared" si="5"/>
        <v>48.785328230399998</v>
      </c>
      <c r="C26" s="17">
        <f>'take-off'!P$9/(climb!B26*'take-off'!R$10)</f>
        <v>0.46512543211568302</v>
      </c>
      <c r="D26" s="17">
        <f>B26*'take-off'!R$10*    ('take-off'!P$6 +   ('take-off'!P$7*climb!C26^2)  )</f>
        <v>464.14967991453511</v>
      </c>
      <c r="E26" s="17">
        <f t="shared" si="4"/>
        <v>94018.159163488235</v>
      </c>
      <c r="F26" s="17">
        <f>B$9*'take-off'!C$7*550</f>
        <v>200200</v>
      </c>
    </row>
    <row r="27" spans="1:6" x14ac:dyDescent="0.25">
      <c r="A27" s="17">
        <f t="shared" si="6"/>
        <v>140</v>
      </c>
      <c r="B27" s="17">
        <f t="shared" si="5"/>
        <v>66.402252313599988</v>
      </c>
      <c r="C27" s="17">
        <f>'take-off'!P$9/(climb!B27*'take-off'!R$10)</f>
        <v>0.34172480726866516</v>
      </c>
      <c r="D27" s="17">
        <f>B27*'take-off'!R$10*    ('take-off'!P$6 +   ('take-off'!P$7*climb!C27^2)  )</f>
        <v>539.70597347005605</v>
      </c>
      <c r="E27" s="17">
        <f t="shared" si="4"/>
        <v>127543.31565044365</v>
      </c>
      <c r="F27" s="17">
        <f>B$9*'take-off'!C$7*550</f>
        <v>200200</v>
      </c>
    </row>
    <row r="28" spans="1:6" x14ac:dyDescent="0.25">
      <c r="A28" s="17">
        <f t="shared" si="6"/>
        <v>160</v>
      </c>
      <c r="B28" s="17">
        <f t="shared" si="5"/>
        <v>86.729472409599992</v>
      </c>
      <c r="C28" s="17">
        <f>'take-off'!P$9/(climb!B28*'take-off'!R$10)</f>
        <v>0.26163305556507171</v>
      </c>
      <c r="D28" s="17">
        <f>B28*'take-off'!R$10*    ('take-off'!P$6 +   ('take-off'!P$7*climb!C28^2)  )</f>
        <v>646.56739383069521</v>
      </c>
      <c r="E28" s="17">
        <f t="shared" si="4"/>
        <v>174624.92172579418</v>
      </c>
      <c r="F28" s="17">
        <f>B$9*'take-off'!C$7*550</f>
        <v>200200</v>
      </c>
    </row>
    <row r="29" spans="1:6" x14ac:dyDescent="0.25">
      <c r="A29" s="17">
        <f t="shared" si="6"/>
        <v>180</v>
      </c>
      <c r="B29" s="17">
        <f t="shared" si="5"/>
        <v>109.76698851839997</v>
      </c>
      <c r="C29" s="17">
        <f>'take-off'!P$9/(climb!B29*'take-off'!R$10)</f>
        <v>0.20672241427363694</v>
      </c>
      <c r="D29" s="17">
        <f>B29*'take-off'!R$10*    ('take-off'!P$6 +   ('take-off'!P$7*climb!C29^2)  )</f>
        <v>779.00664210571074</v>
      </c>
      <c r="E29" s="17">
        <f t="shared" si="4"/>
        <v>236693.37813739915</v>
      </c>
      <c r="F29" s="17">
        <f>B$9*'take-off'!C$7*550</f>
        <v>200200</v>
      </c>
    </row>
    <row r="30" spans="1:6" x14ac:dyDescent="0.25">
      <c r="A30" s="17">
        <f t="shared" si="6"/>
        <v>200</v>
      </c>
      <c r="B30" s="17">
        <f t="shared" si="5"/>
        <v>135.51480063999998</v>
      </c>
      <c r="C30" s="17">
        <f>'take-off'!P$9/(climb!B30*'take-off'!R$10)</f>
        <v>0.16744515556164591</v>
      </c>
      <c r="D30" s="17">
        <f>B30*'take-off'!R$10*    ('take-off'!P$6 +   ('take-off'!P$7*climb!C30^2)  )</f>
        <v>934.0072020357029</v>
      </c>
      <c r="E30" s="17">
        <f t="shared" si="4"/>
        <v>315320.83140725328</v>
      </c>
      <c r="F30" s="17">
        <f>B$9*'take-off'!C$7*550</f>
        <v>200200</v>
      </c>
    </row>
    <row r="32" spans="1:6" x14ac:dyDescent="0.25">
      <c r="A32" s="105" t="s">
        <v>138</v>
      </c>
      <c r="B32" s="105"/>
      <c r="E32" s="28"/>
    </row>
    <row r="33" spans="1:4" ht="19.5" x14ac:dyDescent="0.35">
      <c r="A33" s="7" t="s">
        <v>139</v>
      </c>
      <c r="B33" s="80">
        <f>60*(    (B9*550*'take-off'!C7/'take-off'!P9) -  (B18*1.1547/climb!E5)   )</f>
        <v>1403.9783320899182</v>
      </c>
      <c r="C33" s="38" t="s">
        <v>122</v>
      </c>
    </row>
    <row r="34" spans="1:4" ht="18" x14ac:dyDescent="0.35">
      <c r="C34" s="48" t="s">
        <v>129</v>
      </c>
    </row>
    <row r="35" spans="1:4" ht="18" x14ac:dyDescent="0.35">
      <c r="C35" s="54" t="s">
        <v>140</v>
      </c>
    </row>
    <row r="36" spans="1:4" x14ac:dyDescent="0.25">
      <c r="A36" s="48" t="s">
        <v>31</v>
      </c>
      <c r="B36" s="53">
        <v>0.6</v>
      </c>
      <c r="C36" s="53">
        <v>0.7</v>
      </c>
      <c r="D36" s="53">
        <v>0.8</v>
      </c>
    </row>
    <row r="37" spans="1:4" x14ac:dyDescent="0.25">
      <c r="A37" s="18">
        <v>40</v>
      </c>
      <c r="B37" s="18">
        <f>60*(    (B$36*550*'take-off'!C$7/'take-off'!P$9) -  (A37*1.1547/climb!E$5)   )</f>
        <v>1555.4462954228434</v>
      </c>
      <c r="C37" s="18">
        <f>60*(    (C$36*550*'take-off'!C$7/'take-off'!P$9) -  (A37*1.1547/climb!E$5)   )</f>
        <v>1848.7796287561766</v>
      </c>
      <c r="D37" s="18">
        <f>60*(    (D$36*550*'take-off'!C$7/'take-off'!P$9) -  (A37*1.1547/climb!E$5)   )</f>
        <v>2142.1129620895103</v>
      </c>
    </row>
    <row r="38" spans="1:4" x14ac:dyDescent="0.25">
      <c r="A38" s="18">
        <f>A37+20</f>
        <v>60</v>
      </c>
      <c r="B38" s="18">
        <f>60*(    (B$36*550*'take-off'!C$7/'take-off'!P$9) -  (A38*1.1547/climb!E$5)   )</f>
        <v>1453.1694431342651</v>
      </c>
      <c r="C38" s="18">
        <f>60*(    (C$36*550*'take-off'!C$7/'take-off'!P$9) -  (A38*1.1547/climb!E$5)   )</f>
        <v>1746.5027764675981</v>
      </c>
      <c r="D38" s="18">
        <f>60*(    (D$36*550*'take-off'!C$7/'take-off'!P$9) -  (A38*1.1547/climb!E$5)   )</f>
        <v>2039.8361098009318</v>
      </c>
    </row>
    <row r="39" spans="1:4" x14ac:dyDescent="0.25">
      <c r="A39" s="18">
        <f t="shared" ref="A39:A42" si="7">A38+20</f>
        <v>80</v>
      </c>
      <c r="B39" s="18">
        <f>60*(    (B$36*550*'take-off'!C$7/'take-off'!P$9) -  (A39*1.1547/climb!E$5)   )</f>
        <v>1350.8925908456865</v>
      </c>
      <c r="C39" s="18">
        <f>60*(    (C$36*550*'take-off'!C$7/'take-off'!P$9) -  (A39*1.1547/climb!E$5)   )</f>
        <v>1644.22592417902</v>
      </c>
      <c r="D39" s="18">
        <f>60*(    (D$36*550*'take-off'!C$7/'take-off'!P$9) -  (A39*1.1547/climb!E$5)   )</f>
        <v>1937.5592575123535</v>
      </c>
    </row>
    <row r="40" spans="1:4" x14ac:dyDescent="0.25">
      <c r="A40" s="18">
        <f t="shared" si="7"/>
        <v>100</v>
      </c>
      <c r="B40" s="18">
        <f>60*(    (B$36*550*'take-off'!C$7/'take-off'!P$9) -  (A40*1.1547/climb!E$5)   )</f>
        <v>1248.6157385571084</v>
      </c>
      <c r="C40" s="18">
        <f>60*(    (C$36*550*'take-off'!C$7/'take-off'!P$9) -  (A40*1.1547/climb!E$5)   )</f>
        <v>1541.9490718904417</v>
      </c>
      <c r="D40" s="18">
        <f>60*(    (D$36*550*'take-off'!C$7/'take-off'!P$9) -  (A40*1.1547/climb!E$5)   )</f>
        <v>1835.2824052237752</v>
      </c>
    </row>
    <row r="41" spans="1:4" x14ac:dyDescent="0.25">
      <c r="A41" s="18">
        <f t="shared" si="7"/>
        <v>120</v>
      </c>
      <c r="B41" s="18">
        <f>60*(    (B$36*550*'take-off'!C$7/'take-off'!P$9) -  (A41*1.1547/climb!E$5)   )</f>
        <v>1146.3388862685299</v>
      </c>
      <c r="C41" s="18">
        <f>60*(    (C$36*550*'take-off'!C$7/'take-off'!P$9) -  (A41*1.1547/climb!E$5)   )</f>
        <v>1439.6722196018634</v>
      </c>
      <c r="D41" s="18">
        <f>60*(    (D$36*550*'take-off'!C$7/'take-off'!P$9) -  (A41*1.1547/climb!E$5)   )</f>
        <v>1733.0055529351969</v>
      </c>
    </row>
    <row r="42" spans="1:4" x14ac:dyDescent="0.25">
      <c r="A42" s="18">
        <f t="shared" si="7"/>
        <v>140</v>
      </c>
      <c r="B42" s="18">
        <f>60*(    (B$36*550*'take-off'!C$7/'take-off'!P$9) -  (A42*1.1547/climb!E$5)   )</f>
        <v>1044.0620339799516</v>
      </c>
      <c r="C42" s="18">
        <f>60*(    (C$36*550*'take-off'!C$7/'take-off'!P$9) -  (A42*1.1547/climb!E$5)   )</f>
        <v>1337.3953673132849</v>
      </c>
      <c r="D42" s="18">
        <f>60*(    (D$36*550*'take-off'!C$7/'take-off'!P$9) -  (A42*1.1547/climb!E$5)   )</f>
        <v>1630.7287006466183</v>
      </c>
    </row>
    <row r="44" spans="1:4" x14ac:dyDescent="0.25">
      <c r="C44" s="17">
        <f>B$19</f>
        <v>75.225033459938444</v>
      </c>
      <c r="D44" s="17">
        <v>0</v>
      </c>
    </row>
    <row r="45" spans="1:4" x14ac:dyDescent="0.25">
      <c r="C45" s="17">
        <f t="shared" ref="C45:C47" si="8">B$19</f>
        <v>75.225033459938444</v>
      </c>
      <c r="D45" s="17">
        <v>1000</v>
      </c>
    </row>
    <row r="46" spans="1:4" x14ac:dyDescent="0.25">
      <c r="C46" s="17">
        <f t="shared" si="8"/>
        <v>75.225033459938444</v>
      </c>
      <c r="D46" s="17">
        <v>2000</v>
      </c>
    </row>
    <row r="47" spans="1:4" x14ac:dyDescent="0.25">
      <c r="C47" s="17">
        <f t="shared" si="8"/>
        <v>75.225033459938444</v>
      </c>
      <c r="D47" s="17">
        <v>2300</v>
      </c>
    </row>
    <row r="52" spans="1:24" ht="18.75" x14ac:dyDescent="0.3">
      <c r="D52" s="55" t="s">
        <v>141</v>
      </c>
    </row>
    <row r="53" spans="1:24" x14ac:dyDescent="0.25">
      <c r="D53" s="56" t="s">
        <v>147</v>
      </c>
    </row>
    <row r="54" spans="1:24" ht="18" x14ac:dyDescent="0.35">
      <c r="A54" s="34" t="s">
        <v>162</v>
      </c>
      <c r="B54" s="28">
        <f>'take-off'!C7*((1.132*climb!B59)-0.132)</f>
        <v>438.57298206043305</v>
      </c>
    </row>
    <row r="55" spans="1:24" ht="18" x14ac:dyDescent="0.35">
      <c r="A55" s="34" t="s">
        <v>143</v>
      </c>
      <c r="B55" s="28">
        <f>'[1]Sref and POWER SIZING'!$M$97</f>
        <v>2700</v>
      </c>
      <c r="E55" s="18" t="s">
        <v>148</v>
      </c>
      <c r="G55" s="18" t="s">
        <v>32</v>
      </c>
      <c r="H55" s="18" t="s">
        <v>134</v>
      </c>
      <c r="I55" s="18" t="s">
        <v>150</v>
      </c>
      <c r="J55" s="18" t="s">
        <v>151</v>
      </c>
      <c r="K55" s="18" t="s">
        <v>28</v>
      </c>
      <c r="L55" s="18" t="s">
        <v>152</v>
      </c>
      <c r="M55" s="57" t="s">
        <v>153</v>
      </c>
      <c r="N55" s="18" t="s">
        <v>66</v>
      </c>
      <c r="O55" s="18" t="s">
        <v>154</v>
      </c>
      <c r="P55" s="18" t="s">
        <v>155</v>
      </c>
      <c r="Q55" s="57" t="s">
        <v>153</v>
      </c>
      <c r="R55" s="18" t="s">
        <v>66</v>
      </c>
      <c r="S55" s="18" t="s">
        <v>154</v>
      </c>
      <c r="T55" s="18" t="s">
        <v>155</v>
      </c>
      <c r="U55" s="57" t="s">
        <v>153</v>
      </c>
      <c r="V55" s="18" t="s">
        <v>66</v>
      </c>
      <c r="W55" s="18" t="s">
        <v>154</v>
      </c>
      <c r="X55" s="18" t="s">
        <v>155</v>
      </c>
    </row>
    <row r="56" spans="1:24" ht="20.25" x14ac:dyDescent="0.35">
      <c r="A56" s="34" t="s">
        <v>157</v>
      </c>
      <c r="B56" s="28">
        <f>'[1]Wing &amp; Airfoil'!$H$25</f>
        <v>6.9390000000000001E-4</v>
      </c>
      <c r="D56" s="18" t="s">
        <v>15</v>
      </c>
      <c r="E56" s="18" t="s">
        <v>31</v>
      </c>
      <c r="F56" s="18" t="s">
        <v>16</v>
      </c>
      <c r="G56" s="18" t="s">
        <v>149</v>
      </c>
      <c r="H56" s="18"/>
      <c r="I56" s="18"/>
      <c r="J56" s="18"/>
      <c r="K56" s="18" t="s">
        <v>11</v>
      </c>
      <c r="L56" s="18"/>
      <c r="M56" s="18"/>
      <c r="N56" s="18" t="s">
        <v>11</v>
      </c>
      <c r="O56" s="18" t="s">
        <v>156</v>
      </c>
      <c r="P56" s="18" t="s">
        <v>122</v>
      </c>
      <c r="Q56" s="18"/>
      <c r="R56" s="18"/>
      <c r="S56" s="18"/>
      <c r="T56" s="18"/>
      <c r="U56" s="18"/>
      <c r="V56" s="18"/>
      <c r="W56" s="18"/>
      <c r="X56" s="18"/>
    </row>
    <row r="57" spans="1:24" x14ac:dyDescent="0.25">
      <c r="A57" s="34" t="s">
        <v>144</v>
      </c>
      <c r="B57" s="9">
        <v>5000</v>
      </c>
      <c r="D57">
        <v>40</v>
      </c>
      <c r="E57">
        <f>D57/SQRT(B$59)</f>
        <v>43.091309912569336</v>
      </c>
      <c r="F57">
        <f>E57*1.633</f>
        <v>70.368109087225733</v>
      </c>
      <c r="G57">
        <f>0.5*B$58*F57^2</f>
        <v>5.0731091535999999</v>
      </c>
      <c r="H57">
        <f>'take-off'!P$9/('take-off'!R$10*climb!G57)</f>
        <v>4.4728580022702529</v>
      </c>
      <c r="I57">
        <f>H57^2/(3.142*'take-off'!P$8*'take-off'!P$5)</f>
        <v>1.0804881197155258</v>
      </c>
      <c r="J57">
        <f>'take-off'!P$6+climb!I57</f>
        <v>1.1057080637263317</v>
      </c>
      <c r="K57">
        <f>G57*J57*'take-off'!R$10</f>
        <v>1446.1429738024167</v>
      </c>
      <c r="L57">
        <f>F57/((B$55/60)*'take-off'!C$8)</f>
        <v>0.25019772119902484</v>
      </c>
      <c r="M57" s="9">
        <v>0.6</v>
      </c>
      <c r="N57">
        <f>M57*550*B$54/(F57)</f>
        <v>2056.7425493918277</v>
      </c>
      <c r="O57">
        <f>(N57*F57)-(K57*F57)</f>
        <v>42966.737543689422</v>
      </c>
      <c r="P57" s="21">
        <f>60*(O57/'take-off'!P$9)</f>
        <v>440.68448762758379</v>
      </c>
      <c r="Q57" s="9">
        <v>0.7</v>
      </c>
      <c r="R57">
        <f>Q57*550*B$54/(F57)</f>
        <v>2399.532974290466</v>
      </c>
      <c r="S57">
        <f>(R57*F57)-(K57*F57)</f>
        <v>67088.251557013238</v>
      </c>
      <c r="T57" s="21">
        <f>60*(S57/'take-off'!P$9)</f>
        <v>688.08463135398188</v>
      </c>
      <c r="U57" s="9">
        <v>0.75</v>
      </c>
      <c r="V57">
        <f>U57*550*B$54/(F57)</f>
        <v>2570.9281867397849</v>
      </c>
      <c r="W57">
        <f>(V57*F57)-(K57*F57)</f>
        <v>79149.008563675146</v>
      </c>
      <c r="X57" s="21">
        <f>60*(W57/'take-off'!P$9)</f>
        <v>811.784703217181</v>
      </c>
    </row>
    <row r="58" spans="1:24" x14ac:dyDescent="0.25">
      <c r="A58" s="77" t="s">
        <v>145</v>
      </c>
      <c r="B58">
        <f>0.002378*(1-(0.0000068753*B57))^4.2561</f>
        <v>2.0490494552522932E-3</v>
      </c>
      <c r="D58">
        <f>D57+10</f>
        <v>50</v>
      </c>
      <c r="E58">
        <f>D58/SQRT(B$59)</f>
        <v>53.864137390711676</v>
      </c>
      <c r="F58">
        <f t="shared" ref="F58:F69" si="9">E58*1.633</f>
        <v>87.960136359032163</v>
      </c>
      <c r="G58">
        <f t="shared" ref="G58:G69" si="10">0.5*B$58*F58^2</f>
        <v>7.9267330524999995</v>
      </c>
      <c r="H58">
        <f>'take-off'!P$9/('take-off'!R$10*climb!G58)</f>
        <v>2.862629121452962</v>
      </c>
      <c r="I58">
        <f>H58^2/(3.142*'take-off'!P$8*'take-off'!P$5)</f>
        <v>0.44256793383547943</v>
      </c>
      <c r="J58">
        <f>'take-off'!P$6+climb!I58</f>
        <v>0.46778787784628534</v>
      </c>
      <c r="K58">
        <f>G58*J58*'take-off'!R$10</f>
        <v>955.96005255888531</v>
      </c>
      <c r="L58">
        <f>F58/((B$55/60)*'take-off'!C$8)</f>
        <v>0.31274715149878102</v>
      </c>
      <c r="M58" s="9">
        <v>0.6</v>
      </c>
      <c r="N58">
        <f t="shared" ref="N58:N69" si="11">M58*550*B$54/(F58)</f>
        <v>1645.3940395134623</v>
      </c>
      <c r="O58">
        <f t="shared" ref="O58:O69" si="12">(N58*F58)-(K58*F58)</f>
        <v>60642.707503075799</v>
      </c>
      <c r="P58" s="21">
        <f>60*(O58/'take-off'!P$9)</f>
        <v>621.97648721103383</v>
      </c>
      <c r="Q58" s="9">
        <v>0.7</v>
      </c>
      <c r="R58">
        <f t="shared" ref="R58:R69" si="13">Q58*550*B$54/(F58)</f>
        <v>1919.6263794323727</v>
      </c>
      <c r="S58">
        <f t="shared" ref="S58:S69" si="14">(R58*F58)-(K58*F58)</f>
        <v>84764.221516399615</v>
      </c>
      <c r="T58" s="21">
        <f>60*(S58/'take-off'!P$9)</f>
        <v>869.37663093743197</v>
      </c>
      <c r="U58" s="9">
        <v>0.75</v>
      </c>
      <c r="V58">
        <f t="shared" ref="V58:V69" si="15">U58*550*B$54/(F58)</f>
        <v>2056.7425493918281</v>
      </c>
      <c r="W58">
        <f t="shared" ref="W58:W69" si="16">(V58*F58)-(K58*F58)</f>
        <v>96824.978523061553</v>
      </c>
      <c r="X58" s="21">
        <f>60*(W58/'take-off'!P$9)</f>
        <v>993.07670280063132</v>
      </c>
    </row>
    <row r="59" spans="1:24" x14ac:dyDescent="0.25">
      <c r="A59" s="77" t="s">
        <v>146</v>
      </c>
      <c r="B59">
        <f>B58/climb!B7</f>
        <v>0.86166924106488363</v>
      </c>
      <c r="D59">
        <f t="shared" ref="D59:D69" si="17">D58+10</f>
        <v>60</v>
      </c>
      <c r="E59">
        <f t="shared" ref="E59:E69" si="18">D59/SQRT(B$59)</f>
        <v>64.636964868854008</v>
      </c>
      <c r="F59">
        <f t="shared" si="9"/>
        <v>105.55216363083859</v>
      </c>
      <c r="G59">
        <f t="shared" si="10"/>
        <v>11.414495595599998</v>
      </c>
      <c r="H59">
        <f>'take-off'!P$9/('take-off'!R$10*climb!G59)</f>
        <v>1.9879368898978906</v>
      </c>
      <c r="I59">
        <f>H59^2/(3.142*'take-off'!P$8*'take-off'!P$5)</f>
        <v>0.21342975204257308</v>
      </c>
      <c r="J59">
        <f>'take-off'!P$6+climb!I59</f>
        <v>0.23864969605337899</v>
      </c>
      <c r="K59">
        <f>G59*J59*'take-off'!R$10</f>
        <v>702.28623906867449</v>
      </c>
      <c r="L59">
        <f>F59/((B$55/60)*'take-off'!C$8)</f>
        <v>0.3752965817985372</v>
      </c>
      <c r="M59" s="9">
        <v>0.6</v>
      </c>
      <c r="N59">
        <f t="shared" si="11"/>
        <v>1371.1616995945519</v>
      </c>
      <c r="O59">
        <f t="shared" si="12"/>
        <v>70601.252058079932</v>
      </c>
      <c r="P59" s="21">
        <f>60*(O59/'take-off'!P$9)</f>
        <v>724.11540572389663</v>
      </c>
      <c r="Q59" s="9">
        <v>0.7</v>
      </c>
      <c r="R59">
        <f t="shared" si="13"/>
        <v>1599.6886495269773</v>
      </c>
      <c r="S59">
        <f t="shared" si="14"/>
        <v>94722.766071403748</v>
      </c>
      <c r="T59" s="21">
        <f>60*(S59/'take-off'!P$9)</f>
        <v>971.51554945029477</v>
      </c>
      <c r="U59" s="9">
        <v>0.75</v>
      </c>
      <c r="V59">
        <f t="shared" si="15"/>
        <v>1713.95212449319</v>
      </c>
      <c r="W59">
        <f t="shared" si="16"/>
        <v>106783.52307806566</v>
      </c>
      <c r="X59" s="21">
        <f>60*(W59/'take-off'!P$9)</f>
        <v>1095.215621313494</v>
      </c>
    </row>
    <row r="60" spans="1:24" x14ac:dyDescent="0.25">
      <c r="D60">
        <f t="shared" si="17"/>
        <v>70</v>
      </c>
      <c r="E60">
        <f t="shared" si="18"/>
        <v>75.40979234699634</v>
      </c>
      <c r="F60">
        <f t="shared" si="9"/>
        <v>123.14419090264502</v>
      </c>
      <c r="G60">
        <f t="shared" si="10"/>
        <v>15.536396782899997</v>
      </c>
      <c r="H60">
        <f>'take-off'!P$9/('take-off'!R$10*climb!G60)</f>
        <v>1.460525061965797</v>
      </c>
      <c r="I60">
        <f>H60^2/(3.142*'take-off'!P$8*'take-off'!P$5)</f>
        <v>0.11520406440948551</v>
      </c>
      <c r="J60">
        <f>'take-off'!P$6+climb!I60</f>
        <v>0.14042400842029143</v>
      </c>
      <c r="K60">
        <f>G60*J60*'take-off'!R$10</f>
        <v>562.45556522873437</v>
      </c>
      <c r="L60">
        <f>F60/((B$55/60)*'take-off'!C$8)</f>
        <v>0.43784601209829344</v>
      </c>
      <c r="M60" s="9">
        <v>0.6</v>
      </c>
      <c r="N60">
        <f t="shared" si="11"/>
        <v>1175.2814567953303</v>
      </c>
      <c r="O60">
        <f t="shared" si="12"/>
        <v>75465.948581160526</v>
      </c>
      <c r="P60" s="21">
        <f>60*(O60/'take-off'!P$9)</f>
        <v>774.00972903754382</v>
      </c>
      <c r="Q60" s="9">
        <v>0.7</v>
      </c>
      <c r="R60">
        <f t="shared" si="13"/>
        <v>1371.1616995945519</v>
      </c>
      <c r="S60">
        <f t="shared" si="14"/>
        <v>99587.462594484343</v>
      </c>
      <c r="T60" s="21">
        <f>60*(S60/'take-off'!P$9)</f>
        <v>1021.4098727639421</v>
      </c>
      <c r="U60" s="9">
        <v>0.75</v>
      </c>
      <c r="V60">
        <f t="shared" si="15"/>
        <v>1469.1018209941628</v>
      </c>
      <c r="W60">
        <f t="shared" si="16"/>
        <v>111648.21960114625</v>
      </c>
      <c r="X60" s="21">
        <f>60*(W60/'take-off'!P$9)</f>
        <v>1145.109944627141</v>
      </c>
    </row>
    <row r="61" spans="1:24" x14ac:dyDescent="0.25">
      <c r="D61">
        <f t="shared" si="17"/>
        <v>80</v>
      </c>
      <c r="E61">
        <f t="shared" si="18"/>
        <v>86.182619825138673</v>
      </c>
      <c r="F61">
        <f t="shared" si="9"/>
        <v>140.73621817445147</v>
      </c>
      <c r="G61">
        <f t="shared" si="10"/>
        <v>20.2924366144</v>
      </c>
      <c r="H61">
        <f>'take-off'!P$9/('take-off'!R$10*climb!G61)</f>
        <v>1.1182145005675632</v>
      </c>
      <c r="I61">
        <f>H61^2/(3.142*'take-off'!P$8*'take-off'!P$5)</f>
        <v>6.7530507482220364E-2</v>
      </c>
      <c r="J61">
        <f>'take-off'!P$6+climb!I61</f>
        <v>9.2750451493026284E-2</v>
      </c>
      <c r="K61">
        <f>G61*J61*'take-off'!R$10</f>
        <v>485.22903339100469</v>
      </c>
      <c r="L61">
        <f>F61/((B$55/60)*'take-off'!C$8)</f>
        <v>0.50039544239804967</v>
      </c>
      <c r="M61" s="9">
        <v>0.6</v>
      </c>
      <c r="N61">
        <f t="shared" si="11"/>
        <v>1028.3712746959138</v>
      </c>
      <c r="O61">
        <f t="shared" si="12"/>
        <v>76439.784972048263</v>
      </c>
      <c r="P61" s="21">
        <f>60*(O61/'take-off'!P$9)</f>
        <v>783.99779458511034</v>
      </c>
      <c r="Q61" s="9">
        <v>0.7</v>
      </c>
      <c r="R61">
        <f t="shared" si="13"/>
        <v>1199.766487145233</v>
      </c>
      <c r="S61">
        <f t="shared" si="14"/>
        <v>100561.29898537208</v>
      </c>
      <c r="T61" s="21">
        <f>60*(S61/'take-off'!P$9)</f>
        <v>1031.3979383115084</v>
      </c>
      <c r="U61" s="9">
        <v>0.75</v>
      </c>
      <c r="V61">
        <f t="shared" si="15"/>
        <v>1285.4640933698925</v>
      </c>
      <c r="W61">
        <f t="shared" si="16"/>
        <v>112622.05599203399</v>
      </c>
      <c r="X61" s="21">
        <f>60*(W61/'take-off'!P$9)</f>
        <v>1155.0980101747077</v>
      </c>
    </row>
    <row r="62" spans="1:24" x14ac:dyDescent="0.25">
      <c r="D62">
        <f t="shared" si="17"/>
        <v>90</v>
      </c>
      <c r="E62">
        <f t="shared" si="18"/>
        <v>96.955447303281019</v>
      </c>
      <c r="F62">
        <f t="shared" si="9"/>
        <v>158.32824544625791</v>
      </c>
      <c r="G62">
        <f t="shared" si="10"/>
        <v>25.682615090100004</v>
      </c>
      <c r="H62">
        <f>'take-off'!P$9/('take-off'!R$10*climb!G62)</f>
        <v>0.88352750662128432</v>
      </c>
      <c r="I62">
        <f>H62^2/(3.142*'take-off'!P$8*'take-off'!P$5)</f>
        <v>4.2158963366434155E-2</v>
      </c>
      <c r="J62">
        <f>'take-off'!P$6+climb!I62</f>
        <v>6.7378907377240074E-2</v>
      </c>
      <c r="K62">
        <f>G62*J62*'take-off'!R$10</f>
        <v>446.12828146595569</v>
      </c>
      <c r="L62">
        <f>F62/((B$55/60)*'take-off'!C$8)</f>
        <v>0.56294487269780591</v>
      </c>
      <c r="M62" s="9">
        <v>0.6</v>
      </c>
      <c r="N62">
        <f t="shared" si="11"/>
        <v>914.10779972970113</v>
      </c>
      <c r="O62">
        <f t="shared" si="12"/>
        <v>74094.376031483829</v>
      </c>
      <c r="P62" s="21">
        <f>60*(O62/'take-off'!P$9)</f>
        <v>759.94231827162912</v>
      </c>
      <c r="Q62" s="9">
        <v>0.7</v>
      </c>
      <c r="R62">
        <f t="shared" si="13"/>
        <v>1066.4590996846514</v>
      </c>
      <c r="S62">
        <f t="shared" si="14"/>
        <v>98215.890044807646</v>
      </c>
      <c r="T62" s="21">
        <f>60*(S62/'take-off'!P$9)</f>
        <v>1007.3424619980271</v>
      </c>
      <c r="U62" s="9">
        <v>0.75</v>
      </c>
      <c r="V62">
        <f t="shared" si="15"/>
        <v>1142.6347496621265</v>
      </c>
      <c r="W62">
        <f t="shared" si="16"/>
        <v>110276.64705146955</v>
      </c>
      <c r="X62" s="21">
        <f>60*(W62/'take-off'!P$9)</f>
        <v>1131.042533861226</v>
      </c>
    </row>
    <row r="63" spans="1:24" x14ac:dyDescent="0.25">
      <c r="D63">
        <f t="shared" si="17"/>
        <v>100</v>
      </c>
      <c r="E63">
        <f t="shared" si="18"/>
        <v>107.72827478142335</v>
      </c>
      <c r="F63">
        <f t="shared" si="9"/>
        <v>175.92027271806433</v>
      </c>
      <c r="G63">
        <f t="shared" si="10"/>
        <v>31.706932209999998</v>
      </c>
      <c r="H63">
        <f>'take-off'!P$9/('take-off'!R$10*climb!G63)</f>
        <v>0.7156572803632405</v>
      </c>
      <c r="I63">
        <f>H63^2/(3.142*'take-off'!P$8*'take-off'!P$5)</f>
        <v>2.7660495864717465E-2</v>
      </c>
      <c r="J63">
        <f>'take-off'!P$6+climb!I63</f>
        <v>5.2880439875523384E-2</v>
      </c>
      <c r="K63">
        <f>G63*J63*'take-off'!R$10</f>
        <v>432.26077867159711</v>
      </c>
      <c r="L63">
        <f>F63/((B$55/60)*'take-off'!C$8)</f>
        <v>0.62549430299756203</v>
      </c>
      <c r="M63" s="9">
        <v>0.6</v>
      </c>
      <c r="N63">
        <f t="shared" si="11"/>
        <v>822.69701975673115</v>
      </c>
      <c r="O63">
        <f t="shared" si="12"/>
        <v>68685.650010712692</v>
      </c>
      <c r="P63" s="21">
        <f>60*(O63/'take-off'!P$9)</f>
        <v>704.46820523807889</v>
      </c>
      <c r="Q63" s="9">
        <v>0.7</v>
      </c>
      <c r="R63">
        <f t="shared" si="13"/>
        <v>959.81318971618634</v>
      </c>
      <c r="S63">
        <f t="shared" si="14"/>
        <v>92807.164024036509</v>
      </c>
      <c r="T63" s="21">
        <f>60*(S63/'take-off'!P$9)</f>
        <v>951.86834896447704</v>
      </c>
      <c r="U63" s="9">
        <v>0.75</v>
      </c>
      <c r="V63">
        <f t="shared" si="15"/>
        <v>1028.3712746959141</v>
      </c>
      <c r="W63">
        <f t="shared" si="16"/>
        <v>104867.92103069845</v>
      </c>
      <c r="X63" s="21">
        <f>60*(W63/'take-off'!P$9)</f>
        <v>1075.5684208276764</v>
      </c>
    </row>
    <row r="64" spans="1:24" x14ac:dyDescent="0.25">
      <c r="D64">
        <f t="shared" si="17"/>
        <v>110</v>
      </c>
      <c r="E64">
        <f t="shared" si="18"/>
        <v>118.50110225956568</v>
      </c>
      <c r="F64">
        <f t="shared" si="9"/>
        <v>193.51229998987077</v>
      </c>
      <c r="G64">
        <f t="shared" si="10"/>
        <v>38.365387974100003</v>
      </c>
      <c r="H64">
        <f>'take-off'!P$9/('take-off'!R$10*climb!G64)</f>
        <v>0.59145229782085984</v>
      </c>
      <c r="I64">
        <f>H64^2/(3.142*'take-off'!P$8*'take-off'!P$5)</f>
        <v>1.8892490857671921E-2</v>
      </c>
      <c r="J64">
        <f>'take-off'!P$6+climb!I64</f>
        <v>4.4112434868477837E-2</v>
      </c>
      <c r="K64">
        <f>G64*J64*'take-off'!R$10</f>
        <v>436.31201524008003</v>
      </c>
      <c r="L64">
        <f>F64/((B$55/60)*'take-off'!C$8)</f>
        <v>0.68804373329731827</v>
      </c>
      <c r="M64" s="9">
        <v>0.6</v>
      </c>
      <c r="N64">
        <f t="shared" si="11"/>
        <v>747.90638159702826</v>
      </c>
      <c r="O64">
        <f t="shared" si="12"/>
        <v>60297.342497619466</v>
      </c>
      <c r="P64" s="21">
        <f>60*(O64/'take-off'!P$9)</f>
        <v>618.4342820268663</v>
      </c>
      <c r="Q64" s="9">
        <v>0.7</v>
      </c>
      <c r="R64">
        <f t="shared" si="13"/>
        <v>872.55744519653297</v>
      </c>
      <c r="S64">
        <f t="shared" si="14"/>
        <v>84418.856510943282</v>
      </c>
      <c r="T64" s="21">
        <f>60*(S64/'take-off'!P$9)</f>
        <v>865.83442575326444</v>
      </c>
      <c r="U64" s="9">
        <v>0.75</v>
      </c>
      <c r="V64">
        <f t="shared" si="15"/>
        <v>934.88297699628538</v>
      </c>
      <c r="W64">
        <f t="shared" si="16"/>
        <v>96479.61351760519</v>
      </c>
      <c r="X64" s="21">
        <f>60*(W64/'take-off'!P$9)</f>
        <v>989.53449761646357</v>
      </c>
    </row>
    <row r="65" spans="4:24" x14ac:dyDescent="0.25">
      <c r="D65">
        <f t="shared" si="17"/>
        <v>120</v>
      </c>
      <c r="E65">
        <f t="shared" si="18"/>
        <v>129.27392973770802</v>
      </c>
      <c r="F65">
        <f t="shared" si="9"/>
        <v>211.10432726167718</v>
      </c>
      <c r="G65">
        <f t="shared" si="10"/>
        <v>45.657982382399993</v>
      </c>
      <c r="H65">
        <f>'take-off'!P$9/('take-off'!R$10*climb!G65)</f>
        <v>0.49698422247447266</v>
      </c>
      <c r="I65">
        <f>H65^2/(3.142*'take-off'!P$8*'take-off'!P$5)</f>
        <v>1.3339359502660818E-2</v>
      </c>
      <c r="J65">
        <f>'take-off'!P$6+climb!I65</f>
        <v>3.8559303513466738E-2</v>
      </c>
      <c r="K65">
        <f>G65*J65*'take-off'!R$10</f>
        <v>453.8814621330697</v>
      </c>
      <c r="L65">
        <f>F65/((B$55/60)*'take-off'!C$8)</f>
        <v>0.7505931635970744</v>
      </c>
      <c r="M65" s="9">
        <v>0.6</v>
      </c>
      <c r="N65">
        <f t="shared" si="11"/>
        <v>685.58084979727596</v>
      </c>
      <c r="O65">
        <f t="shared" si="12"/>
        <v>48912.743359794811</v>
      </c>
      <c r="P65" s="21">
        <f>60*(O65/'take-off'!P$9)</f>
        <v>501.66916266456218</v>
      </c>
      <c r="Q65" s="9">
        <v>0.7</v>
      </c>
      <c r="R65">
        <f t="shared" si="13"/>
        <v>799.84432476348866</v>
      </c>
      <c r="S65">
        <f t="shared" si="14"/>
        <v>73034.257373118628</v>
      </c>
      <c r="T65" s="21">
        <f>60*(S65/'take-off'!P$9)</f>
        <v>749.06930639096026</v>
      </c>
      <c r="U65" s="9">
        <v>0.75</v>
      </c>
      <c r="V65">
        <f t="shared" si="15"/>
        <v>856.97606224659501</v>
      </c>
      <c r="W65">
        <f t="shared" si="16"/>
        <v>85095.014379780536</v>
      </c>
      <c r="X65" s="21">
        <f>60*(W65/'take-off'!P$9)</f>
        <v>872.76937825415939</v>
      </c>
    </row>
    <row r="66" spans="4:24" x14ac:dyDescent="0.25">
      <c r="D66">
        <f t="shared" si="17"/>
        <v>130</v>
      </c>
      <c r="E66">
        <f t="shared" si="18"/>
        <v>140.04675721585036</v>
      </c>
      <c r="F66">
        <f t="shared" si="9"/>
        <v>228.69635453348366</v>
      </c>
      <c r="G66">
        <f t="shared" si="10"/>
        <v>53.584715434900012</v>
      </c>
      <c r="H66">
        <f>'take-off'!P$9/('take-off'!R$10*climb!G66)</f>
        <v>0.42346584636878121</v>
      </c>
      <c r="I66">
        <f>H66^2/(3.142*'take-off'!P$8*'take-off'!P$5)</f>
        <v>9.684708471243109E-3</v>
      </c>
      <c r="J66">
        <f>'take-off'!P$6+climb!I66</f>
        <v>3.4904652482049027E-2</v>
      </c>
      <c r="K66">
        <f>G66*J66*'take-off'!R$10</f>
        <v>482.19288230900941</v>
      </c>
      <c r="L66">
        <f>F66/((B$55/60)*'take-off'!C$8)</f>
        <v>0.81314259389683075</v>
      </c>
      <c r="M66" s="9">
        <v>0.6</v>
      </c>
      <c r="N66">
        <f t="shared" si="11"/>
        <v>632.84386135133161</v>
      </c>
      <c r="O66">
        <f t="shared" si="12"/>
        <v>34453.329713879328</v>
      </c>
      <c r="P66" s="21">
        <f>60*(O66/'take-off'!P$9)</f>
        <v>353.36748424491617</v>
      </c>
      <c r="Q66" s="9">
        <v>0.7</v>
      </c>
      <c r="R66">
        <f t="shared" si="13"/>
        <v>738.31783824322019</v>
      </c>
      <c r="S66">
        <f t="shared" si="14"/>
        <v>58574.843727203144</v>
      </c>
      <c r="T66" s="21">
        <f>60*(S66/'take-off'!P$9)</f>
        <v>600.76762797131425</v>
      </c>
      <c r="U66" s="9">
        <v>0.75</v>
      </c>
      <c r="V66">
        <f t="shared" si="15"/>
        <v>791.05482668916443</v>
      </c>
      <c r="W66">
        <f t="shared" si="16"/>
        <v>70635.600733865052</v>
      </c>
      <c r="X66" s="21">
        <f>60*(W66/'take-off'!P$9)</f>
        <v>724.46769983451338</v>
      </c>
    </row>
    <row r="67" spans="4:24" x14ac:dyDescent="0.25">
      <c r="D67">
        <f t="shared" si="17"/>
        <v>140</v>
      </c>
      <c r="E67">
        <f t="shared" si="18"/>
        <v>150.81958469399268</v>
      </c>
      <c r="F67">
        <f t="shared" si="9"/>
        <v>246.28838180529004</v>
      </c>
      <c r="G67">
        <f t="shared" si="10"/>
        <v>62.145587131599989</v>
      </c>
      <c r="H67">
        <f>'take-off'!P$9/('take-off'!R$10*climb!G67)</f>
        <v>0.36513126549144925</v>
      </c>
      <c r="I67">
        <f>H67^2/(3.142*'take-off'!P$8*'take-off'!P$5)</f>
        <v>7.2002540255928444E-3</v>
      </c>
      <c r="J67">
        <f>'take-off'!P$6+climb!I67</f>
        <v>3.2420198036398763E-2</v>
      </c>
      <c r="K67">
        <f>G67*J67*'take-off'!R$10</f>
        <v>519.42459174966007</v>
      </c>
      <c r="L67">
        <f>F67/((B$55/60)*'take-off'!C$8)</f>
        <v>0.87569202419658687</v>
      </c>
      <c r="M67" s="9">
        <v>0.6</v>
      </c>
      <c r="N67">
        <f t="shared" si="11"/>
        <v>587.64072839766516</v>
      </c>
      <c r="O67">
        <f t="shared" si="12"/>
        <v>16800.84190804571</v>
      </c>
      <c r="P67" s="21">
        <f>60*(O67/'take-off'!P$9)</f>
        <v>172.31632726200726</v>
      </c>
      <c r="Q67" s="9">
        <v>0.7</v>
      </c>
      <c r="R67">
        <f t="shared" si="13"/>
        <v>685.58084979727596</v>
      </c>
      <c r="S67">
        <f t="shared" si="14"/>
        <v>40922.355921369526</v>
      </c>
      <c r="T67" s="21">
        <f>60*(S67/'take-off'!P$9)</f>
        <v>419.71647098840538</v>
      </c>
      <c r="U67" s="9">
        <v>0.75</v>
      </c>
      <c r="V67">
        <f t="shared" si="15"/>
        <v>734.55091049708142</v>
      </c>
      <c r="W67">
        <f t="shared" si="16"/>
        <v>52983.112928031434</v>
      </c>
      <c r="X67" s="21">
        <f>60*(W67/'take-off'!P$9)</f>
        <v>543.41654285160439</v>
      </c>
    </row>
    <row r="68" spans="4:24" x14ac:dyDescent="0.25">
      <c r="D68">
        <f t="shared" si="17"/>
        <v>150</v>
      </c>
      <c r="E68">
        <f t="shared" si="18"/>
        <v>161.59241217213503</v>
      </c>
      <c r="F68">
        <f t="shared" si="9"/>
        <v>263.88040907709649</v>
      </c>
      <c r="G68">
        <f t="shared" si="10"/>
        <v>71.340597472499994</v>
      </c>
      <c r="H68">
        <f>'take-off'!P$9/('take-off'!R$10*climb!G68)</f>
        <v>0.31806990238366251</v>
      </c>
      <c r="I68">
        <f>H68^2/(3.142*'take-off'!P$8*'take-off'!P$5)</f>
        <v>5.4638016522898722E-3</v>
      </c>
      <c r="J68">
        <f>'take-off'!P$6+climb!I68</f>
        <v>3.0683745663095792E-2</v>
      </c>
      <c r="K68">
        <f>G68*J68*'take-off'!R$10</f>
        <v>564.34107969321121</v>
      </c>
      <c r="L68">
        <f>F68/((B$55/60)*'take-off'!C$8)</f>
        <v>0.93824145449634311</v>
      </c>
      <c r="M68" s="9">
        <v>0.6</v>
      </c>
      <c r="N68">
        <f t="shared" si="11"/>
        <v>548.46467983782077</v>
      </c>
      <c r="O68">
        <f t="shared" si="12"/>
        <v>-4189.4708885119762</v>
      </c>
      <c r="P68" s="21">
        <f>60*(O68/'take-off'!P$9)</f>
        <v>-42.968932189866422</v>
      </c>
      <c r="Q68" s="9">
        <v>0.7</v>
      </c>
      <c r="R68">
        <f t="shared" si="13"/>
        <v>639.87545981079086</v>
      </c>
      <c r="S68">
        <f t="shared" si="14"/>
        <v>19932.04312481184</v>
      </c>
      <c r="T68" s="21">
        <f>60*(S68/'take-off'!P$9)</f>
        <v>204.43121153653169</v>
      </c>
      <c r="U68" s="9">
        <v>0.75</v>
      </c>
      <c r="V68">
        <f t="shared" si="15"/>
        <v>685.58084979727596</v>
      </c>
      <c r="W68">
        <f t="shared" si="16"/>
        <v>31992.800131473748</v>
      </c>
      <c r="X68" s="21">
        <f>60*(W68/'take-off'!P$9)</f>
        <v>328.13128339973076</v>
      </c>
    </row>
    <row r="69" spans="4:24" x14ac:dyDescent="0.25">
      <c r="D69">
        <f t="shared" si="17"/>
        <v>160</v>
      </c>
      <c r="E69">
        <f t="shared" si="18"/>
        <v>172.36523965027735</v>
      </c>
      <c r="F69">
        <f t="shared" si="9"/>
        <v>281.47243634890293</v>
      </c>
      <c r="G69">
        <f t="shared" si="10"/>
        <v>81.169746457599999</v>
      </c>
      <c r="H69">
        <f>'take-off'!P$9/('take-off'!R$10*climb!G69)</f>
        <v>0.2795536251418908</v>
      </c>
      <c r="I69">
        <f>H69^2/(3.142*'take-off'!P$8*'take-off'!P$5)</f>
        <v>4.2206567176387728E-3</v>
      </c>
      <c r="J69">
        <f>'take-off'!P$6+climb!I69</f>
        <v>2.9440600728444691E-2</v>
      </c>
      <c r="K69">
        <f>G69*J69*'take-off'!R$10</f>
        <v>616.0804181093531</v>
      </c>
      <c r="L69">
        <f>F69/((B$55/60)*'take-off'!C$8)</f>
        <v>1.0007908847960993</v>
      </c>
      <c r="M69" s="9">
        <v>0.6</v>
      </c>
      <c r="N69">
        <f t="shared" si="11"/>
        <v>514.18563734795691</v>
      </c>
      <c r="O69">
        <f t="shared" si="12"/>
        <v>-28680.572192147491</v>
      </c>
      <c r="P69" s="21">
        <f>60*(O69/'take-off'!P$9)</f>
        <v>-294.15971479125631</v>
      </c>
      <c r="Q69" s="9">
        <v>0.7</v>
      </c>
      <c r="R69">
        <f t="shared" si="13"/>
        <v>599.88324357261649</v>
      </c>
      <c r="S69">
        <f t="shared" si="14"/>
        <v>-4559.0581788236741</v>
      </c>
      <c r="T69" s="21">
        <f>60*(S69/'take-off'!P$9)</f>
        <v>-46.759571064858193</v>
      </c>
      <c r="U69" s="9">
        <v>0.75</v>
      </c>
      <c r="V69">
        <f t="shared" si="15"/>
        <v>642.73204668494623</v>
      </c>
      <c r="W69">
        <f t="shared" si="16"/>
        <v>7501.6988278382341</v>
      </c>
      <c r="X69" s="21">
        <f>60*(W69/'take-off'!P$9)</f>
        <v>76.940500798340864</v>
      </c>
    </row>
    <row r="71" spans="4:24" x14ac:dyDescent="0.25">
      <c r="P71">
        <f>MAX(P57:P69)</f>
        <v>783.99779458511034</v>
      </c>
      <c r="T71">
        <f>MAX(T57:T69)</f>
        <v>1031.3979383115084</v>
      </c>
      <c r="X71">
        <f>MAX(X57:X69)</f>
        <v>1155.0980101747077</v>
      </c>
    </row>
  </sheetData>
  <mergeCells count="4">
    <mergeCell ref="A32:B32"/>
    <mergeCell ref="A17:C17"/>
    <mergeCell ref="A11:C11"/>
    <mergeCell ref="D11:F1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AA68"/>
  <sheetViews>
    <sheetView tabSelected="1" topLeftCell="A25" zoomScaleNormal="100" workbookViewId="0">
      <selection activeCell="G5" sqref="G5"/>
    </sheetView>
  </sheetViews>
  <sheetFormatPr defaultRowHeight="15" x14ac:dyDescent="0.25"/>
  <cols>
    <col min="2" max="2" width="10.5703125" customWidth="1"/>
  </cols>
  <sheetData>
    <row r="2" spans="1:27" x14ac:dyDescent="0.25">
      <c r="F2" s="18" t="s">
        <v>158</v>
      </c>
      <c r="G2" s="18"/>
      <c r="H2" s="18"/>
      <c r="W2" s="17" t="s">
        <v>169</v>
      </c>
      <c r="Z2" t="s">
        <v>170</v>
      </c>
    </row>
    <row r="3" spans="1:27" ht="18" x14ac:dyDescent="0.35">
      <c r="F3" s="18" t="s">
        <v>15</v>
      </c>
      <c r="G3" s="18" t="s">
        <v>31</v>
      </c>
      <c r="H3" s="18" t="s">
        <v>16</v>
      </c>
      <c r="I3" s="18" t="s">
        <v>106</v>
      </c>
      <c r="J3" s="18" t="s">
        <v>87</v>
      </c>
      <c r="K3" s="18" t="s">
        <v>28</v>
      </c>
      <c r="L3" s="18" t="s">
        <v>160</v>
      </c>
      <c r="M3" s="18" t="s">
        <v>159</v>
      </c>
      <c r="N3" s="18" t="s">
        <v>151</v>
      </c>
      <c r="O3" s="18" t="s">
        <v>28</v>
      </c>
      <c r="P3" s="18" t="s">
        <v>161</v>
      </c>
      <c r="Q3" s="18" t="s">
        <v>160</v>
      </c>
      <c r="R3" s="18" t="s">
        <v>150</v>
      </c>
      <c r="S3" s="18" t="s">
        <v>159</v>
      </c>
      <c r="T3" s="18" t="s">
        <v>164</v>
      </c>
      <c r="V3" s="18" t="s">
        <v>165</v>
      </c>
      <c r="W3" s="18" t="s">
        <v>166</v>
      </c>
      <c r="X3" s="18" t="s">
        <v>167</v>
      </c>
      <c r="Y3" s="18" t="s">
        <v>168</v>
      </c>
      <c r="Z3" s="18" t="s">
        <v>166</v>
      </c>
      <c r="AA3" s="18" t="s">
        <v>167</v>
      </c>
    </row>
    <row r="4" spans="1:27" x14ac:dyDescent="0.25">
      <c r="F4" s="19">
        <f>G4*SQRT(B$10)</f>
        <v>60.154285419909144</v>
      </c>
      <c r="G4" s="19">
        <v>70</v>
      </c>
      <c r="H4" s="19">
        <f>G4*1.688</f>
        <v>118.16</v>
      </c>
      <c r="I4" s="19">
        <f>('take-off'!P$9*2)/(cruise!B$9*cruise!H4^2*'take-off'!R$10)</f>
        <v>1.850970232124209</v>
      </c>
      <c r="J4" s="19">
        <f>'take-off'!P$6+'take-off'!P$7*cruise!I4^2</f>
        <v>0.21025271071057766</v>
      </c>
      <c r="K4" s="19">
        <f>0.5*B$9*H4^2*J4*'take-off'!R$10</f>
        <v>664.504666963408</v>
      </c>
      <c r="L4" s="19">
        <f>0.5*B$9*H4^2*'take-off'!P$6*'take-off'!R$10</f>
        <v>79.707749969538256</v>
      </c>
      <c r="M4" s="19">
        <f>0.5*B$9*H4^2*'take-off'!R$10*'take-off'!P$7*(cruise!I4)^2</f>
        <v>584.79691699386967</v>
      </c>
      <c r="N4" s="19">
        <f>'take-off'!P$6+'take-off'!P$7*(cruise!I4-climb!B$56)^2</f>
        <v>0.21011400489231852</v>
      </c>
      <c r="O4" s="19">
        <f>0.5*B$9*H4^2*N4*'take-off'!R$10</f>
        <v>664.06628658173918</v>
      </c>
      <c r="P4" s="19">
        <f>'take-off'!P$6</f>
        <v>2.521994401080592E-2</v>
      </c>
      <c r="Q4" s="19">
        <f>0.5*B$9*H4^2*'take-off'!P$6*'take-off'!R$10</f>
        <v>79.707749969538256</v>
      </c>
      <c r="R4" s="19">
        <f>'take-off'!P$7*(cruise!I4-climb!B$56)^2</f>
        <v>0.18489406088151261</v>
      </c>
      <c r="S4" s="19">
        <f>0.5*B$9*H4^2*'take-off'!R$10*'take-off'!P$7*(cruise!I4-climb!B$56)^2</f>
        <v>584.35853661220108</v>
      </c>
      <c r="T4" s="19">
        <f>B$11</f>
        <v>140</v>
      </c>
      <c r="U4" s="19">
        <v>0</v>
      </c>
      <c r="V4" s="19">
        <f>550*B$7*cruise!B$8/(F4*1.688)</f>
        <v>1542.0950468429182</v>
      </c>
      <c r="W4" s="21">
        <f>(SQRT(  (V4+SQRT(V4^2-(4*P$4*'take-off'!P$7*'take-off'!P$9^2)))/(cruise!B$9*cruise!P$4*'take-off'!R$10)))/1.688</f>
        <v>304.80079120099043</v>
      </c>
      <c r="X4" s="21">
        <f>(SQRT(  (V4-SQRT(V4^2-(4*P$4*'take-off'!P$7*'take-off'!P$9^2)))/(cruise!B$9*cruise!P$4*'take-off'!R$10)))/1.688</f>
        <v>43.544394138035322</v>
      </c>
      <c r="Y4" s="19">
        <f t="shared" ref="Y4:Y12" si="0">B$7*B$8*550/(B$11*1.688)</f>
        <v>662.5973256601219</v>
      </c>
      <c r="Z4" s="21">
        <f xml:space="preserve"> (SQRT(    (V4 + (2*'take-off'!P$9*'take-off'!P$7*climb!B$56)+SQRT( (cruise!V4+2*climb!B$56*'take-off'!P$7*'take-off'!P$9)^2-(4*'take-off'!P$9^2*'take-off'!P$7*('take-off'!P$6+'take-off'!P$7*climb!B$56^2))))/( cruise!B$9*'take-off'!R$10*('take-off'!P$6+'take-off'!P$7*climb!B$56^2))))/1.688</f>
        <v>304.84576463542248</v>
      </c>
      <c r="AA4" s="21">
        <f xml:space="preserve"> (SQRT(    (V4 + (2*'take-off'!P$9*'take-off'!P$7*climb!B$56)-SQRT( (cruise!V4+2*climb!B$56*'take-off'!P$7*'take-off'!P$9)^2-(4*'take-off'!P$9^2*'take-off'!P$7*('take-off'!P$6+'take-off'!P$7*climb!B$56^2))))/( cruise!B$9*'take-off'!R$10*('take-off'!P$6+'take-off'!P$7*climb!B$56^2))))/1.688</f>
        <v>43.537947653536776</v>
      </c>
    </row>
    <row r="5" spans="1:27" x14ac:dyDescent="0.25">
      <c r="F5" s="19">
        <f t="shared" ref="F5:F12" si="1">G5*SQRT(B$10)</f>
        <v>77.34122411131176</v>
      </c>
      <c r="G5" s="19">
        <f>G4+20</f>
        <v>90</v>
      </c>
      <c r="H5" s="19">
        <f t="shared" ref="H5:H12" si="2">G5*1.688</f>
        <v>151.91999999999999</v>
      </c>
      <c r="I5" s="19">
        <f>('take-off'!P$9*2)/(cruise!B$9*cruise!H5^2*'take-off'!R$10)</f>
        <v>1.1197227330134105</v>
      </c>
      <c r="J5" s="19">
        <f>'take-off'!P$6+'take-off'!P$7*cruise!I5^2</f>
        <v>9.2932742798513893E-2</v>
      </c>
      <c r="K5" s="19">
        <f>0.5*B$9*H5^2*J5*'take-off'!R$10</f>
        <v>485.52782697213945</v>
      </c>
      <c r="L5" s="19">
        <f>0.5*B$9*H5^2*'take-off'!P$6*'take-off'!R$10</f>
        <v>131.76179076597137</v>
      </c>
      <c r="M5" s="19">
        <f>0.5*B$9*H5^2*'take-off'!R$10*'take-off'!P$7*(cruise!I5)^2</f>
        <v>353.76603620616811</v>
      </c>
      <c r="N5" s="19">
        <f>'take-off'!P$6+'take-off'!P$7*(cruise!I5-climb!B$56)^2</f>
        <v>9.2848844613820078E-2</v>
      </c>
      <c r="O5" s="19">
        <f>0.5*B$9*H5^2*N5*'take-off'!R$10</f>
        <v>485.08950026322464</v>
      </c>
      <c r="P5" s="19">
        <f>'take-off'!P$6</f>
        <v>2.521994401080592E-2</v>
      </c>
      <c r="Q5" s="19">
        <f>0.5*B$9*H5^2*'take-off'!P$6*'take-off'!R$10</f>
        <v>131.76179076597137</v>
      </c>
      <c r="R5" s="19">
        <f>'take-off'!P$7*(cruise!I5-climb!B$56)^2</f>
        <v>6.7628900603014158E-2</v>
      </c>
      <c r="S5" s="19">
        <f>0.5*B$9*H5^2*'take-off'!R$10*'take-off'!P$7*(cruise!I5-climb!B$56)^2</f>
        <v>353.3277094972533</v>
      </c>
      <c r="T5" s="19">
        <f t="shared" ref="T5:T12" si="3">B$11</f>
        <v>140</v>
      </c>
      <c r="U5" s="19">
        <f>U4+100</f>
        <v>100</v>
      </c>
      <c r="V5" s="19">
        <f>550*B$7*cruise!B$8/(F5*1.688)</f>
        <v>1199.4072586556028</v>
      </c>
      <c r="W5" s="21">
        <f>(SQRT(  (V5+SQRT(V5^2-(4*P$4*'take-off'!P$7*'take-off'!P$9^2)))/(cruise!B$9*cruise!P$4*'take-off'!R$10)))/1.688</f>
        <v>266.94769951374195</v>
      </c>
      <c r="X5" s="21">
        <f>(SQRT(  (V5-SQRT(V5^2-(4*P$4*'take-off'!P$7*'take-off'!P$9^2)))/(cruise!B$9*cruise!P$4*'take-off'!R$10)))/1.688</f>
        <v>49.718974202876382</v>
      </c>
      <c r="Y5" s="19">
        <f t="shared" si="0"/>
        <v>662.5973256601219</v>
      </c>
      <c r="Z5" s="21">
        <f xml:space="preserve"> (SQRT(    (V5 + (2*'take-off'!P$9*'take-off'!P$7*climb!B$56)+SQRT( (cruise!V5+2*climb!B$56*'take-off'!P$7*'take-off'!P$9)^2-(4*'take-off'!P$9^2*'take-off'!P$7*('take-off'!P$6+'take-off'!P$7*climb!B$56^2))))/( cruise!B$9*'take-off'!R$10*('take-off'!P$6+'take-off'!P$7*climb!B$56^2))))/1.688</f>
        <v>266.99985141528049</v>
      </c>
      <c r="AA5" s="21">
        <f xml:space="preserve"> (SQRT(    (V5 + (2*'take-off'!P$9*'take-off'!P$7*climb!B$56)-SQRT( (cruise!V5+2*climb!B$56*'take-off'!P$7*'take-off'!P$9)^2-(4*'take-off'!P$9^2*'take-off'!P$7*('take-off'!P$6+'take-off'!P$7*climb!B$56^2))))/( cruise!B$9*'take-off'!R$10*('take-off'!P$6+'take-off'!P$7*climb!B$56^2))))/1.688</f>
        <v>49.709237187762156</v>
      </c>
    </row>
    <row r="6" spans="1:27" x14ac:dyDescent="0.25">
      <c r="A6" t="s">
        <v>144</v>
      </c>
      <c r="B6" s="103">
        <f>'[1]Sref and POWER SIZING'!$B$4</f>
        <v>10000</v>
      </c>
      <c r="C6" t="s">
        <v>10</v>
      </c>
      <c r="F6" s="19">
        <f t="shared" si="1"/>
        <v>94.528162802714377</v>
      </c>
      <c r="G6" s="19">
        <f t="shared" ref="G6:G12" si="4">G5+20</f>
        <v>110</v>
      </c>
      <c r="H6" s="19">
        <f t="shared" si="2"/>
        <v>185.68</v>
      </c>
      <c r="I6" s="19">
        <f>('take-off'!P$9*2)/(cruise!B$9*cruise!H6^2*'take-off'!R$10)</f>
        <v>0.7495664576370763</v>
      </c>
      <c r="J6" s="19">
        <f>'take-off'!P$6+'take-off'!P$7*cruise!I6^2</f>
        <v>5.5563750639188669E-2</v>
      </c>
      <c r="K6" s="19">
        <f>0.5*B$9*H6^2*J6*'take-off'!R$10</f>
        <v>433.64792798217081</v>
      </c>
      <c r="L6" s="19">
        <f>0.5*B$9*H6^2*'take-off'!P$6*'take-off'!R$10</f>
        <v>196.82934176151286</v>
      </c>
      <c r="M6" s="19">
        <f>0.5*B$9*H6^2*'take-off'!R$10*'take-off'!P$7*(cruise!I6)^2</f>
        <v>236.81858622065795</v>
      </c>
      <c r="N6" s="19">
        <f>'take-off'!P$6+'take-off'!P$7*(cruise!I6-climb!B$56)^2</f>
        <v>5.5507595988014469E-2</v>
      </c>
      <c r="O6" s="19">
        <f>0.5*B$9*H6^2*N6*'take-off'!R$10</f>
        <v>433.20966836419825</v>
      </c>
      <c r="P6" s="19">
        <f>'take-off'!P$6</f>
        <v>2.521994401080592E-2</v>
      </c>
      <c r="Q6" s="19">
        <f>0.5*B$9*H6^2*'take-off'!P$6*'take-off'!R$10</f>
        <v>196.82934176151286</v>
      </c>
      <c r="R6" s="19">
        <f>'take-off'!P$7*(cruise!I6-climb!B$56)^2</f>
        <v>3.0287651977208552E-2</v>
      </c>
      <c r="S6" s="19">
        <f>0.5*B$9*H6^2*'take-off'!R$10*'take-off'!P$7*(cruise!I6-climb!B$56)^2</f>
        <v>236.38032660268539</v>
      </c>
      <c r="T6" s="19">
        <f t="shared" si="3"/>
        <v>140</v>
      </c>
      <c r="U6" s="19">
        <f t="shared" ref="U6:U12" si="5">U5+150</f>
        <v>250</v>
      </c>
      <c r="V6" s="19">
        <f>550*B$7*cruise!B$8/(F6*1.688)</f>
        <v>981.33321162731147</v>
      </c>
      <c r="W6" s="21">
        <f>(SQRT(  (V6+SQRT(V6^2-(4*P$4*'take-off'!P$7*'take-off'!P$9^2)))/(cruise!B$9*cruise!P$4*'take-off'!R$10)))/1.688</f>
        <v>239.26991244979254</v>
      </c>
      <c r="X6" s="21">
        <f>(SQRT(  (V6-SQRT(V6^2-(4*P$4*'take-off'!P$7*'take-off'!P$9^2)))/(cruise!B$9*cruise!P$4*'take-off'!R$10)))/1.688</f>
        <v>55.47026640228308</v>
      </c>
      <c r="Y6" s="19">
        <f t="shared" si="0"/>
        <v>662.5973256601219</v>
      </c>
      <c r="Z6" s="21">
        <f xml:space="preserve"> (SQRT(    (V6 + (2*'take-off'!P$9*'take-off'!P$7*climb!B$56)+SQRT( (cruise!V6+2*climb!B$56*'take-off'!P$7*'take-off'!P$9)^2-(4*'take-off'!P$9^2*'take-off'!P$7*('take-off'!P$6+'take-off'!P$7*climb!B$56^2))))/( cruise!B$9*'take-off'!R$10*('take-off'!P$6+'take-off'!P$7*climb!B$56^2))))/1.688</f>
        <v>239.32929835416334</v>
      </c>
      <c r="AA6" s="21">
        <f xml:space="preserve"> (SQRT(    (V6 + (2*'take-off'!P$9*'take-off'!P$7*climb!B$56)-SQRT( (cruise!V6+2*climb!B$56*'take-off'!P$7*'take-off'!P$9)^2-(4*'take-off'!P$9^2*'take-off'!P$7*('take-off'!P$6+'take-off'!P$7*climb!B$56^2))))/( cruise!B$9*'take-off'!R$10*('take-off'!P$6+'take-off'!P$7*climb!B$56^2))))/1.688</f>
        <v>55.456473713714601</v>
      </c>
    </row>
    <row r="7" spans="1:27" ht="18" x14ac:dyDescent="0.35">
      <c r="A7" s="59" t="s">
        <v>153</v>
      </c>
      <c r="B7" s="28">
        <f>'take-off'!G16</f>
        <v>0.75</v>
      </c>
      <c r="F7" s="19">
        <f t="shared" si="1"/>
        <v>111.71510149411699</v>
      </c>
      <c r="G7" s="19">
        <f t="shared" si="4"/>
        <v>130</v>
      </c>
      <c r="H7" s="19">
        <f t="shared" si="2"/>
        <v>219.44</v>
      </c>
      <c r="I7" s="19">
        <f>('take-off'!P$9*2)/(cruise!B$9*cruise!H7^2*'take-off'!R$10)</f>
        <v>0.53667184245021438</v>
      </c>
      <c r="J7" s="19">
        <f>'take-off'!P$6+'take-off'!P$7*cruise!I7^2</f>
        <v>4.0774850101144205E-2</v>
      </c>
      <c r="K7" s="19">
        <f>0.5*B$9*H7^2*J7*'take-off'!R$10</f>
        <v>444.46690551651523</v>
      </c>
      <c r="L7" s="19">
        <f>0.5*B$9*H7^2*'take-off'!P$6*'take-off'!R$10</f>
        <v>274.91040295616261</v>
      </c>
      <c r="M7" s="19">
        <f>0.5*B$9*H7^2*'take-off'!R$10*'take-off'!P$7*(cruise!I7)^2</f>
        <v>169.5565025603527</v>
      </c>
      <c r="N7" s="19">
        <f>'take-off'!P$6+'take-off'!P$7*(cruise!I7-climb!B$56)^2</f>
        <v>4.0734652085816808E-2</v>
      </c>
      <c r="O7" s="19">
        <f>0.5*B$9*H7^2*N7*'take-off'!R$10</f>
        <v>444.02872640767362</v>
      </c>
      <c r="P7" s="19">
        <f>'take-off'!P$6</f>
        <v>2.521994401080592E-2</v>
      </c>
      <c r="Q7" s="19">
        <f>0.5*B$9*H7^2*'take-off'!P$6*'take-off'!R$10</f>
        <v>274.91040295616261</v>
      </c>
      <c r="R7" s="19">
        <f>'take-off'!P$7*(cruise!I7-climb!B$56)^2</f>
        <v>1.551470807501089E-2</v>
      </c>
      <c r="S7" s="19">
        <f>0.5*B$9*H7^2*'take-off'!R$10*'take-off'!P$7*(cruise!I7-climb!B$56)^2</f>
        <v>169.11832345151097</v>
      </c>
      <c r="T7" s="19">
        <f t="shared" si="3"/>
        <v>140</v>
      </c>
      <c r="U7" s="19">
        <f t="shared" si="5"/>
        <v>400</v>
      </c>
      <c r="V7" s="19">
        <f>550*B$7*cruise!B$8/(F7*1.688)</f>
        <v>830.3588713769559</v>
      </c>
      <c r="W7" s="21">
        <f>(SQRT(  (V7+SQRT(V7^2-(4*P$4*'take-off'!P$7*'take-off'!P$9^2)))/(cruise!B$9*cruise!P$4*'take-off'!R$10)))/1.688</f>
        <v>217.53986531985296</v>
      </c>
      <c r="X7" s="21">
        <f>(SQRT(  (V7-SQRT(V7^2-(4*P$4*'take-off'!P$7*'take-off'!P$9^2)))/(cruise!B$9*cruise!P$4*'take-off'!R$10)))/1.688</f>
        <v>61.011188759018161</v>
      </c>
      <c r="Y7" s="19">
        <f t="shared" si="0"/>
        <v>662.5973256601219</v>
      </c>
      <c r="Z7" s="21">
        <f xml:space="preserve"> (SQRT(    (V7 + (2*'take-off'!P$9*'take-off'!P$7*climb!B$56)+SQRT( (cruise!V7+2*climb!B$56*'take-off'!P$7*'take-off'!P$9)^2-(4*'take-off'!P$9^2*'take-off'!P$7*('take-off'!P$6+'take-off'!P$7*climb!B$56^2))))/( cruise!B$9*'take-off'!R$10*('take-off'!P$6+'take-off'!P$7*climb!B$56^2))))/1.688</f>
        <v>217.60697125782946</v>
      </c>
      <c r="AA7" s="21">
        <f xml:space="preserve"> (SQRT(    (V7 + (2*'take-off'!P$9*'take-off'!P$7*climb!B$56)-SQRT( (cruise!V7+2*climb!B$56*'take-off'!P$7*'take-off'!P$9)^2-(4*'take-off'!P$9^2*'take-off'!P$7*('take-off'!P$6+'take-off'!P$7*climb!B$56^2))))/( cruise!B$9*'take-off'!R$10*('take-off'!P$6+'take-off'!P$7*climb!B$56^2))))/1.688</f>
        <v>60.992342599970257</v>
      </c>
    </row>
    <row r="8" spans="1:27" ht="18" x14ac:dyDescent="0.35">
      <c r="A8" t="s">
        <v>142</v>
      </c>
      <c r="B8" s="9">
        <f>0.73*'take-off'!C7</f>
        <v>379.59999999999997</v>
      </c>
      <c r="C8" t="s">
        <v>163</v>
      </c>
      <c r="D8" t="s">
        <v>221</v>
      </c>
      <c r="E8" s="98">
        <f>'[1]MTOW &amp; WEIGHTS'!$B$26</f>
        <v>0.5</v>
      </c>
      <c r="F8" s="19">
        <f t="shared" si="1"/>
        <v>128.90204018551961</v>
      </c>
      <c r="G8" s="19">
        <f t="shared" si="4"/>
        <v>150</v>
      </c>
      <c r="H8" s="19">
        <f t="shared" si="2"/>
        <v>253.2</v>
      </c>
      <c r="I8" s="19">
        <f>('take-off'!P$9*2)/(cruise!B$9*cruise!H8^2*'take-off'!R$10)</f>
        <v>0.40310018388482777</v>
      </c>
      <c r="J8" s="19">
        <f>'take-off'!P$6+'take-off'!P$7*cruise!I8^2</f>
        <v>3.3995522733692871E-2</v>
      </c>
      <c r="K8" s="19">
        <f>0.5*B$9*H8^2*J8*'take-off'!R$10</f>
        <v>493.36074738414101</v>
      </c>
      <c r="L8" s="19">
        <f>0.5*B$9*H8^2*'take-off'!P$6*'take-off'!R$10</f>
        <v>366.00497434992047</v>
      </c>
      <c r="M8" s="19">
        <f>0.5*B$9*H8^2*'take-off'!R$10*'take-off'!P$7*(cruise!I8)^2</f>
        <v>127.3557730342205</v>
      </c>
      <c r="N8" s="19">
        <f>'take-off'!P$6+'take-off'!P$7*(cruise!I8-climb!B$56)^2</f>
        <v>3.3965336029893059E-2</v>
      </c>
      <c r="O8" s="19">
        <f>0.5*B$9*H8^2*N8*'take-off'!R$10</f>
        <v>492.9226622026186</v>
      </c>
      <c r="P8" s="19">
        <f>'take-off'!P$6</f>
        <v>2.521994401080592E-2</v>
      </c>
      <c r="Q8" s="19">
        <f>0.5*B$9*H8^2*'take-off'!P$6*'take-off'!R$10</f>
        <v>366.00497434992047</v>
      </c>
      <c r="R8" s="19">
        <f>'take-off'!P$7*(cruise!I8-climb!B$56)^2</f>
        <v>8.745392019087141E-3</v>
      </c>
      <c r="S8" s="19">
        <f>0.5*B$9*H8^2*'take-off'!R$10*'take-off'!P$7*(cruise!I8-climb!B$56)^2</f>
        <v>126.91768785269809</v>
      </c>
      <c r="T8" s="19">
        <f t="shared" si="3"/>
        <v>140</v>
      </c>
      <c r="U8" s="19">
        <f t="shared" si="5"/>
        <v>550</v>
      </c>
      <c r="V8" s="19">
        <f>550*B$7*cruise!B$8/(F8*1.688)</f>
        <v>719.64435519336178</v>
      </c>
      <c r="W8" s="21">
        <f>(SQRT(  (V8+SQRT(V8^2-(4*P$4*'take-off'!P$7*'take-off'!P$9^2)))/(cruise!B$9*cruise!P$4*'take-off'!R$10)))/1.688</f>
        <v>199.5383042334069</v>
      </c>
      <c r="X8" s="21">
        <f>(SQRT(  (V8-SQRT(V8^2-(4*P$4*'take-off'!P$7*'take-off'!P$9^2)))/(cruise!B$9*cruise!P$4*'take-off'!R$10)))/1.688</f>
        <v>66.515378271010007</v>
      </c>
      <c r="Y8" s="19">
        <f t="shared" si="0"/>
        <v>662.5973256601219</v>
      </c>
      <c r="Z8" s="21">
        <f xml:space="preserve"> (SQRT(    (V8 + (2*'take-off'!P$9*'take-off'!P$7*climb!B$56)+SQRT( (cruise!V8+2*climb!B$56*'take-off'!P$7*'take-off'!P$9)^2-(4*'take-off'!P$9^2*'take-off'!P$7*('take-off'!P$6+'take-off'!P$7*climb!B$56^2))))/( cruise!B$9*'take-off'!R$10*('take-off'!P$6+'take-off'!P$7*climb!B$56^2))))/1.688</f>
        <v>199.61415191439687</v>
      </c>
      <c r="AA8" s="21">
        <f xml:space="preserve"> (SQRT(    (V8 + (2*'take-off'!P$9*'take-off'!P$7*climb!B$56)-SQRT( (cruise!V8+2*climb!B$56*'take-off'!P$7*'take-off'!P$9)^2-(4*'take-off'!P$9^2*'take-off'!P$7*('take-off'!P$6+'take-off'!P$7*climb!B$56^2))))/( cruise!B$9*'take-off'!R$10*('take-off'!P$6+'take-off'!P$7*climb!B$56^2))))/1.688</f>
        <v>66.490070046692765</v>
      </c>
    </row>
    <row r="9" spans="1:27" x14ac:dyDescent="0.25">
      <c r="A9" s="25" t="s">
        <v>145</v>
      </c>
      <c r="B9">
        <f>0.002378*(1-(0.0000068753*B6))^4.2561</f>
        <v>1.7560986721051812E-3</v>
      </c>
      <c r="F9" s="19">
        <f t="shared" si="1"/>
        <v>146.08897887692223</v>
      </c>
      <c r="G9" s="19">
        <f t="shared" si="4"/>
        <v>170</v>
      </c>
      <c r="H9" s="19">
        <f t="shared" si="2"/>
        <v>286.95999999999998</v>
      </c>
      <c r="I9" s="19">
        <f>('take-off'!P$9*2)/(cruise!B$9*cruise!H9^2*'take-off'!R$10)</f>
        <v>0.31383232309372405</v>
      </c>
      <c r="J9" s="19">
        <f>'take-off'!P$6+'take-off'!P$7*cruise!I9^2</f>
        <v>3.0539129279734116E-2</v>
      </c>
      <c r="K9" s="19">
        <f>0.5*B$9*H9^2*J9*'take-off'!R$10</f>
        <v>569.26547439503452</v>
      </c>
      <c r="L9" s="19">
        <f>0.5*B$9*H9^2*'take-off'!P$6*'take-off'!R$10</f>
        <v>470.11305594278673</v>
      </c>
      <c r="M9" s="19">
        <f>0.5*B$9*H9^2*'take-off'!R$10*'take-off'!P$7*(cruise!I9)^2</f>
        <v>99.152418452247801</v>
      </c>
      <c r="N9" s="19">
        <f>'take-off'!P$6+'take-off'!P$7*(cruise!I9-climb!B$56)^2</f>
        <v>3.0515633279436676E-2</v>
      </c>
      <c r="O9" s="19">
        <f>0.5*B$9*H9^2*N9*'take-off'!R$10</f>
        <v>568.82749655902001</v>
      </c>
      <c r="P9" s="19">
        <f>'take-off'!P$6</f>
        <v>2.521994401080592E-2</v>
      </c>
      <c r="Q9" s="19">
        <f>0.5*B$9*H9^2*'take-off'!P$6*'take-off'!R$10</f>
        <v>470.11305594278673</v>
      </c>
      <c r="R9" s="19">
        <f>'take-off'!P$7*(cruise!I9-climb!B$56)^2</f>
        <v>5.2956892686307558E-3</v>
      </c>
      <c r="S9" s="19">
        <f>0.5*B$9*H9^2*'take-off'!R$10*'take-off'!P$7*(cruise!I9-climb!B$56)^2</f>
        <v>98.714440616233162</v>
      </c>
      <c r="T9" s="19">
        <f t="shared" si="3"/>
        <v>140</v>
      </c>
      <c r="U9" s="19">
        <f t="shared" si="5"/>
        <v>700</v>
      </c>
      <c r="V9" s="19">
        <f>550*B$7*cruise!B$8/(F9*1.688)</f>
        <v>634.9803134059074</v>
      </c>
      <c r="W9" s="21">
        <f>(SQRT(  (V9+SQRT(V9^2-(4*P$4*'take-off'!P$7*'take-off'!P$9^2)))/(cruise!B$9*cruise!P$4*'take-off'!R$10)))/1.688</f>
        <v>183.92309845272641</v>
      </c>
      <c r="X9" s="21">
        <f>(SQRT(  (V9-SQRT(V9^2-(4*P$4*'take-off'!P$7*'take-off'!P$9^2)))/(cruise!B$9*cruise!P$4*'take-off'!R$10)))/1.688</f>
        <v>72.162582608145456</v>
      </c>
      <c r="Y9" s="19">
        <f t="shared" si="0"/>
        <v>662.5973256601219</v>
      </c>
      <c r="Z9" s="21">
        <f xml:space="preserve"> (SQRT(    (V9 + (2*'take-off'!P$9*'take-off'!P$7*climb!B$56)+SQRT( (cruise!V9+2*climb!B$56*'take-off'!P$7*'take-off'!P$9)^2-(4*'take-off'!P$9^2*'take-off'!P$7*('take-off'!P$6+'take-off'!P$7*climb!B$56^2))))/( cruise!B$9*'take-off'!R$10*('take-off'!P$6+'take-off'!P$7*climb!B$56^2))))/1.688</f>
        <v>184.00955969157269</v>
      </c>
      <c r="AA9" s="21">
        <f xml:space="preserve"> (SQRT(    (V9 + (2*'take-off'!P$9*'take-off'!P$7*climb!B$56)-SQRT( (cruise!V9+2*climb!B$56*'take-off'!P$7*'take-off'!P$9)^2-(4*'take-off'!P$9^2*'take-off'!P$7*('take-off'!P$6+'take-off'!P$7*climb!B$56^2))))/( cruise!B$9*'take-off'!R$10*('take-off'!P$6+'take-off'!P$7*climb!B$56^2))))/1.688</f>
        <v>72.128638128072581</v>
      </c>
    </row>
    <row r="10" spans="1:27" x14ac:dyDescent="0.25">
      <c r="A10" s="25" t="s">
        <v>146</v>
      </c>
      <c r="B10">
        <f>B9/climb!B7</f>
        <v>0.7384771539550804</v>
      </c>
      <c r="F10" s="19">
        <f t="shared" si="1"/>
        <v>163.27591756832481</v>
      </c>
      <c r="G10" s="19">
        <f>G9+20</f>
        <v>190</v>
      </c>
      <c r="H10" s="19">
        <f t="shared" si="2"/>
        <v>320.71999999999997</v>
      </c>
      <c r="I10" s="19">
        <f>('take-off'!P$9*2)/(cruise!B$9*cruise!H10^2*'take-off'!R$10)</f>
        <v>0.25123972679802287</v>
      </c>
      <c r="J10" s="19">
        <f>'take-off'!P$6+'take-off'!P$7*cruise!I10^2</f>
        <v>2.8628939282835386E-2</v>
      </c>
      <c r="K10" s="19">
        <f>0.5*B$9*H10^2*J10*'take-off'!R$10</f>
        <v>666.61151458434472</v>
      </c>
      <c r="L10" s="19">
        <f>0.5*B$9*H10^2*'take-off'!P$6*'take-off'!R$10</f>
        <v>587.23464773476132</v>
      </c>
      <c r="M10" s="19">
        <f>0.5*B$9*H10^2*'take-off'!R$10*'take-off'!P$7*(cruise!I10)^2</f>
        <v>79.376866849583436</v>
      </c>
      <c r="N10" s="19">
        <f>'take-off'!P$6+'take-off'!P$7*(cruise!I10-climb!B$56)^2</f>
        <v>2.8610134651856606E-2</v>
      </c>
      <c r="O10" s="19">
        <f>0.5*B$9*H10^2*N10*'take-off'!R$10</f>
        <v>666.17365751202635</v>
      </c>
      <c r="P10" s="19">
        <f>'take-off'!P$6</f>
        <v>2.521994401080592E-2</v>
      </c>
      <c r="Q10" s="19">
        <f>0.5*B$9*H10^2*'take-off'!P$6*'take-off'!R$10</f>
        <v>587.23464773476132</v>
      </c>
      <c r="R10" s="19">
        <f>'take-off'!P$7*(cruise!I10-climb!B$56)^2</f>
        <v>3.390190641050686E-3</v>
      </c>
      <c r="S10" s="19">
        <f>0.5*B$9*H10^2*'take-off'!R$10*'take-off'!P$7*(cruise!I10-climb!B$56)^2</f>
        <v>78.939009777264999</v>
      </c>
      <c r="T10" s="19">
        <f t="shared" si="3"/>
        <v>140</v>
      </c>
      <c r="U10" s="19">
        <f t="shared" si="5"/>
        <v>850</v>
      </c>
      <c r="V10" s="19">
        <f>550*B$7*cruise!B$8/(F10*1.688)</f>
        <v>568.14028041581196</v>
      </c>
      <c r="W10" s="21">
        <f>(SQRT(  (V10+SQRT(V10^2-(4*P$4*'take-off'!P$7*'take-off'!P$9^2)))/(cruise!B$9*cruise!P$4*'take-off'!R$10)))/1.688</f>
        <v>169.74177275438032</v>
      </c>
      <c r="X10" s="21">
        <f>(SQRT(  (V10-SQRT(V10^2-(4*P$4*'take-off'!P$7*'take-off'!P$9^2)))/(cruise!B$9*cruise!P$4*'take-off'!R$10)))/1.688</f>
        <v>78.191511554709123</v>
      </c>
      <c r="Y10" s="19">
        <f t="shared" si="0"/>
        <v>662.5973256601219</v>
      </c>
      <c r="Z10" s="21">
        <f xml:space="preserve"> (SQRT(    (V10 + (2*'take-off'!P$9*'take-off'!P$7*climb!B$56)+SQRT( (cruise!V10+2*climb!B$56*'take-off'!P$7*'take-off'!P$9)^2-(4*'take-off'!P$9^2*'take-off'!P$7*('take-off'!P$6+'take-off'!P$7*climb!B$56^2))))/( cruise!B$9*'take-off'!R$10*('take-off'!P$6+'take-off'!P$7*climb!B$56^2))))/1.688</f>
        <v>169.84238379748763</v>
      </c>
      <c r="AA10" s="21">
        <f xml:space="preserve"> (SQRT(    (V10 + (2*'take-off'!P$9*'take-off'!P$7*climb!B$56)-SQRT( (cruise!V10+2*climb!B$56*'take-off'!P$7*'take-off'!P$9)^2-(4*'take-off'!P$9^2*'take-off'!P$7*('take-off'!P$6+'take-off'!P$7*climb!B$56^2))))/( cruise!B$9*'take-off'!R$10*('take-off'!P$6+'take-off'!P$7*climb!B$56^2))))/1.688</f>
        <v>78.145152266143285</v>
      </c>
    </row>
    <row r="11" spans="1:27" x14ac:dyDescent="0.25">
      <c r="A11" s="25" t="s">
        <v>223</v>
      </c>
      <c r="B11">
        <f>'take-off'!B16</f>
        <v>140</v>
      </c>
      <c r="C11" t="s">
        <v>31</v>
      </c>
      <c r="F11" s="19">
        <f t="shared" si="1"/>
        <v>180.46285625972743</v>
      </c>
      <c r="G11" s="19">
        <f t="shared" si="4"/>
        <v>210</v>
      </c>
      <c r="H11" s="19">
        <f t="shared" si="2"/>
        <v>354.47999999999996</v>
      </c>
      <c r="I11" s="19">
        <f>('take-off'!P$9*2)/(cruise!B$9*cruise!H11^2*'take-off'!R$10)</f>
        <v>0.20566335912491215</v>
      </c>
      <c r="J11" s="19">
        <f>'take-off'!P$6+'take-off'!P$7*cruise!I11^2</f>
        <v>2.7504299155247547E-2</v>
      </c>
      <c r="K11" s="19">
        <f>0.5*B$9*H11^2*J11*'take-off'!R$10</f>
        <v>782.34718494738513</v>
      </c>
      <c r="L11" s="19">
        <f>0.5*B$9*H11^2*'take-off'!P$6*'take-off'!R$10</f>
        <v>717.36974972584414</v>
      </c>
      <c r="M11" s="19">
        <f>0.5*B$9*H11^2*'take-off'!R$10*'take-off'!P$7*(cruise!I11)^2</f>
        <v>64.977435221541086</v>
      </c>
      <c r="N11" s="19">
        <f>'take-off'!P$6+'take-off'!P$7*(cruise!I11-climb!B$56)^2</f>
        <v>2.7488910512510373E-2</v>
      </c>
      <c r="O11" s="19">
        <f>0.5*B$9*H11^2*N11*'take-off'!R$10</f>
        <v>781.9094620569515</v>
      </c>
      <c r="P11" s="19">
        <f>'take-off'!P$6</f>
        <v>2.521994401080592E-2</v>
      </c>
      <c r="Q11" s="19">
        <f>0.5*B$9*H11^2*'take-off'!P$6*'take-off'!R$10</f>
        <v>717.36974972584414</v>
      </c>
      <c r="R11" s="19">
        <f>'take-off'!P$7*(cruise!I11-climb!B$56)^2</f>
        <v>2.2689665017044543E-3</v>
      </c>
      <c r="S11" s="19">
        <f>0.5*B$9*H11^2*'take-off'!R$10*'take-off'!P$7*(cruise!I11-climb!B$56)^2</f>
        <v>64.539712331107381</v>
      </c>
      <c r="T11" s="19">
        <f t="shared" si="3"/>
        <v>140</v>
      </c>
      <c r="U11" s="19">
        <f t="shared" si="5"/>
        <v>1000</v>
      </c>
      <c r="V11" s="19">
        <f>550*B$7*cruise!B$8/(F11*1.688)</f>
        <v>514.03168228097275</v>
      </c>
      <c r="W11" s="21">
        <f>(SQRT(  (V11+SQRT(V11^2-(4*P$4*'take-off'!P$7*'take-off'!P$9^2)))/(cruise!B$9*cruise!P$4*'take-off'!R$10)))/1.688</f>
        <v>156.11574735933988</v>
      </c>
      <c r="X11" s="21">
        <f>(SQRT(  (V11-SQRT(V11^2-(4*P$4*'take-off'!P$7*'take-off'!P$9^2)))/(cruise!B$9*cruise!P$4*'take-off'!R$10)))/1.688</f>
        <v>85.016188373945596</v>
      </c>
      <c r="Y11" s="19">
        <f t="shared" si="0"/>
        <v>662.5973256601219</v>
      </c>
      <c r="Z11" s="21">
        <f xml:space="preserve"> (SQRT(    (V11 + (2*'take-off'!P$9*'take-off'!P$7*climb!B$56)+SQRT( (cruise!V11+2*climb!B$56*'take-off'!P$7*'take-off'!P$9)^2-(4*'take-off'!P$9^2*'take-off'!P$7*('take-off'!P$6+'take-off'!P$7*climb!B$56^2))))/( cruise!B$9*'take-off'!R$10*('take-off'!P$6+'take-off'!P$7*climb!B$56^2))))/1.688</f>
        <v>156.23822596331695</v>
      </c>
      <c r="AA11" s="21">
        <f xml:space="preserve"> (SQRT(    (V11 + (2*'take-off'!P$9*'take-off'!P$7*climb!B$56)-SQRT( (cruise!V11+2*climb!B$56*'take-off'!P$7*'take-off'!P$9)^2-(4*'take-off'!P$9^2*'take-off'!P$7*('take-off'!P$6+'take-off'!P$7*climb!B$56^2))))/( cruise!B$9*'take-off'!R$10*('take-off'!P$6+'take-off'!P$7*climb!B$56^2))))/1.688</f>
        <v>84.949498506310647</v>
      </c>
    </row>
    <row r="12" spans="1:27" ht="18" x14ac:dyDescent="0.35">
      <c r="A12" s="25" t="s">
        <v>222</v>
      </c>
      <c r="B12">
        <f>0.5*B9*(B11*1.688)^2</f>
        <v>49.036546304754481</v>
      </c>
      <c r="F12" s="19">
        <f t="shared" si="1"/>
        <v>197.64979495113005</v>
      </c>
      <c r="G12" s="19">
        <f t="shared" si="4"/>
        <v>230</v>
      </c>
      <c r="H12" s="19">
        <f t="shared" si="2"/>
        <v>388.24</v>
      </c>
      <c r="I12" s="19">
        <f>('take-off'!P$9*2)/(cruise!B$9*cruise!H12^2*'take-off'!R$10)</f>
        <v>0.17145092887350891</v>
      </c>
      <c r="J12" s="19">
        <f>'take-off'!P$6+'take-off'!P$7*cruise!I12^2</f>
        <v>2.680750149111135E-2</v>
      </c>
      <c r="K12" s="19">
        <f>0.5*B$9*H12^2*J12*'take-off'!R$10</f>
        <v>914.68669638238646</v>
      </c>
      <c r="L12" s="19">
        <f>0.5*B$9*H12^2*'take-off'!P$6*'take-off'!R$10</f>
        <v>860.51836191603559</v>
      </c>
      <c r="M12" s="19">
        <f>0.5*B$9*H12^2*'take-off'!R$10*'take-off'!P$7*(cruise!I12)^2</f>
        <v>54.168334466350856</v>
      </c>
      <c r="N12" s="19">
        <f>'take-off'!P$6+'take-off'!P$7*(cruise!I12-climb!B$56)^2</f>
        <v>2.6794677099661022E-2</v>
      </c>
      <c r="O12" s="19">
        <f>0.5*B$9*H12^2*N12*'take-off'!R$10</f>
        <v>914.24912109202592</v>
      </c>
      <c r="P12" s="19">
        <f>'take-off'!P$6</f>
        <v>2.521994401080592E-2</v>
      </c>
      <c r="Q12" s="19">
        <f>0.5*B$9*H12^2*'take-off'!P$6*'take-off'!R$10</f>
        <v>860.51836191603559</v>
      </c>
      <c r="R12" s="19">
        <f>'take-off'!P$7*(cruise!I12-climb!B$56)^2</f>
        <v>1.5747330888551032E-3</v>
      </c>
      <c r="S12" s="19">
        <f>0.5*B$9*H12^2*'take-off'!R$10*'take-off'!P$7*(cruise!I12-climb!B$56)^2</f>
        <v>53.730759175990329</v>
      </c>
      <c r="T12" s="19">
        <f t="shared" si="3"/>
        <v>140</v>
      </c>
      <c r="U12" s="19">
        <f t="shared" si="5"/>
        <v>1150</v>
      </c>
      <c r="V12" s="19">
        <f>550*B$7*cruise!B$8/(F12*1.688)</f>
        <v>469.33327512610555</v>
      </c>
      <c r="W12" s="21">
        <f>(SQRT(  (V12+SQRT(V12^2-(4*P$4*'take-off'!P$7*'take-off'!P$9^2)))/(cruise!B$9*cruise!P$4*'take-off'!R$10)))/1.688</f>
        <v>141.69996511238301</v>
      </c>
      <c r="X12" s="21">
        <f>(SQRT(  (V12-SQRT(V12^2-(4*P$4*'take-off'!P$7*'take-off'!P$9^2)))/(cruise!B$9*cruise!P$4*'take-off'!R$10)))/1.688</f>
        <v>93.665272077622276</v>
      </c>
      <c r="Y12" s="19">
        <f t="shared" si="0"/>
        <v>662.5973256601219</v>
      </c>
      <c r="Z12" s="21">
        <f xml:space="preserve"> (SQRT(    (V12 + (2*'take-off'!P$9*'take-off'!P$7*climb!B$56)+SQRT( (cruise!V12+2*climb!B$56*'take-off'!P$7*'take-off'!P$9)^2-(4*'take-off'!P$9^2*'take-off'!P$7*('take-off'!P$6+'take-off'!P$7*climb!B$56^2))))/( cruise!B$9*'take-off'!R$10*('take-off'!P$6+'take-off'!P$7*climb!B$56^2))))/1.688</f>
        <v>141.86834075438034</v>
      </c>
      <c r="AA12" s="21">
        <f xml:space="preserve"> (SQRT(    (V12 + (2*'take-off'!P$9*'take-off'!P$7*climb!B$56)-SQRT( (cruise!V12+2*climb!B$56*'take-off'!P$7*'take-off'!P$9)^2-(4*'take-off'!P$9^2*'take-off'!P$7*('take-off'!P$6+'take-off'!P$7*climb!B$56^2))))/( cruise!B$9*'take-off'!R$10*('take-off'!P$6+'take-off'!P$7*climb!B$56^2))))/1.688</f>
        <v>93.554057744836342</v>
      </c>
    </row>
    <row r="30" spans="1:15" ht="17.25" x14ac:dyDescent="0.3">
      <c r="A30" s="106" t="s">
        <v>171</v>
      </c>
      <c r="B30" s="106"/>
      <c r="C30" s="106"/>
      <c r="D30" s="106"/>
      <c r="E30" s="106"/>
      <c r="F30" s="106"/>
      <c r="G30" s="60" t="s">
        <v>173</v>
      </c>
      <c r="H30" s="60"/>
      <c r="I30" s="60"/>
      <c r="J30" s="60"/>
      <c r="K30" s="60"/>
      <c r="L30" s="60"/>
      <c r="M30" s="60"/>
      <c r="N30" s="60"/>
      <c r="O30" s="60"/>
    </row>
    <row r="31" spans="1:15" x14ac:dyDescent="0.25">
      <c r="A31" s="105" t="s">
        <v>172</v>
      </c>
      <c r="B31" s="105"/>
      <c r="C31" s="105"/>
      <c r="D31" s="105" t="s">
        <v>175</v>
      </c>
      <c r="E31" s="105"/>
      <c r="F31" s="105"/>
      <c r="G31" s="60" t="s">
        <v>174</v>
      </c>
      <c r="H31" s="60"/>
      <c r="I31" s="60"/>
      <c r="J31" s="60"/>
      <c r="K31" s="60"/>
      <c r="L31" s="60"/>
      <c r="M31" s="60"/>
      <c r="N31" s="60"/>
    </row>
    <row r="32" spans="1:15" ht="18" x14ac:dyDescent="0.35">
      <c r="A32" t="s">
        <v>218</v>
      </c>
      <c r="B32" s="9">
        <v>219.44</v>
      </c>
      <c r="C32" t="s">
        <v>31</v>
      </c>
      <c r="D32" s="2" t="s">
        <v>218</v>
      </c>
      <c r="E32" s="9">
        <v>222.9734</v>
      </c>
      <c r="F32" t="s">
        <v>31</v>
      </c>
    </row>
    <row r="33" spans="1:11" ht="14.25" customHeight="1" x14ac:dyDescent="0.35">
      <c r="A33" t="s">
        <v>219</v>
      </c>
      <c r="B33" s="9">
        <v>56.04</v>
      </c>
      <c r="C33" t="s">
        <v>31</v>
      </c>
      <c r="D33" s="2" t="s">
        <v>219</v>
      </c>
      <c r="E33" s="9">
        <v>55.02</v>
      </c>
      <c r="F33" t="s">
        <v>31</v>
      </c>
    </row>
    <row r="35" spans="1:11" ht="18" x14ac:dyDescent="0.35">
      <c r="A35" s="105" t="s">
        <v>176</v>
      </c>
      <c r="B35" s="105"/>
      <c r="C35" s="105"/>
      <c r="E35" s="62" t="s">
        <v>180</v>
      </c>
      <c r="F35" s="63" t="s">
        <v>145</v>
      </c>
      <c r="G35" s="63" t="s">
        <v>146</v>
      </c>
      <c r="H35" s="52" t="s">
        <v>181</v>
      </c>
      <c r="I35" s="52" t="s">
        <v>182</v>
      </c>
    </row>
    <row r="36" spans="1:11" x14ac:dyDescent="0.25">
      <c r="B36" s="21">
        <f>(SQRT(2*'take-off'!P9/('take-off'!R10*'take-off'!P11*climb!B7)))/1.688</f>
        <v>61.00002833544805</v>
      </c>
      <c r="C36" t="s">
        <v>177</v>
      </c>
      <c r="E36" s="19">
        <v>0</v>
      </c>
      <c r="F36" s="19">
        <f>0.002378*(1-0.0000068756*E36)^4.2561</f>
        <v>2.3779999999999999E-3</v>
      </c>
      <c r="G36" s="19">
        <f>F36/climb!B$7</f>
        <v>1</v>
      </c>
      <c r="H36" s="19">
        <f>(SQRT(2*'take-off'!P$9/(F36*'take-off'!R$10*'take-off'!P$11)))/1.688</f>
        <v>61.00002833544805</v>
      </c>
      <c r="I36" s="19">
        <f>H36*SQRT(G36)</f>
        <v>61.00002833544805</v>
      </c>
    </row>
    <row r="37" spans="1:11" x14ac:dyDescent="0.25">
      <c r="A37" s="105" t="s">
        <v>179</v>
      </c>
      <c r="B37" s="105"/>
      <c r="C37" s="105"/>
      <c r="D37" s="105"/>
      <c r="E37" s="19">
        <f>E36+2000</f>
        <v>2000</v>
      </c>
      <c r="F37" s="19">
        <f t="shared" ref="F37:F41" si="6">0.002378*(1-0.0000068756*E37)^4.2561</f>
        <v>2.241907764034112E-3</v>
      </c>
      <c r="G37" s="19">
        <f>F37/climb!B$7</f>
        <v>0.94277029606144325</v>
      </c>
      <c r="H37" s="19">
        <f>(SQRT(2*'take-off'!P$9/(F37*'take-off'!R$10*'take-off'!P$11)))/1.688</f>
        <v>62.82421799135124</v>
      </c>
      <c r="I37" s="19">
        <f t="shared" ref="I37:I41" si="7">H37*SQRT(G37)</f>
        <v>61.000028335448043</v>
      </c>
    </row>
    <row r="38" spans="1:11" x14ac:dyDescent="0.25">
      <c r="A38" s="1" t="s">
        <v>178</v>
      </c>
      <c r="B38" s="9">
        <v>40</v>
      </c>
      <c r="C38" t="s">
        <v>109</v>
      </c>
      <c r="E38" s="19">
        <f t="shared" ref="E38:E41" si="8">E37+2000</f>
        <v>4000</v>
      </c>
      <c r="F38" s="19">
        <f t="shared" si="6"/>
        <v>2.1118557856394629E-3</v>
      </c>
      <c r="G38" s="19">
        <f>F38/climb!B$7</f>
        <v>0.88808064997454295</v>
      </c>
      <c r="H38" s="19">
        <f>(SQRT(2*'take-off'!P$9/(F38*'take-off'!R$10*'take-off'!P$11)))/1.688</f>
        <v>64.729735589276885</v>
      </c>
      <c r="I38" s="19">
        <f t="shared" si="7"/>
        <v>61.00002833544805</v>
      </c>
    </row>
    <row r="39" spans="1:11" x14ac:dyDescent="0.25">
      <c r="A39" s="34" t="s">
        <v>59</v>
      </c>
      <c r="B39">
        <f>B36/SQRT(COS(RADIANS(B38)))</f>
        <v>69.695229652402389</v>
      </c>
      <c r="C39" t="s">
        <v>177</v>
      </c>
      <c r="E39" s="19">
        <f t="shared" si="8"/>
        <v>6000</v>
      </c>
      <c r="F39" s="19">
        <f t="shared" si="6"/>
        <v>1.9876557280773528E-3</v>
      </c>
      <c r="G39" s="19">
        <f>F39/climb!B$7</f>
        <v>0.83585186210149409</v>
      </c>
      <c r="H39" s="19">
        <f>(SQRT(2*'take-off'!P$9/(F39*'take-off'!R$10*'take-off'!P$11)))/1.688</f>
        <v>66.721435206625586</v>
      </c>
      <c r="I39" s="19">
        <f t="shared" si="7"/>
        <v>61.000028335448043</v>
      </c>
    </row>
    <row r="40" spans="1:11" x14ac:dyDescent="0.25">
      <c r="E40" s="19">
        <f t="shared" si="8"/>
        <v>8000</v>
      </c>
      <c r="F40" s="19">
        <f t="shared" si="6"/>
        <v>1.8691225702070155E-3</v>
      </c>
      <c r="G40" s="19">
        <f>F40/climb!B$7</f>
        <v>0.78600612708453133</v>
      </c>
      <c r="H40" s="19">
        <f>(SQRT(2*'take-off'!P$9/(F40*'take-off'!R$10*'take-off'!P$11)))/1.688</f>
        <v>68.804536092568085</v>
      </c>
      <c r="I40" s="19">
        <f t="shared" si="7"/>
        <v>61.000028335448043</v>
      </c>
    </row>
    <row r="41" spans="1:11" x14ac:dyDescent="0.25">
      <c r="E41" s="19">
        <f t="shared" si="8"/>
        <v>10000</v>
      </c>
      <c r="F41" s="19">
        <f t="shared" si="6"/>
        <v>1.756074594414648E-3</v>
      </c>
      <c r="G41" s="19">
        <f>F41/climb!B$7</f>
        <v>0.73846702876982673</v>
      </c>
      <c r="H41" s="19">
        <f>(SQRT(2*'take-off'!P$9/(F41*'take-off'!R$10*'take-off'!P$11)))/1.688</f>
        <v>70.984655985139398</v>
      </c>
      <c r="I41" s="19">
        <f t="shared" si="7"/>
        <v>61.000028335448036</v>
      </c>
    </row>
    <row r="43" spans="1:11" ht="15.75" x14ac:dyDescent="0.25">
      <c r="A43" s="39" t="s">
        <v>199</v>
      </c>
    </row>
    <row r="44" spans="1:11" ht="15.75" x14ac:dyDescent="0.25">
      <c r="C44" s="64" t="s">
        <v>183</v>
      </c>
    </row>
    <row r="45" spans="1:11" ht="18" x14ac:dyDescent="0.35">
      <c r="A45" t="s">
        <v>184</v>
      </c>
      <c r="B45" s="9">
        <v>-0.1</v>
      </c>
      <c r="D45" s="25" t="s">
        <v>189</v>
      </c>
      <c r="E45" s="9">
        <f>'take-off'!G16</f>
        <v>0.75</v>
      </c>
      <c r="G45" s="69" t="s">
        <v>192</v>
      </c>
      <c r="H45" s="29"/>
      <c r="I45" s="29"/>
    </row>
    <row r="46" spans="1:11" ht="18" x14ac:dyDescent="0.35">
      <c r="A46" t="s">
        <v>185</v>
      </c>
      <c r="B46" s="9">
        <v>0.15</v>
      </c>
      <c r="C46" t="s">
        <v>187</v>
      </c>
      <c r="D46" t="s">
        <v>210</v>
      </c>
      <c r="E46" s="9">
        <v>1.9</v>
      </c>
      <c r="F46" t="s">
        <v>10</v>
      </c>
      <c r="G46" s="69" t="s">
        <v>193</v>
      </c>
    </row>
    <row r="47" spans="1:11" ht="18" x14ac:dyDescent="0.35">
      <c r="A47" t="s">
        <v>186</v>
      </c>
      <c r="B47" s="9">
        <v>0.4</v>
      </c>
      <c r="C47" t="s">
        <v>187</v>
      </c>
      <c r="D47" t="s">
        <v>190</v>
      </c>
      <c r="E47" s="9">
        <v>0.23</v>
      </c>
      <c r="F47" t="s">
        <v>191</v>
      </c>
    </row>
    <row r="48" spans="1:11" ht="18" x14ac:dyDescent="0.35">
      <c r="A48" t="s">
        <v>188</v>
      </c>
      <c r="B48" s="9">
        <f>5.1*3.28</f>
        <v>16.727999999999998</v>
      </c>
      <c r="C48" t="s">
        <v>10</v>
      </c>
      <c r="D48" t="s">
        <v>196</v>
      </c>
      <c r="E48" s="9">
        <f>1.7684*3.84</f>
        <v>6.7906559999999994</v>
      </c>
      <c r="F48" t="s">
        <v>10</v>
      </c>
      <c r="G48" s="25" t="s">
        <v>204</v>
      </c>
      <c r="H48" s="70">
        <f>'[1]Wing &amp; Airfoil'!$B$25</f>
        <v>14</v>
      </c>
      <c r="I48" s="25" t="s">
        <v>109</v>
      </c>
      <c r="K48" t="s">
        <v>215</v>
      </c>
    </row>
    <row r="49" spans="1:13" ht="18" x14ac:dyDescent="0.35">
      <c r="A49" s="65" t="s">
        <v>195</v>
      </c>
      <c r="B49" s="9">
        <v>0.5</v>
      </c>
      <c r="C49" t="s">
        <v>10</v>
      </c>
      <c r="D49" s="61" t="s">
        <v>194</v>
      </c>
      <c r="E49">
        <f>0.5*climb!B7*(cruise!B36*1.688)^2*'take-off'!R10*cruise!E48*cruise!B45</f>
        <v>-2206.9631999999997</v>
      </c>
      <c r="F49" t="s">
        <v>197</v>
      </c>
      <c r="G49" s="25" t="s">
        <v>66</v>
      </c>
      <c r="H49">
        <f>E45*550*B8/(B36*1.688)</f>
        <v>1520.7144672506768</v>
      </c>
      <c r="I49" t="s">
        <v>11</v>
      </c>
      <c r="L49" s="21">
        <f>(1/(4*'take-off'!P6))*((3*'take-off'!P6)/'take-off'!P7)^0.75</f>
        <v>12.764611160317886</v>
      </c>
    </row>
    <row r="50" spans="1:13" x14ac:dyDescent="0.25">
      <c r="D50" s="61" t="s">
        <v>202</v>
      </c>
      <c r="E50" s="9">
        <v>0.23</v>
      </c>
      <c r="F50" t="s">
        <v>196</v>
      </c>
    </row>
    <row r="51" spans="1:13" ht="15.75" x14ac:dyDescent="0.25">
      <c r="A51" s="39" t="s">
        <v>207</v>
      </c>
      <c r="K51" t="s">
        <v>216</v>
      </c>
    </row>
    <row r="52" spans="1:13" ht="18" x14ac:dyDescent="0.35">
      <c r="A52" s="34" t="s">
        <v>198</v>
      </c>
      <c r="B52">
        <f>2/(climb!B7*'take-off'!R10*'take-off'!P11)</f>
        <v>1.8123792946956974</v>
      </c>
      <c r="C52" s="7" t="s">
        <v>200</v>
      </c>
      <c r="D52" s="34">
        <f>1-((B53-B54)*E48)/B48</f>
        <v>1</v>
      </c>
      <c r="E52" s="7" t="s">
        <v>201</v>
      </c>
      <c r="F52" s="34">
        <f>(  'take-off'!P9-  (cruise!E49/(cruise!B48-cruise!B53+cruise!B54))-  (  ( (cruise!E46*SIN(RADIANS(cruise!H48)))-(cruise!B49*COS(RADIANS(cruise!H48)))/(cruise!B48-cruise!B53+cruise!B54))+SIN(RADIANS(cruise!H48))))</f>
        <v>5981.2597098518245</v>
      </c>
      <c r="K52" t="s">
        <v>217</v>
      </c>
      <c r="L52" s="21">
        <f>(SQRT( ((2*'take-off'!P9)/(cruise!B9*'take-off'!R10))*SQRT('take-off'!P7/(3*'take-off'!P6))))/1.688</f>
        <v>87.537443183605589</v>
      </c>
      <c r="M52" t="s">
        <v>177</v>
      </c>
    </row>
    <row r="53" spans="1:13" x14ac:dyDescent="0.25">
      <c r="A53" t="s">
        <v>203</v>
      </c>
      <c r="B53">
        <f>(E50-B46)*E48</f>
        <v>0.54325248000000004</v>
      </c>
      <c r="C53" t="s">
        <v>10</v>
      </c>
      <c r="D53" s="38" t="s">
        <v>205</v>
      </c>
    </row>
    <row r="54" spans="1:13" ht="15.75" x14ac:dyDescent="0.25">
      <c r="A54" t="s">
        <v>190</v>
      </c>
      <c r="B54">
        <f>(E47-B46)*E48</f>
        <v>0.54325248000000004</v>
      </c>
      <c r="C54" t="s">
        <v>10</v>
      </c>
      <c r="D54" s="67" t="s">
        <v>59</v>
      </c>
      <c r="E54" s="21">
        <f>(SQRT(B52*D52*F52))/1.688</f>
        <v>61.680577858667014</v>
      </c>
      <c r="F54" t="s">
        <v>15</v>
      </c>
    </row>
    <row r="56" spans="1:13" x14ac:dyDescent="0.25">
      <c r="D56" s="38" t="s">
        <v>206</v>
      </c>
    </row>
    <row r="57" spans="1:13" x14ac:dyDescent="0.25">
      <c r="A57" t="s">
        <v>203</v>
      </c>
      <c r="B57">
        <f>(B47-E50)*E48</f>
        <v>1.15441152</v>
      </c>
      <c r="C57" t="s">
        <v>10</v>
      </c>
      <c r="D57" s="34" t="s">
        <v>198</v>
      </c>
      <c r="E57">
        <f>2/(climb!B7*'take-off'!R10*'take-off'!P11)</f>
        <v>1.8123792946956974</v>
      </c>
      <c r="F57" s="34" t="s">
        <v>200</v>
      </c>
      <c r="G57" s="5">
        <f>1-(B57-B58)/B48</f>
        <v>1</v>
      </c>
      <c r="H57" s="34" t="s">
        <v>201</v>
      </c>
      <c r="I57">
        <f>(  'take-off'!P9 -  (cruise!E49/(cruise!B48-B57+B58))-  (  ( (cruise!E46*SIN(RADIANS(cruise!H48)))-(cruise!B49*COS(RADIANS(cruise!H48)))/(cruise!B48-B53+B58))+SIN(RADIANS(cruise!H48))))</f>
        <v>5981.2586876037221</v>
      </c>
    </row>
    <row r="58" spans="1:13" x14ac:dyDescent="0.25">
      <c r="A58" t="s">
        <v>190</v>
      </c>
      <c r="B58">
        <f>(B47-E47)*E48</f>
        <v>1.15441152</v>
      </c>
      <c r="C58" t="s">
        <v>10</v>
      </c>
    </row>
    <row r="59" spans="1:13" ht="15.75" x14ac:dyDescent="0.25">
      <c r="D59" s="67" t="s">
        <v>59</v>
      </c>
      <c r="E59" s="21">
        <f>(SQRT(E57*G57*I57))/1.688</f>
        <v>61.680572587799382</v>
      </c>
      <c r="F59" t="s">
        <v>15</v>
      </c>
    </row>
    <row r="61" spans="1:13" ht="15.75" x14ac:dyDescent="0.25">
      <c r="A61" s="39" t="s">
        <v>208</v>
      </c>
    </row>
    <row r="62" spans="1:13" x14ac:dyDescent="0.25">
      <c r="A62" s="34"/>
      <c r="B62" s="38" t="s">
        <v>205</v>
      </c>
    </row>
    <row r="63" spans="1:13" x14ac:dyDescent="0.25">
      <c r="A63" s="7" t="s">
        <v>201</v>
      </c>
      <c r="B63">
        <f>(  'take-off'!P9-  (cruise!E49/(cruise!B48-cruise!B53+cruise!B54))-  (  ( (cruise!E46*SIN(RADIANS(cruise!H48)))-(cruise!B49*COS(RADIANS(cruise!H48)))/(cruise!B48-cruise!B53+cruise!B54))+SIN(RADIANS(cruise!H48)))*H49)</f>
        <v>4959.1432939221986</v>
      </c>
    </row>
    <row r="64" spans="1:13" ht="18" x14ac:dyDescent="0.35">
      <c r="B64" s="66" t="s">
        <v>209</v>
      </c>
      <c r="C64" s="21">
        <f>(SQRT(B52*D52*B63))/1.688</f>
        <v>56.163663984370451</v>
      </c>
      <c r="D64" t="s">
        <v>15</v>
      </c>
    </row>
    <row r="66" spans="1:4" x14ac:dyDescent="0.25">
      <c r="B66" s="38" t="s">
        <v>206</v>
      </c>
    </row>
    <row r="67" spans="1:4" x14ac:dyDescent="0.25">
      <c r="A67" s="7" t="s">
        <v>201</v>
      </c>
      <c r="B67">
        <f>(  'take-off'!P9 -  (cruise!E49/(cruise!B48-B57+B58))-  (  ( (cruise!E46*SIN(RADIANS(cruise!H48)))-(cruise!B49*COS(RADIANS(cruise!H48)))/(cruise!B48-B53+B58))+SIN(RADIANS(cruise!H48)))*H49)</f>
        <v>4957.5887464440011</v>
      </c>
    </row>
    <row r="68" spans="1:4" ht="18" x14ac:dyDescent="0.35">
      <c r="B68" s="66" t="s">
        <v>209</v>
      </c>
      <c r="C68" s="21">
        <f>(SQRT(B67*E57*G57))/1.688</f>
        <v>56.154860455179374</v>
      </c>
      <c r="D68" t="s">
        <v>15</v>
      </c>
    </row>
  </sheetData>
  <mergeCells count="5">
    <mergeCell ref="A30:F30"/>
    <mergeCell ref="A35:C35"/>
    <mergeCell ref="A37:D37"/>
    <mergeCell ref="A31:C31"/>
    <mergeCell ref="D31:F3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42"/>
  <sheetViews>
    <sheetView zoomScale="90" zoomScaleNormal="90" workbookViewId="0">
      <selection activeCell="G2" sqref="G2"/>
    </sheetView>
  </sheetViews>
  <sheetFormatPr defaultRowHeight="15" x14ac:dyDescent="0.25"/>
  <cols>
    <col min="1" max="1" width="11" customWidth="1"/>
    <col min="2" max="2" width="11" bestFit="1" customWidth="1"/>
    <col min="4" max="9" width="11" customWidth="1"/>
    <col min="11" max="13" width="11" customWidth="1"/>
  </cols>
  <sheetData>
    <row r="2" spans="1:20" x14ac:dyDescent="0.25">
      <c r="A2" s="94" t="s">
        <v>223</v>
      </c>
      <c r="B2">
        <f>cruise!B11</f>
        <v>140</v>
      </c>
      <c r="C2" s="8" t="s">
        <v>270</v>
      </c>
      <c r="D2" s="8">
        <f>B2*1.688</f>
        <v>236.32</v>
      </c>
      <c r="E2" s="8" t="s">
        <v>16</v>
      </c>
    </row>
    <row r="3" spans="1:20" ht="18" x14ac:dyDescent="0.35">
      <c r="A3" s="34" t="s">
        <v>226</v>
      </c>
      <c r="B3">
        <f>cruise!E8</f>
        <v>0.5</v>
      </c>
      <c r="J3" s="90" t="s">
        <v>239</v>
      </c>
    </row>
    <row r="4" spans="1:20" ht="18" x14ac:dyDescent="0.35">
      <c r="A4" s="34" t="s">
        <v>235</v>
      </c>
      <c r="B4">
        <f>(B3*D2)/(1980000*B10)</f>
        <v>7.956902356902356E-5</v>
      </c>
      <c r="D4" s="87" t="s">
        <v>241</v>
      </c>
      <c r="J4" s="77" t="s">
        <v>236</v>
      </c>
      <c r="K4">
        <f>(B8-B9)/(B3*cruise!B8)</f>
        <v>4.2181270154518504</v>
      </c>
      <c r="L4" t="s">
        <v>238</v>
      </c>
      <c r="M4" s="8" t="s">
        <v>244</v>
      </c>
      <c r="N4" s="8"/>
      <c r="O4" s="8"/>
      <c r="P4" s="8"/>
      <c r="Q4" s="8"/>
      <c r="R4" s="8"/>
    </row>
    <row r="5" spans="1:20" x14ac:dyDescent="0.25">
      <c r="A5" s="34" t="s">
        <v>62</v>
      </c>
      <c r="B5">
        <f>'take-off'!P7</f>
        <v>5.4006965223581664E-2</v>
      </c>
      <c r="E5" t="s">
        <v>234</v>
      </c>
      <c r="F5">
        <f>(D2/(B4*SQRT(B5*B6)))*( (ATAN(B11*B8))-(ATAN(B11*B9)))</f>
        <v>5496548.2367362306</v>
      </c>
      <c r="G5" t="s">
        <v>10</v>
      </c>
      <c r="J5" s="25" t="s">
        <v>240</v>
      </c>
      <c r="K5">
        <f>D2*K4*3600</f>
        <v>3588579.9946496924</v>
      </c>
      <c r="L5" t="s">
        <v>10</v>
      </c>
      <c r="M5" s="8" t="s">
        <v>245</v>
      </c>
      <c r="N5" s="8"/>
      <c r="O5" s="8"/>
      <c r="P5" s="8"/>
    </row>
    <row r="6" spans="1:20" x14ac:dyDescent="0.25">
      <c r="A6" s="34" t="s">
        <v>161</v>
      </c>
      <c r="B6">
        <f>'take-off'!P6</f>
        <v>2.521994401080592E-2</v>
      </c>
      <c r="F6" s="88">
        <f>F5/3280.84</f>
        <v>1675.3478489460717</v>
      </c>
      <c r="G6" s="89" t="s">
        <v>227</v>
      </c>
      <c r="K6" s="21">
        <f>K5/3280.4</f>
        <v>1093.9458586299513</v>
      </c>
      <c r="L6" t="s">
        <v>227</v>
      </c>
    </row>
    <row r="7" spans="1:20" x14ac:dyDescent="0.25">
      <c r="A7" s="77" t="s">
        <v>145</v>
      </c>
      <c r="B7">
        <f>cruise!B9</f>
        <v>1.7560986721051812E-3</v>
      </c>
      <c r="F7">
        <f>F5/6076.115</f>
        <v>904.61557043213156</v>
      </c>
      <c r="G7" t="s">
        <v>228</v>
      </c>
      <c r="K7">
        <f>K5/6076.115</f>
        <v>590.60435733189593</v>
      </c>
      <c r="L7" t="s">
        <v>228</v>
      </c>
    </row>
    <row r="8" spans="1:20" ht="18" x14ac:dyDescent="0.35">
      <c r="A8" s="77" t="s">
        <v>224</v>
      </c>
      <c r="B8">
        <f>'[1]Sref and POWER SIZING'!$G$2</f>
        <v>5561.01</v>
      </c>
    </row>
    <row r="9" spans="1:20" ht="18" x14ac:dyDescent="0.35">
      <c r="A9" s="77" t="s">
        <v>225</v>
      </c>
      <c r="B9">
        <f>'[1]Sref and POWER SIZING'!$G$3</f>
        <v>4760.409492467239</v>
      </c>
      <c r="D9" s="87" t="s">
        <v>242</v>
      </c>
    </row>
    <row r="10" spans="1:20" ht="18" x14ac:dyDescent="0.35">
      <c r="A10" s="59" t="s">
        <v>153</v>
      </c>
      <c r="B10">
        <f>cruise!B7</f>
        <v>0.75</v>
      </c>
      <c r="E10" t="s">
        <v>234</v>
      </c>
      <c r="F10">
        <f>(1/B4)*((SQRT(B14))/B15)*((2*SQRT(2))/SQRT(B7*'take-off'!R10))*((SQRT('Range &amp; Endurance'!B8))-(SQRT('Range &amp; Endurance'!B9)))</f>
        <v>5500544.9909178847</v>
      </c>
      <c r="G10" t="s">
        <v>10</v>
      </c>
    </row>
    <row r="11" spans="1:20" x14ac:dyDescent="0.25">
      <c r="A11" s="77" t="s">
        <v>81</v>
      </c>
      <c r="B11">
        <f>(2*SQRT(B5))/(B7*D2^2*'take-off'!R10*SQRT('Range &amp; Endurance'!B6))</f>
        <v>1.1575410592744583E-4</v>
      </c>
      <c r="F11" s="88">
        <f>F10/3280.84</f>
        <v>1676.5660595816573</v>
      </c>
      <c r="G11" s="86" t="s">
        <v>227</v>
      </c>
      <c r="R11" t="s">
        <v>134</v>
      </c>
      <c r="S11" t="s">
        <v>151</v>
      </c>
      <c r="T11" t="s">
        <v>233</v>
      </c>
    </row>
    <row r="12" spans="1:20" ht="18" x14ac:dyDescent="0.35">
      <c r="A12" s="77" t="s">
        <v>229</v>
      </c>
      <c r="B12">
        <f>(2*B8)/(B7*D2^2*'take-off'!R10)</f>
        <v>0.43988307566431828</v>
      </c>
      <c r="F12">
        <f>F10/(6076.115)</f>
        <v>905.27335162647262</v>
      </c>
      <c r="G12" t="s">
        <v>228</v>
      </c>
      <c r="R12">
        <v>-1</v>
      </c>
      <c r="S12">
        <f>$B$6+($B$5*R12^2)</f>
        <v>7.9226909234387577E-2</v>
      </c>
      <c r="T12">
        <f>R12/S12</f>
        <v>-12.621974145697973</v>
      </c>
    </row>
    <row r="13" spans="1:20" ht="18" x14ac:dyDescent="0.35">
      <c r="A13" s="77" t="s">
        <v>230</v>
      </c>
      <c r="B13">
        <f>(2*B9)/(B7*D2^2*'take-off'!R10)</f>
        <v>0.37655454116574244</v>
      </c>
      <c r="R13">
        <f>R12+0.2</f>
        <v>-0.8</v>
      </c>
      <c r="S13">
        <f t="shared" ref="S13:S27" si="0">$B$6+($B$5*R13^2)</f>
        <v>5.9784401753898195E-2</v>
      </c>
      <c r="T13">
        <f t="shared" ref="T13:T27" si="1">R13/S13</f>
        <v>-13.381416833327043</v>
      </c>
    </row>
    <row r="14" spans="1:20" ht="18" x14ac:dyDescent="0.35">
      <c r="A14" s="77" t="s">
        <v>231</v>
      </c>
      <c r="B14">
        <f>AVERAGE(B12:B13)</f>
        <v>0.40821880841503033</v>
      </c>
      <c r="D14" s="87" t="s">
        <v>243</v>
      </c>
      <c r="R14">
        <f t="shared" ref="R14:R27" si="2">R13+0.2</f>
        <v>-0.60000000000000009</v>
      </c>
      <c r="S14">
        <f t="shared" si="0"/>
        <v>4.4662451491295323E-2</v>
      </c>
      <c r="T14">
        <f t="shared" si="1"/>
        <v>-13.434103591849176</v>
      </c>
    </row>
    <row r="15" spans="1:20" ht="18" x14ac:dyDescent="0.35">
      <c r="A15" s="77" t="s">
        <v>232</v>
      </c>
      <c r="B15">
        <f>B6+(B5*B14^2)</f>
        <v>3.4219804873106621E-2</v>
      </c>
      <c r="E15" t="s">
        <v>234</v>
      </c>
      <c r="F15">
        <f>(D2/B4)*B16*LN(B8/B9)</f>
        <v>5507463.5727666738</v>
      </c>
      <c r="G15" t="s">
        <v>10</v>
      </c>
      <c r="R15">
        <f t="shared" si="2"/>
        <v>-0.40000000000000008</v>
      </c>
      <c r="S15">
        <f t="shared" si="0"/>
        <v>3.3861058446578989E-2</v>
      </c>
      <c r="T15">
        <f t="shared" si="1"/>
        <v>-11.812979816654622</v>
      </c>
    </row>
    <row r="16" spans="1:20" ht="18" x14ac:dyDescent="0.35">
      <c r="A16" s="92" t="s">
        <v>237</v>
      </c>
      <c r="B16" s="93">
        <f>B14/B15</f>
        <v>11.929314323351093</v>
      </c>
      <c r="F16" s="88">
        <f>F15/3280.84</f>
        <v>1678.6748432616871</v>
      </c>
      <c r="G16" s="86" t="s">
        <v>227</v>
      </c>
      <c r="R16">
        <f t="shared" si="2"/>
        <v>-0.20000000000000007</v>
      </c>
      <c r="S16">
        <f t="shared" si="0"/>
        <v>2.7380222619749189E-2</v>
      </c>
      <c r="T16">
        <f t="shared" si="1"/>
        <v>-7.3045425078370725</v>
      </c>
    </row>
    <row r="17" spans="1:20" ht="18" x14ac:dyDescent="0.35">
      <c r="A17" s="77" t="s">
        <v>248</v>
      </c>
      <c r="B17">
        <f>SQRT(1/(4*B6*B5))</f>
        <v>13.547933564579795</v>
      </c>
      <c r="F17">
        <f>F15/6076.115</f>
        <v>906.41200384895183</v>
      </c>
      <c r="G17" t="s">
        <v>228</v>
      </c>
      <c r="R17">
        <f t="shared" si="2"/>
        <v>0</v>
      </c>
      <c r="S17">
        <f t="shared" si="0"/>
        <v>2.521994401080592E-2</v>
      </c>
      <c r="T17">
        <f t="shared" si="1"/>
        <v>0</v>
      </c>
    </row>
    <row r="18" spans="1:20" x14ac:dyDescent="0.25">
      <c r="R18">
        <f t="shared" si="2"/>
        <v>0.2</v>
      </c>
      <c r="S18">
        <f t="shared" si="0"/>
        <v>2.7380222619749185E-2</v>
      </c>
      <c r="T18">
        <f t="shared" si="1"/>
        <v>7.3045425078370707</v>
      </c>
    </row>
    <row r="19" spans="1:20" x14ac:dyDescent="0.25">
      <c r="A19" s="38" t="s">
        <v>246</v>
      </c>
      <c r="R19">
        <f t="shared" si="2"/>
        <v>0.4</v>
      </c>
      <c r="S19">
        <f t="shared" si="0"/>
        <v>3.3861058446578989E-2</v>
      </c>
      <c r="T19">
        <f t="shared" si="1"/>
        <v>11.81297981665462</v>
      </c>
    </row>
    <row r="20" spans="1:20" ht="19.5" x14ac:dyDescent="0.35">
      <c r="A20" t="s">
        <v>247</v>
      </c>
      <c r="B20" s="91">
        <f>(SQRT((2/B7)*('take-off'!P9/'take-off'!R10)*SQRT('Range &amp; Endurance'!B5/'Range &amp; Endurance'!B6)))/1.688</f>
        <v>115.20575413424859</v>
      </c>
      <c r="C20" t="s">
        <v>31</v>
      </c>
      <c r="D20" s="87" t="s">
        <v>249</v>
      </c>
      <c r="R20">
        <f t="shared" si="2"/>
        <v>0.60000000000000009</v>
      </c>
      <c r="S20">
        <f t="shared" si="0"/>
        <v>4.4662451491295323E-2</v>
      </c>
      <c r="T20">
        <f t="shared" si="1"/>
        <v>13.434103591849176</v>
      </c>
    </row>
    <row r="21" spans="1:20" x14ac:dyDescent="0.25">
      <c r="E21" t="s">
        <v>240</v>
      </c>
      <c r="F21">
        <f>(D2/B4)*B17*LN(B8/B9)</f>
        <v>6254739.2558121448</v>
      </c>
      <c r="G21" t="s">
        <v>10</v>
      </c>
      <c r="R21">
        <f t="shared" si="2"/>
        <v>0.8</v>
      </c>
      <c r="S21">
        <f t="shared" si="0"/>
        <v>5.9784401753898195E-2</v>
      </c>
      <c r="T21">
        <f t="shared" si="1"/>
        <v>13.381416833327043</v>
      </c>
    </row>
    <row r="22" spans="1:20" x14ac:dyDescent="0.25">
      <c r="F22" s="88">
        <f>F21/3280.84</f>
        <v>1906.4444641653188</v>
      </c>
      <c r="G22" s="86" t="s">
        <v>227</v>
      </c>
      <c r="R22">
        <f t="shared" si="2"/>
        <v>1</v>
      </c>
      <c r="S22">
        <f t="shared" si="0"/>
        <v>7.9226909234387577E-2</v>
      </c>
      <c r="T22">
        <f t="shared" si="1"/>
        <v>12.621974145697973</v>
      </c>
    </row>
    <row r="23" spans="1:20" x14ac:dyDescent="0.25">
      <c r="F23">
        <f>F21/6076.115</f>
        <v>1029.3977740401795</v>
      </c>
      <c r="G23" t="s">
        <v>228</v>
      </c>
      <c r="R23">
        <f t="shared" si="2"/>
        <v>1.2</v>
      </c>
      <c r="S23">
        <f t="shared" si="0"/>
        <v>0.10298997393276352</v>
      </c>
      <c r="T23">
        <f t="shared" si="1"/>
        <v>11.651619610889638</v>
      </c>
    </row>
    <row r="24" spans="1:20" x14ac:dyDescent="0.25">
      <c r="R24">
        <f t="shared" si="2"/>
        <v>1.4</v>
      </c>
      <c r="S24">
        <f t="shared" si="0"/>
        <v>0.13107359584902595</v>
      </c>
      <c r="T24">
        <f t="shared" si="1"/>
        <v>10.681022298438789</v>
      </c>
    </row>
    <row r="25" spans="1:20" x14ac:dyDescent="0.25">
      <c r="A25" s="38" t="s">
        <v>250</v>
      </c>
      <c r="R25">
        <f t="shared" si="2"/>
        <v>1.5999999999999999</v>
      </c>
      <c r="S25">
        <f t="shared" si="0"/>
        <v>0.16347777498317495</v>
      </c>
      <c r="T25">
        <f t="shared" si="1"/>
        <v>9.7872631320353545</v>
      </c>
    </row>
    <row r="26" spans="1:20" x14ac:dyDescent="0.25">
      <c r="A26" s="95" t="s">
        <v>251</v>
      </c>
      <c r="R26">
        <f t="shared" si="2"/>
        <v>1.7999999999999998</v>
      </c>
      <c r="S26">
        <f t="shared" si="0"/>
        <v>0.2002025113352105</v>
      </c>
      <c r="T26">
        <f t="shared" si="1"/>
        <v>8.9908962080208727</v>
      </c>
    </row>
    <row r="27" spans="1:20" ht="18" x14ac:dyDescent="0.35">
      <c r="A27" s="28" t="s">
        <v>252</v>
      </c>
      <c r="B27" s="78">
        <f>B8*( (EXP(-((B4*F15)/D2)*(1/B16)))-1)</f>
        <v>-800.60050753276096</v>
      </c>
      <c r="C27" t="s">
        <v>253</v>
      </c>
      <c r="R27">
        <f t="shared" si="2"/>
        <v>1.9999999999999998</v>
      </c>
      <c r="S27">
        <f t="shared" si="0"/>
        <v>0.24124780490513253</v>
      </c>
      <c r="T27">
        <f t="shared" si="1"/>
        <v>8.2902308718890652</v>
      </c>
    </row>
    <row r="28" spans="1:20" ht="18.75" x14ac:dyDescent="0.3">
      <c r="E28" s="96" t="s">
        <v>254</v>
      </c>
    </row>
    <row r="29" spans="1:20" x14ac:dyDescent="0.25">
      <c r="G29" t="s">
        <v>255</v>
      </c>
    </row>
    <row r="30" spans="1:20" x14ac:dyDescent="0.25">
      <c r="D30" s="1" t="s">
        <v>261</v>
      </c>
      <c r="E30" s="9">
        <v>140</v>
      </c>
      <c r="F30" t="s">
        <v>31</v>
      </c>
    </row>
    <row r="31" spans="1:20" x14ac:dyDescent="0.25">
      <c r="C31" t="s">
        <v>256</v>
      </c>
      <c r="E31" s="9">
        <f>15</f>
        <v>15</v>
      </c>
      <c r="F31" t="s">
        <v>257</v>
      </c>
    </row>
    <row r="32" spans="1:20" ht="19.5" x14ac:dyDescent="0.35">
      <c r="D32" t="s">
        <v>258</v>
      </c>
      <c r="E32" s="9">
        <v>702</v>
      </c>
      <c r="F32" t="s">
        <v>228</v>
      </c>
      <c r="H32" s="34" t="s">
        <v>260</v>
      </c>
      <c r="I32" s="91">
        <f>E30/(E31*5.87)</f>
        <v>1.5900056785917094</v>
      </c>
      <c r="J32" t="s">
        <v>263</v>
      </c>
    </row>
    <row r="33" spans="1:10" x14ac:dyDescent="0.25">
      <c r="D33" t="s">
        <v>259</v>
      </c>
      <c r="E33" s="9">
        <v>400</v>
      </c>
      <c r="F33" t="s">
        <v>115</v>
      </c>
    </row>
    <row r="34" spans="1:10" ht="19.5" x14ac:dyDescent="0.35">
      <c r="H34" t="s">
        <v>262</v>
      </c>
      <c r="I34" s="91">
        <f>E32/E33</f>
        <v>1.7549999999999999</v>
      </c>
      <c r="J34" t="s">
        <v>263</v>
      </c>
    </row>
    <row r="36" spans="1:10" ht="19.5" x14ac:dyDescent="0.35">
      <c r="H36" t="s">
        <v>264</v>
      </c>
      <c r="I36" s="80">
        <f>'[1]MTOW &amp; WEIGHTS'!$B$7*I32*(6076/5280)</f>
        <v>7.3188443205478997</v>
      </c>
      <c r="J36" t="s">
        <v>265</v>
      </c>
    </row>
    <row r="38" spans="1:10" ht="21" x14ac:dyDescent="0.35">
      <c r="F38" s="97" t="s">
        <v>266</v>
      </c>
    </row>
    <row r="40" spans="1:10" x14ac:dyDescent="0.25">
      <c r="A40" s="38" t="s">
        <v>267</v>
      </c>
    </row>
    <row r="42" spans="1:10" ht="18.75" x14ac:dyDescent="0.3">
      <c r="B42" t="s">
        <v>268</v>
      </c>
      <c r="C42" s="99">
        <f>((1/(B4*SQRT(B5*B6)))*( (ATAN(B11*B8))-(ATAN(B11*B9))))/3600</f>
        <v>6.4608114194691639</v>
      </c>
      <c r="D42" t="s">
        <v>269</v>
      </c>
    </row>
  </sheetData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13"/>
  <sheetViews>
    <sheetView workbookViewId="0">
      <selection activeCell="N17" sqref="N17"/>
    </sheetView>
  </sheetViews>
  <sheetFormatPr defaultRowHeight="15" x14ac:dyDescent="0.25"/>
  <cols>
    <col min="6" max="10" width="11" customWidth="1"/>
    <col min="12" max="14" width="11" customWidth="1"/>
  </cols>
  <sheetData>
    <row r="2" spans="1:14" ht="18" x14ac:dyDescent="0.35">
      <c r="A2" t="s">
        <v>271</v>
      </c>
      <c r="B2" s="32" t="str">
        <f>'take-off'!P9</f>
        <v>5850</v>
      </c>
      <c r="C2" t="s">
        <v>11</v>
      </c>
      <c r="F2" t="s">
        <v>277</v>
      </c>
      <c r="G2">
        <f>1.3*B9</f>
        <v>70.14800000000001</v>
      </c>
      <c r="H2" t="s">
        <v>285</v>
      </c>
      <c r="I2">
        <f>G2*1.688</f>
        <v>118.40982400000001</v>
      </c>
      <c r="J2" t="s">
        <v>16</v>
      </c>
      <c r="L2" s="34" t="s">
        <v>33</v>
      </c>
      <c r="M2">
        <f>0.5*'[1]Sref and POWER SIZING'!$B$2*(Landing!I5/SQRT(2))^2*'take-off'!R10*Landing!B8</f>
        <v>1402.5774771749</v>
      </c>
      <c r="N2" t="s">
        <v>11</v>
      </c>
    </row>
    <row r="3" spans="1:14" ht="18" x14ac:dyDescent="0.35">
      <c r="A3" s="25" t="s">
        <v>291</v>
      </c>
      <c r="B3" s="9">
        <v>0.3</v>
      </c>
      <c r="F3" t="s">
        <v>278</v>
      </c>
      <c r="G3">
        <f>1.3*B9</f>
        <v>70.14800000000001</v>
      </c>
      <c r="H3" t="s">
        <v>285</v>
      </c>
      <c r="I3">
        <f t="shared" ref="I3:I5" si="0">G3*1.688</f>
        <v>118.40982400000001</v>
      </c>
      <c r="J3" t="s">
        <v>16</v>
      </c>
      <c r="L3" s="34" t="s">
        <v>28</v>
      </c>
      <c r="M3">
        <f>0.5*'[1]Sref and POWER SIZING'!$B$2*(I5/SQRT(2))^2*'take-off'!R10*Landing!B7</f>
        <v>61.543548801004825</v>
      </c>
      <c r="N3" t="s">
        <v>11</v>
      </c>
    </row>
    <row r="4" spans="1:14" ht="18" x14ac:dyDescent="0.35">
      <c r="A4" s="25" t="s">
        <v>272</v>
      </c>
      <c r="B4" s="9">
        <v>3</v>
      </c>
      <c r="C4" t="s">
        <v>109</v>
      </c>
      <c r="F4" t="s">
        <v>279</v>
      </c>
      <c r="G4">
        <f>1.1*B9</f>
        <v>59.356000000000009</v>
      </c>
      <c r="H4" t="s">
        <v>285</v>
      </c>
      <c r="I4">
        <f t="shared" si="0"/>
        <v>100.19292800000001</v>
      </c>
      <c r="J4" t="s">
        <v>16</v>
      </c>
      <c r="L4" s="34" t="s">
        <v>66</v>
      </c>
      <c r="M4">
        <f>0.05*'take-off'!C13</f>
        <v>93.243852459316315</v>
      </c>
      <c r="N4" t="s">
        <v>11</v>
      </c>
    </row>
    <row r="5" spans="1:14" ht="18" x14ac:dyDescent="0.35">
      <c r="A5" s="59" t="s">
        <v>153</v>
      </c>
      <c r="B5" s="9">
        <v>0.4</v>
      </c>
      <c r="F5" t="s">
        <v>280</v>
      </c>
      <c r="G5">
        <f>1.1*B9</f>
        <v>59.356000000000009</v>
      </c>
      <c r="H5" t="s">
        <v>285</v>
      </c>
      <c r="I5">
        <f t="shared" si="0"/>
        <v>100.19292800000001</v>
      </c>
      <c r="J5" t="s">
        <v>16</v>
      </c>
    </row>
    <row r="6" spans="1:14" ht="18" x14ac:dyDescent="0.35">
      <c r="A6" s="25" t="s">
        <v>273</v>
      </c>
      <c r="B6" s="9">
        <v>100</v>
      </c>
      <c r="C6" t="s">
        <v>163</v>
      </c>
    </row>
    <row r="7" spans="1:14" ht="18" x14ac:dyDescent="0.35">
      <c r="A7" s="25" t="s">
        <v>274</v>
      </c>
      <c r="B7" s="9">
        <v>0.04</v>
      </c>
      <c r="F7" s="34" t="s">
        <v>281</v>
      </c>
      <c r="G7">
        <f>0.1512*(B9*1.688)^2*(1-COS(RADIANS(B4)))</f>
        <v>1.7191294658580942</v>
      </c>
      <c r="H7" t="s">
        <v>10</v>
      </c>
    </row>
    <row r="8" spans="1:14" ht="18" x14ac:dyDescent="0.35">
      <c r="A8" s="25" t="s">
        <v>275</v>
      </c>
      <c r="B8" s="9">
        <v>0.91159999999999997</v>
      </c>
      <c r="F8" s="34" t="s">
        <v>282</v>
      </c>
      <c r="G8">
        <f>(B10-G7)/TAN(RADIANS(B4))</f>
        <v>921.25389006447097</v>
      </c>
      <c r="H8" t="s">
        <v>10</v>
      </c>
    </row>
    <row r="9" spans="1:14" ht="18" x14ac:dyDescent="0.35">
      <c r="A9" s="25" t="s">
        <v>276</v>
      </c>
      <c r="B9" s="9">
        <v>53.96</v>
      </c>
      <c r="C9" t="s">
        <v>15</v>
      </c>
      <c r="F9" s="34" t="s">
        <v>284</v>
      </c>
      <c r="G9">
        <f>0.1512*(B9*1.688)^2*SIN(RADIANS(B4))</f>
        <v>65.650905633237272</v>
      </c>
      <c r="H9" t="s">
        <v>10</v>
      </c>
    </row>
    <row r="10" spans="1:14" ht="18" x14ac:dyDescent="0.35">
      <c r="A10" s="25" t="s">
        <v>283</v>
      </c>
      <c r="B10" s="9">
        <v>50</v>
      </c>
      <c r="C10" t="s">
        <v>10</v>
      </c>
      <c r="F10" s="34" t="s">
        <v>286</v>
      </c>
      <c r="G10">
        <f>I4</f>
        <v>100.19292800000001</v>
      </c>
      <c r="H10" t="s">
        <v>10</v>
      </c>
      <c r="J10" t="s">
        <v>290</v>
      </c>
    </row>
    <row r="11" spans="1:14" ht="18" x14ac:dyDescent="0.35">
      <c r="F11" s="34" t="s">
        <v>287</v>
      </c>
      <c r="G11" s="100">
        <f>-(I5^2*B2)/(2*32.174* (((SQRT(2)*B5*550*B6)/I5)-M3-( B3*(B2-M2))))</f>
        <v>840.94615617502598</v>
      </c>
      <c r="H11" t="s">
        <v>10</v>
      </c>
      <c r="J11" t="s">
        <v>287</v>
      </c>
      <c r="K11">
        <f>-(I5^2*B2)/( 2*32.174*(M4-M3-(B3*(B2-M2))))</f>
        <v>700.66173090273685</v>
      </c>
    </row>
    <row r="12" spans="1:14" ht="18" x14ac:dyDescent="0.35">
      <c r="D12" s="1" t="s">
        <v>292</v>
      </c>
      <c r="F12" s="34" t="s">
        <v>288</v>
      </c>
      <c r="G12" s="101">
        <f>SUM(G8:G11)</f>
        <v>1928.0438798727341</v>
      </c>
      <c r="H12" t="s">
        <v>10</v>
      </c>
    </row>
    <row r="13" spans="1:14" ht="18" x14ac:dyDescent="0.35">
      <c r="F13" s="34" t="s">
        <v>289</v>
      </c>
      <c r="G13" s="102">
        <f>G10+G11</f>
        <v>941.13908417502603</v>
      </c>
      <c r="H13" t="s">
        <v>10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take-off</vt:lpstr>
      <vt:lpstr>climb</vt:lpstr>
      <vt:lpstr>cruise</vt:lpstr>
      <vt:lpstr>Range &amp; Endurance</vt:lpstr>
      <vt:lpstr>Landing</vt:lpstr>
      <vt:lpstr>AD</vt:lpstr>
      <vt:lpstr>inversea</vt:lpstr>
      <vt:lpstr>matrixa</vt:lpstr>
      <vt:lpstr>matrixb</vt:lpstr>
      <vt:lpstr>matrixc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Nyaga</dc:creator>
  <cp:lastModifiedBy>Geoffrey Nyaga</cp:lastModifiedBy>
  <dcterms:created xsi:type="dcterms:W3CDTF">2015-07-05T10:28:40Z</dcterms:created>
  <dcterms:modified xsi:type="dcterms:W3CDTF">2016-12-31T16:01:13Z</dcterms:modified>
</cp:coreProperties>
</file>