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cernbox\업무\2020\10. 실적\4. 학회 발표\"/>
    </mc:Choice>
  </mc:AlternateContent>
  <bookViews>
    <workbookView xWindow="0" yWindow="0" windowWidth="14190" windowHeight="6480"/>
  </bookViews>
  <sheets>
    <sheet name="Sheet1" sheetId="1" r:id="rId1"/>
    <sheet name="Sheet2" sheetId="2" r:id="rId2"/>
  </sheets>
  <definedNames>
    <definedName name="_xlchart.v1.0" hidden="1">Sheet1!$A$61</definedName>
    <definedName name="_xlchart.v1.1" hidden="1">Sheet1!$A$63</definedName>
    <definedName name="_xlchart.v1.10" hidden="1">Sheet1!$B$17:$K$17</definedName>
    <definedName name="_xlchart.v1.11" hidden="1">Sheet1!$B$28:$K$28</definedName>
    <definedName name="_xlchart.v1.12" hidden="1">Sheet1!$B$42:$K$42</definedName>
    <definedName name="_xlchart.v1.13" hidden="1">Sheet1!$B$53:$K$53</definedName>
    <definedName name="_xlchart.v1.14" hidden="1">Sheet1!$A$15</definedName>
    <definedName name="_xlchart.v1.15" hidden="1">Sheet1!$B$15:$K$15</definedName>
    <definedName name="_xlchart.v1.16" hidden="1">Sheet1!$A$62</definedName>
    <definedName name="_xlchart.v1.17" hidden="1">Sheet1!$A$64</definedName>
    <definedName name="_xlchart.v1.18" hidden="1">Sheet1!$A$66</definedName>
    <definedName name="_xlchart.v1.19" hidden="1">Sheet1!$B$62:$K$62</definedName>
    <definedName name="_xlchart.v1.2" hidden="1">Sheet1!$A$65</definedName>
    <definedName name="_xlchart.v1.20" hidden="1">Sheet1!$B$64:$K$64</definedName>
    <definedName name="_xlchart.v1.21" hidden="1">Sheet1!$B$66:$K$66</definedName>
    <definedName name="_xlchart.v1.22" hidden="1">Sheet1!$A$40</definedName>
    <definedName name="_xlchart.v1.23" hidden="1">Sheet1!$A$43</definedName>
    <definedName name="_xlchart.v1.24" hidden="1">Sheet1!$A$52</definedName>
    <definedName name="_xlchart.v1.25" hidden="1">Sheet1!$A$54</definedName>
    <definedName name="_xlchart.v1.26" hidden="1">Sheet1!$B$40:$K$40</definedName>
    <definedName name="_xlchart.v1.27" hidden="1">Sheet1!$B$43:$K$43</definedName>
    <definedName name="_xlchart.v1.28" hidden="1">Sheet1!$B$52:$K$52</definedName>
    <definedName name="_xlchart.v1.29" hidden="1">Sheet1!$B$54:$K$54</definedName>
    <definedName name="_xlchart.v1.3" hidden="1">Sheet1!$B$61:$K$61</definedName>
    <definedName name="_xlchart.v1.30" hidden="1">Sheet1!$A$40</definedName>
    <definedName name="_xlchart.v1.31" hidden="1">Sheet1!$A$43</definedName>
    <definedName name="_xlchart.v1.32" hidden="1">Sheet1!$A$52</definedName>
    <definedName name="_xlchart.v1.33" hidden="1">Sheet1!$A$54</definedName>
    <definedName name="_xlchart.v1.34" hidden="1">Sheet1!$B$40:$K$40</definedName>
    <definedName name="_xlchart.v1.35" hidden="1">Sheet1!$B$43:$K$43</definedName>
    <definedName name="_xlchart.v1.36" hidden="1">Sheet1!$B$52:$K$52</definedName>
    <definedName name="_xlchart.v1.37" hidden="1">Sheet1!$B$54:$K$54</definedName>
    <definedName name="_xlchart.v1.38" hidden="1">Sheet1!$A$15</definedName>
    <definedName name="_xlchart.v1.39" hidden="1">Sheet1!$A$29</definedName>
    <definedName name="_xlchart.v1.4" hidden="1">Sheet1!$B$63:$K$63</definedName>
    <definedName name="_xlchart.v1.40" hidden="1">Sheet1!$A$40</definedName>
    <definedName name="_xlchart.v1.41" hidden="1">Sheet1!$A$43</definedName>
    <definedName name="_xlchart.v1.42" hidden="1">Sheet1!$A$52</definedName>
    <definedName name="_xlchart.v1.43" hidden="1">Sheet1!$A$54</definedName>
    <definedName name="_xlchart.v1.44" hidden="1">Sheet1!$B$15:$K$15</definedName>
    <definedName name="_xlchart.v1.45" hidden="1">Sheet1!$B$29:$K$29</definedName>
    <definedName name="_xlchart.v1.46" hidden="1">Sheet1!$B$40:$K$40</definedName>
    <definedName name="_xlchart.v1.47" hidden="1">Sheet1!$B$43:$K$43</definedName>
    <definedName name="_xlchart.v1.48" hidden="1">Sheet1!$B$52:$K$52</definedName>
    <definedName name="_xlchart.v1.49" hidden="1">Sheet1!$B$54:$K$54</definedName>
    <definedName name="_xlchart.v1.5" hidden="1">Sheet1!$B$65:$K$65</definedName>
    <definedName name="_xlchart.v1.6" hidden="1">Sheet1!$A$17</definedName>
    <definedName name="_xlchart.v1.7" hidden="1">Sheet1!$A$28</definedName>
    <definedName name="_xlchart.v1.8" hidden="1">Sheet1!$A$42</definedName>
    <definedName name="_xlchart.v1.9" hidden="1">Sheet1!$A$53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 l="1"/>
  <c r="Y16" i="1"/>
  <c r="Y15" i="1"/>
  <c r="Y54" i="1"/>
  <c r="Y43" i="1"/>
  <c r="Y53" i="1"/>
  <c r="Y52" i="1"/>
  <c r="Y42" i="1"/>
  <c r="Y40" i="1"/>
  <c r="Y31" i="1"/>
  <c r="Y30" i="1"/>
  <c r="Y29" i="1"/>
  <c r="B17" i="1" l="1"/>
  <c r="T16" i="1"/>
  <c r="S16" i="1"/>
  <c r="K11" i="1"/>
  <c r="J11" i="1"/>
  <c r="I11" i="1"/>
  <c r="F11" i="1"/>
  <c r="H11" i="1"/>
  <c r="G11" i="1"/>
  <c r="E11" i="1"/>
  <c r="D11" i="1"/>
  <c r="C11" i="1"/>
  <c r="B11" i="1"/>
  <c r="U16" i="1"/>
  <c r="V16" i="1" s="1"/>
  <c r="W16" i="1" s="1"/>
  <c r="R16" i="1"/>
  <c r="K16" i="1"/>
  <c r="J16" i="1"/>
  <c r="I16" i="1"/>
  <c r="H16" i="1"/>
  <c r="G16" i="1"/>
  <c r="F16" i="1"/>
  <c r="E16" i="1"/>
  <c r="D16" i="1"/>
  <c r="C16" i="1"/>
  <c r="B16" i="1"/>
  <c r="K29" i="1"/>
  <c r="J29" i="1"/>
  <c r="I29" i="1"/>
  <c r="H29" i="1"/>
  <c r="G29" i="1"/>
  <c r="F29" i="1"/>
  <c r="E29" i="1"/>
  <c r="K30" i="1"/>
  <c r="J30" i="1"/>
  <c r="I30" i="1"/>
  <c r="H30" i="1"/>
  <c r="G30" i="1"/>
  <c r="F30" i="1"/>
  <c r="E30" i="1"/>
  <c r="D30" i="1"/>
  <c r="K31" i="1"/>
  <c r="J31" i="1"/>
  <c r="I31" i="1"/>
  <c r="H31" i="1"/>
  <c r="G31" i="1"/>
  <c r="F31" i="1"/>
  <c r="E31" i="1"/>
  <c r="D31" i="1"/>
  <c r="V66" i="1"/>
  <c r="V65" i="1"/>
  <c r="V64" i="1"/>
  <c r="V63" i="1"/>
  <c r="V62" i="1"/>
  <c r="V61" i="1"/>
  <c r="W61" i="1" s="1"/>
  <c r="V55" i="1"/>
  <c r="W55" i="1" s="1"/>
  <c r="V54" i="1"/>
  <c r="V53" i="1"/>
  <c r="V52" i="1"/>
  <c r="W52" i="1" s="1"/>
  <c r="V49" i="1"/>
  <c r="W49" i="1" s="1"/>
  <c r="V48" i="1"/>
  <c r="V44" i="1"/>
  <c r="V43" i="1"/>
  <c r="V42" i="1"/>
  <c r="V41" i="1"/>
  <c r="V40" i="1"/>
  <c r="V36" i="1"/>
  <c r="V35" i="1"/>
  <c r="V28" i="1"/>
  <c r="V27" i="1"/>
  <c r="W27" i="1" s="1"/>
  <c r="V24" i="1"/>
  <c r="W24" i="1" s="1"/>
  <c r="V23" i="1"/>
  <c r="W23" i="1" s="1"/>
  <c r="V22" i="1"/>
  <c r="V21" i="1"/>
  <c r="W21" i="1" s="1"/>
  <c r="V20" i="1"/>
  <c r="W20" i="1" s="1"/>
  <c r="V15" i="1"/>
  <c r="W15" i="1" s="1"/>
  <c r="V12" i="1"/>
  <c r="W12" i="1" s="1"/>
  <c r="V10" i="1"/>
  <c r="W10" i="1" s="1"/>
  <c r="V9" i="1"/>
  <c r="W9" i="1" s="1"/>
  <c r="V5" i="1"/>
  <c r="V4" i="1"/>
  <c r="V3" i="1"/>
  <c r="W3" i="1" s="1"/>
  <c r="V2" i="1"/>
  <c r="N4" i="1"/>
  <c r="O4" i="1"/>
  <c r="B4" i="1"/>
  <c r="M4" i="1"/>
  <c r="L4" i="1"/>
  <c r="P4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W66" i="1"/>
  <c r="W65" i="1"/>
  <c r="W64" i="1"/>
  <c r="W63" i="1"/>
  <c r="W62" i="1"/>
  <c r="W54" i="1"/>
  <c r="W53" i="1"/>
  <c r="W48" i="1"/>
  <c r="W44" i="1"/>
  <c r="W43" i="1"/>
  <c r="W42" i="1"/>
  <c r="W41" i="1"/>
  <c r="W40" i="1"/>
  <c r="W36" i="1"/>
  <c r="W35" i="1"/>
  <c r="W28" i="1"/>
  <c r="W22" i="1"/>
  <c r="F4" i="1"/>
  <c r="E4" i="1"/>
  <c r="D4" i="1"/>
  <c r="C4" i="1"/>
  <c r="W2" i="1"/>
  <c r="U3" i="1"/>
  <c r="R3" i="1"/>
  <c r="T3" i="1" s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  <c r="R9" i="1"/>
  <c r="S9" i="1"/>
  <c r="T9" i="1"/>
  <c r="U9" i="1"/>
  <c r="K22" i="1"/>
  <c r="J22" i="1"/>
  <c r="I22" i="1"/>
  <c r="H22" i="1"/>
  <c r="G22" i="1"/>
  <c r="F22" i="1"/>
  <c r="E22" i="1"/>
  <c r="D22" i="1"/>
  <c r="K23" i="1"/>
  <c r="J23" i="1"/>
  <c r="I23" i="1"/>
  <c r="H23" i="1"/>
  <c r="G23" i="1"/>
  <c r="F23" i="1"/>
  <c r="E23" i="1"/>
  <c r="D23" i="1"/>
  <c r="K24" i="1"/>
  <c r="J24" i="1"/>
  <c r="I24" i="1"/>
  <c r="H24" i="1"/>
  <c r="G24" i="1"/>
  <c r="F24" i="1"/>
  <c r="E24" i="1"/>
  <c r="D24" i="1"/>
  <c r="C24" i="1"/>
  <c r="B24" i="1"/>
  <c r="C23" i="1"/>
  <c r="B23" i="1"/>
  <c r="C22" i="1"/>
  <c r="B22" i="1"/>
  <c r="C30" i="1"/>
  <c r="C31" i="1"/>
  <c r="B30" i="1"/>
  <c r="B31" i="1"/>
  <c r="D29" i="1"/>
  <c r="C29" i="1"/>
  <c r="B29" i="1"/>
  <c r="U21" i="1"/>
  <c r="R21" i="1"/>
  <c r="T21" i="1" s="1"/>
  <c r="U20" i="1"/>
  <c r="R20" i="1"/>
  <c r="S20" i="1" s="1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K49" i="1"/>
  <c r="J49" i="1"/>
  <c r="I49" i="1"/>
  <c r="H49" i="1"/>
  <c r="G49" i="1"/>
  <c r="F49" i="1"/>
  <c r="E49" i="1"/>
  <c r="D49" i="1"/>
  <c r="C49" i="1"/>
  <c r="U48" i="1"/>
  <c r="R48" i="1"/>
  <c r="T48" i="1" s="1"/>
  <c r="S11" i="1" l="1"/>
  <c r="T11" i="1"/>
  <c r="R11" i="1"/>
  <c r="U11" i="1"/>
  <c r="V11" i="1" s="1"/>
  <c r="W11" i="1" s="1"/>
  <c r="R4" i="1"/>
  <c r="U5" i="1"/>
  <c r="R5" i="1"/>
  <c r="T5" i="1" s="1"/>
  <c r="S3" i="1"/>
  <c r="T20" i="1"/>
  <c r="U29" i="1"/>
  <c r="V29" i="1" s="1"/>
  <c r="W29" i="1" s="1"/>
  <c r="R29" i="1"/>
  <c r="T29" i="1" s="1"/>
  <c r="U24" i="1"/>
  <c r="U30" i="1"/>
  <c r="V30" i="1" s="1"/>
  <c r="W30" i="1" s="1"/>
  <c r="R30" i="1"/>
  <c r="T30" i="1" s="1"/>
  <c r="U31" i="1"/>
  <c r="V31" i="1" s="1"/>
  <c r="W31" i="1" s="1"/>
  <c r="R22" i="1"/>
  <c r="T22" i="1" s="1"/>
  <c r="U22" i="1"/>
  <c r="R23" i="1"/>
  <c r="T23" i="1" s="1"/>
  <c r="U23" i="1"/>
  <c r="R24" i="1"/>
  <c r="T24" i="1" s="1"/>
  <c r="R31" i="1"/>
  <c r="T31" i="1" s="1"/>
  <c r="S21" i="1"/>
  <c r="R49" i="1"/>
  <c r="T49" i="1" s="1"/>
  <c r="U49" i="1"/>
  <c r="S48" i="1"/>
  <c r="U55" i="1"/>
  <c r="R55" i="1"/>
  <c r="T55" i="1" s="1"/>
  <c r="S29" i="1" l="1"/>
  <c r="S5" i="1"/>
  <c r="W5" i="1"/>
  <c r="S30" i="1"/>
  <c r="S22" i="1"/>
  <c r="S23" i="1"/>
  <c r="S49" i="1"/>
  <c r="S31" i="1"/>
  <c r="S24" i="1"/>
  <c r="S55" i="1"/>
  <c r="U44" i="1"/>
  <c r="R44" i="1"/>
  <c r="T44" i="1" s="1"/>
  <c r="S44" i="1" l="1"/>
  <c r="K42" i="1"/>
  <c r="J42" i="1"/>
  <c r="I42" i="1"/>
  <c r="H42" i="1"/>
  <c r="G42" i="1"/>
  <c r="F42" i="1"/>
  <c r="E42" i="1"/>
  <c r="D42" i="1"/>
  <c r="C42" i="1"/>
  <c r="B42" i="1"/>
  <c r="U66" i="1"/>
  <c r="U65" i="1"/>
  <c r="U64" i="1"/>
  <c r="U63" i="1"/>
  <c r="U62" i="1"/>
  <c r="U61" i="1"/>
  <c r="U54" i="1"/>
  <c r="U52" i="1"/>
  <c r="U43" i="1"/>
  <c r="U40" i="1"/>
  <c r="U35" i="1"/>
  <c r="U27" i="1"/>
  <c r="U15" i="1"/>
  <c r="U10" i="1"/>
  <c r="U2" i="1"/>
  <c r="T10" i="1"/>
  <c r="S10" i="1"/>
  <c r="R66" i="1"/>
  <c r="S66" i="1" s="1"/>
  <c r="R65" i="1"/>
  <c r="T65" i="1" s="1"/>
  <c r="R64" i="1"/>
  <c r="S64" i="1" s="1"/>
  <c r="R63" i="1"/>
  <c r="T63" i="1" s="1"/>
  <c r="R62" i="1"/>
  <c r="S62" i="1" s="1"/>
  <c r="R61" i="1"/>
  <c r="T61" i="1" s="1"/>
  <c r="R54" i="1"/>
  <c r="T54" i="1" s="1"/>
  <c r="R52" i="1"/>
  <c r="R43" i="1"/>
  <c r="T43" i="1" s="1"/>
  <c r="R40" i="1"/>
  <c r="T40" i="1" s="1"/>
  <c r="R35" i="1"/>
  <c r="S35" i="1" s="1"/>
  <c r="R27" i="1"/>
  <c r="T27" i="1" s="1"/>
  <c r="R15" i="1"/>
  <c r="T15" i="1" s="1"/>
  <c r="R10" i="1"/>
  <c r="R2" i="1"/>
  <c r="S2" i="1" s="1"/>
  <c r="T62" i="1" l="1"/>
  <c r="U42" i="1"/>
  <c r="U28" i="1"/>
  <c r="R42" i="1"/>
  <c r="T42" i="1" s="1"/>
  <c r="S15" i="1"/>
  <c r="S27" i="1"/>
  <c r="R28" i="1"/>
  <c r="T28" i="1" s="1"/>
  <c r="T2" i="1"/>
  <c r="S54" i="1"/>
  <c r="T52" i="1"/>
  <c r="T64" i="1"/>
  <c r="T66" i="1"/>
  <c r="T35" i="1"/>
  <c r="S43" i="1"/>
  <c r="S61" i="1"/>
  <c r="S63" i="1"/>
  <c r="S65" i="1"/>
  <c r="S52" i="1"/>
  <c r="S40" i="1"/>
  <c r="U4" i="1"/>
  <c r="K53" i="1"/>
  <c r="J53" i="1"/>
  <c r="I53" i="1"/>
  <c r="H53" i="1"/>
  <c r="G53" i="1"/>
  <c r="F53" i="1"/>
  <c r="E53" i="1"/>
  <c r="D53" i="1"/>
  <c r="C53" i="1"/>
  <c r="B53" i="1"/>
  <c r="W4" i="1" l="1"/>
  <c r="S42" i="1"/>
  <c r="S28" i="1"/>
  <c r="T4" i="1"/>
  <c r="S4" i="1"/>
  <c r="U53" i="1"/>
  <c r="R53" i="1"/>
  <c r="K41" i="1"/>
  <c r="J41" i="1"/>
  <c r="I41" i="1"/>
  <c r="H41" i="1"/>
  <c r="G41" i="1"/>
  <c r="F41" i="1"/>
  <c r="E41" i="1"/>
  <c r="D41" i="1"/>
  <c r="C41" i="1"/>
  <c r="B41" i="1"/>
  <c r="K17" i="1"/>
  <c r="J17" i="1"/>
  <c r="I17" i="1"/>
  <c r="H17" i="1"/>
  <c r="G17" i="1"/>
  <c r="F17" i="1"/>
  <c r="E17" i="1"/>
  <c r="D17" i="1"/>
  <c r="C17" i="1"/>
  <c r="S53" i="1" l="1"/>
  <c r="T53" i="1"/>
  <c r="U17" i="1"/>
  <c r="V17" i="1" s="1"/>
  <c r="U41" i="1"/>
  <c r="R41" i="1"/>
  <c r="R17" i="1"/>
  <c r="J36" i="1"/>
  <c r="I36" i="1"/>
  <c r="H36" i="1"/>
  <c r="G36" i="1"/>
  <c r="F36" i="1"/>
  <c r="E36" i="1"/>
  <c r="K36" i="1"/>
  <c r="D36" i="1"/>
  <c r="K12" i="1"/>
  <c r="J12" i="1"/>
  <c r="I12" i="1"/>
  <c r="H12" i="1"/>
  <c r="G12" i="1"/>
  <c r="F12" i="1"/>
  <c r="E12" i="1"/>
  <c r="D12" i="1"/>
  <c r="C12" i="1"/>
  <c r="B12" i="1"/>
  <c r="W17" i="1" l="1"/>
  <c r="U36" i="1"/>
  <c r="T41" i="1"/>
  <c r="S41" i="1"/>
  <c r="S17" i="1"/>
  <c r="T17" i="1"/>
  <c r="U12" i="1"/>
  <c r="R36" i="1"/>
  <c r="S12" i="1"/>
  <c r="T12" i="1"/>
  <c r="R12" i="1"/>
  <c r="T36" i="1" l="1"/>
  <c r="S36" i="1"/>
</calcChain>
</file>

<file path=xl/sharedStrings.xml><?xml version="1.0" encoding="utf-8"?>
<sst xmlns="http://schemas.openxmlformats.org/spreadsheetml/2006/main" count="78" uniqueCount="67">
  <si>
    <t>MB/s</t>
    <phoneticPr fontId="1" type="noConversion"/>
  </si>
  <si>
    <t>loopback</t>
    <phoneticPr fontId="1" type="noConversion"/>
  </si>
  <si>
    <t>MB/s</t>
    <phoneticPr fontId="1" type="noConversion"/>
  </si>
  <si>
    <t>xrdcp(virtio)</t>
    <phoneticPr fontId="1" type="noConversion"/>
  </si>
  <si>
    <t>scp(virtio)</t>
    <phoneticPr fontId="1" type="noConversion"/>
  </si>
  <si>
    <t>scp(NIC emul)</t>
    <phoneticPr fontId="1" type="noConversion"/>
  </si>
  <si>
    <t>xrdcp(NIC emul)</t>
    <phoneticPr fontId="1" type="noConversion"/>
  </si>
  <si>
    <t>1GB+1GB</t>
    <phoneticPr fontId="1" type="noConversion"/>
  </si>
  <si>
    <t>MB/s</t>
    <phoneticPr fontId="1" type="noConversion"/>
  </si>
  <si>
    <t>1GB+1GB</t>
    <phoneticPr fontId="1" type="noConversion"/>
  </si>
  <si>
    <t>nfsv4.1(NIC emul)</t>
    <phoneticPr fontId="1" type="noConversion"/>
  </si>
  <si>
    <t>1GB</t>
    <phoneticPr fontId="1" type="noConversion"/>
  </si>
  <si>
    <t>dcache(NIC emul)</t>
    <phoneticPr fontId="1" type="noConversion"/>
  </si>
  <si>
    <t>1GB</t>
    <phoneticPr fontId="1" type="noConversion"/>
  </si>
  <si>
    <t>Avg.</t>
    <phoneticPr fontId="1" type="noConversion"/>
  </si>
  <si>
    <t>Min</t>
    <phoneticPr fontId="1" type="noConversion"/>
  </si>
  <si>
    <t>Max</t>
    <phoneticPr fontId="1" type="noConversion"/>
  </si>
  <si>
    <t>Stdv.</t>
    <phoneticPr fontId="1" type="noConversion"/>
  </si>
  <si>
    <t>loop0 device</t>
    <phoneticPr fontId="1" type="noConversion"/>
  </si>
  <si>
    <t>tmpfs</t>
    <phoneticPr fontId="1" type="noConversion"/>
  </si>
  <si>
    <t>xrdcp 1 file</t>
    <phoneticPr fontId="1" type="noConversion"/>
  </si>
  <si>
    <t>xrdcp 2 files</t>
    <phoneticPr fontId="1" type="noConversion"/>
  </si>
  <si>
    <t>dcache(xrootdfs)</t>
    <phoneticPr fontId="1" type="noConversion"/>
  </si>
  <si>
    <t>xrdcp (1 file)</t>
    <phoneticPr fontId="1" type="noConversion"/>
  </si>
  <si>
    <t>xrootdfs (1file)</t>
    <phoneticPr fontId="1" type="noConversion"/>
  </si>
  <si>
    <t>nfsv4.1 (1 file)</t>
    <phoneticPr fontId="1" type="noConversion"/>
  </si>
  <si>
    <t>nfsv4.1 (2 files)</t>
    <phoneticPr fontId="1" type="noConversion"/>
  </si>
  <si>
    <t>Native</t>
    <phoneticPr fontId="1" type="noConversion"/>
  </si>
  <si>
    <t>Lustre</t>
    <phoneticPr fontId="1" type="noConversion"/>
  </si>
  <si>
    <t>xrdcp (2 files / each)</t>
    <phoneticPr fontId="1" type="noConversion"/>
  </si>
  <si>
    <t>xrdcp (2 files / rdr)</t>
    <phoneticPr fontId="1" type="noConversion"/>
  </si>
  <si>
    <t>dcache (1 file)</t>
    <phoneticPr fontId="1" type="noConversion"/>
  </si>
  <si>
    <t>dcache (2 files)</t>
    <phoneticPr fontId="1" type="noConversion"/>
  </si>
  <si>
    <t>Lustre (1 file / count=1)</t>
    <phoneticPr fontId="1" type="noConversion"/>
  </si>
  <si>
    <t>Lustre (2 file / count=2)</t>
    <phoneticPr fontId="1" type="noConversion"/>
  </si>
  <si>
    <t>SSH (1 file)</t>
    <phoneticPr fontId="1" type="noConversion"/>
  </si>
  <si>
    <t>SSH (2 files)</t>
    <phoneticPr fontId="1" type="noConversion"/>
  </si>
  <si>
    <t>Lustre (2 file / count=1)</t>
    <phoneticPr fontId="1" type="noConversion"/>
  </si>
  <si>
    <t>Lustre (1 file / count=2)</t>
    <phoneticPr fontId="1" type="noConversion"/>
  </si>
  <si>
    <t>Lustre (1 file / count=-1)</t>
    <phoneticPr fontId="1" type="noConversion"/>
  </si>
  <si>
    <t>Lustre (2 file / count=-1)</t>
    <phoneticPr fontId="1" type="noConversion"/>
  </si>
  <si>
    <t>xrootd on Lustre</t>
    <phoneticPr fontId="1" type="noConversion"/>
  </si>
  <si>
    <t>dcache (nfsv4.1)</t>
    <phoneticPr fontId="1" type="noConversion"/>
  </si>
  <si>
    <t>dcache(virtio)</t>
    <phoneticPr fontId="1" type="noConversion"/>
  </si>
  <si>
    <t>dcache (2 files)</t>
    <phoneticPr fontId="1" type="noConversion"/>
  </si>
  <si>
    <t>nfsv4.1 (virtio)</t>
    <phoneticPr fontId="1" type="noConversion"/>
  </si>
  <si>
    <t>1files</t>
    <phoneticPr fontId="1" type="noConversion"/>
  </si>
  <si>
    <t>2files</t>
    <phoneticPr fontId="1" type="noConversion"/>
  </si>
  <si>
    <t>dcache (1 file)</t>
    <phoneticPr fontId="1" type="noConversion"/>
  </si>
  <si>
    <t>2GB</t>
    <phoneticPr fontId="1" type="noConversion"/>
  </si>
  <si>
    <t>1+1GB</t>
    <phoneticPr fontId="1" type="noConversion"/>
  </si>
  <si>
    <t>MB/s</t>
    <phoneticPr fontId="1" type="noConversion"/>
  </si>
  <si>
    <t>Writer report</t>
  </si>
  <si>
    <t>표준오차ㅣ</t>
    <phoneticPr fontId="1" type="noConversion"/>
  </si>
  <si>
    <t>loop0 device (2 threads)</t>
    <phoneticPr fontId="1" type="noConversion"/>
  </si>
  <si>
    <t>tmpfs (2 threads)</t>
    <phoneticPr fontId="1" type="noConversion"/>
  </si>
  <si>
    <t>오차 비율</t>
    <phoneticPr fontId="1" type="noConversion"/>
  </si>
  <si>
    <t>SSH (1 file / virtio)</t>
    <phoneticPr fontId="1" type="noConversion"/>
  </si>
  <si>
    <t>SSH (2 nodes / virtio)</t>
    <phoneticPr fontId="1" type="noConversion"/>
  </si>
  <si>
    <t>SSH (2 threads / virtio)</t>
    <phoneticPr fontId="1" type="noConversion"/>
  </si>
  <si>
    <t>SSH (2 threads)</t>
    <phoneticPr fontId="1" type="noConversion"/>
  </si>
  <si>
    <t>NFSv4.1 1 thread</t>
    <phoneticPr fontId="1" type="noConversion"/>
  </si>
  <si>
    <t>NFSv4.1 2 threads</t>
    <phoneticPr fontId="1" type="noConversion"/>
  </si>
  <si>
    <t>NFSv4.1 2 nodes</t>
    <phoneticPr fontId="1" type="noConversion"/>
  </si>
  <si>
    <t>NFSv4.1 (1 thread / virtio)</t>
    <phoneticPr fontId="1" type="noConversion"/>
  </si>
  <si>
    <t>NFSv4.1 (2 thread / virtio)</t>
    <phoneticPr fontId="1" type="noConversion"/>
  </si>
  <si>
    <t>NFSv4.1 (2 nodes / virtio)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</si>
</sst>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  <cx:data id="1">
      <cx:numDim type="val">
        <cx:f dir="row">_xlchart.v1.11</cx:f>
      </cx:numDim>
    </cx:data>
    <cx:data id="2">
      <cx:numDim type="val">
        <cx:f dir="row">_xlchart.v1.12</cx:f>
      </cx:numDim>
    </cx:data>
    <cx:data id="3">
      <cx:numDim type="val">
        <cx:f dir="row"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1800"/>
            </a:pPr>
            <a:r>
              <a:rPr lang="en-US" altLang="ko-KR" sz="1800"/>
              <a:t>Comparison of write speeds with two nodes</a:t>
            </a:r>
            <a:endParaRPr lang="ko-KR"/>
          </a:p>
        </cx:rich>
      </cx:tx>
    </cx:title>
    <cx:plotArea>
      <cx:plotAreaRegion>
        <cx:series layoutId="boxWhisker" uniqueId="{D9FCDBD3-BADD-4A6E-A7A9-B3470D847953}" formatIdx="0">
          <cx:tx>
            <cx:txData>
              <cx:f>_xlchart.v1.6</cx:f>
              <cx:v>SSH (2 files)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5E2A0644-B244-4978-9937-592CFF2DB71F}" formatIdx="1">
          <cx:tx>
            <cx:txData>
              <cx:f>_xlchart.v1.7</cx:f>
              <cx:v>nfsv4.1 (2 files)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4C593F1E-8A37-4BE0-B586-5B3D701506F7}" formatIdx="2">
          <cx:tx>
            <cx:txData>
              <cx:f>_xlchart.v1.8</cx:f>
              <cx:v>xrdcp (2 files / rdr)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D75C4E46-FAE1-4850-A8EB-D5AB333751F1}" formatIdx="3">
          <cx:tx>
            <cx:txData>
              <cx:f>_xlchart.v1.9</cx:f>
              <cx:v>dcache (2 files)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Protocol Type</a:t>
                </a:r>
                <a:endParaRPr lang="ko-KR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 b="1"/>
                </a:pPr>
                <a:r>
                  <a:rPr lang="en-US" altLang="ko-KR" sz="1200" b="1"/>
                  <a:t>Write Rate ( MB/s)</a:t>
                </a:r>
                <a:endParaRPr lang="ko-KR" b="1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 b="1"/>
            </a:pPr>
            <a:endParaRPr lang="ko-KR" sz="1100" b="1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sz="1200" b="1"/>
          </a:pPr>
          <a:endParaRPr lang="ko-KR" sz="1200" b="1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  <cx:data id="1">
      <cx:numDim type="val">
        <cx:f dir="row">_xlchart.v1.4</cx:f>
      </cx:numDim>
    </cx:data>
    <cx:data id="2">
      <cx:numDim type="val">
        <cx:f dir="row"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1800"/>
            </a:pPr>
            <a:r>
              <a:rPr lang="en-US" altLang="ko-KR" sz="1800"/>
              <a:t>Comparison of  files write rates by Lustre (Object-based)</a:t>
            </a:r>
            <a:endParaRPr lang="ko-KR"/>
          </a:p>
        </cx:rich>
      </cx:tx>
    </cx:title>
    <cx:plotArea>
      <cx:plotAreaRegion>
        <cx:series layoutId="boxWhisker" uniqueId="{00000000-9BEC-4BDC-902D-99ADC8969B5C}" formatIdx="0">
          <cx:tx>
            <cx:txData>
              <cx:f>_xlchart.v1.0</cx:f>
              <cx:v>Lustre (1 file / count=1)</cx:v>
            </cx:txData>
          </cx:tx>
          <cx:dataId val="0"/>
          <cx:layoutPr>
            <cx:statistics quartileMethod="exclusive"/>
          </cx:layoutPr>
        </cx:series>
        <cx:series layoutId="boxWhisker" uniqueId="{00000001-9BEC-4BDC-902D-99ADC8969B5C}" formatIdx="1">
          <cx:tx>
            <cx:txData>
              <cx:f>_xlchart.v1.1</cx:f>
              <cx:v>Lustre (1 file / count=2)</cx:v>
            </cx:txData>
          </cx:tx>
          <cx:dataId val="1"/>
          <cx:layoutPr>
            <cx:statistics quartileMethod="exclusive"/>
          </cx:layoutPr>
        </cx:series>
        <cx:series layoutId="boxWhisker" uniqueId="{00000002-9BEC-4BDC-902D-99ADC8969B5C}" formatIdx="2">
          <cx:tx>
            <cx:txData>
              <cx:f>_xlchart.v1.2</cx:f>
              <cx:v>Lustre (1 file / count=-1)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400" b="1"/>
                </a:pPr>
                <a:r>
                  <a:rPr lang="en-US" altLang="ko-KR" sz="1400" b="1"/>
                  <a:t>Stripe Count</a:t>
                </a:r>
                <a:endParaRPr lang="ko-KR" b="1"/>
              </a:p>
            </cx:rich>
          </cx:tx>
        </cx:title>
        <cx:tickLabels/>
      </cx:axis>
      <cx:axis id="1">
        <cx:valScaling min="5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 b="1"/>
                </a:pPr>
                <a:r>
                  <a:rPr lang="en-US" altLang="ko-KR" sz="1200" b="1"/>
                  <a:t>Write Rate ( MB/s)</a:t>
                </a:r>
                <a:endParaRPr lang="ko-KR" b="1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 b="1"/>
            </a:pPr>
            <a:endParaRPr lang="ko-KR" sz="1100" b="1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sz="1200" b="1"/>
          </a:pPr>
          <a:endParaRPr lang="ko-KR" sz="1200" b="1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  <cx:data id="2">
      <cx:numDim type="val">
        <cx:f dir="row">_xlchart.v1.21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1800"/>
            </a:pPr>
            <a:r>
              <a:rPr lang="en-US" altLang="ko-KR" sz="1800"/>
              <a:t>Comparison of  2 files write rates by Lustre (Object-based)</a:t>
            </a:r>
            <a:endParaRPr lang="ko-KR"/>
          </a:p>
        </cx:rich>
      </cx:tx>
    </cx:title>
    <cx:plotArea>
      <cx:plotAreaRegion>
        <cx:series layoutId="boxWhisker" uniqueId="{00000003-9BEC-4BDC-902D-99ADC8969B5C}" formatIdx="3">
          <cx:tx>
            <cx:txData>
              <cx:f>_xlchart.v1.16</cx:f>
              <cx:v>Lustre (2 file / count=1)</cx:v>
            </cx:txData>
          </cx:tx>
          <cx:dataId val="0"/>
          <cx:layoutPr>
            <cx:statistics quartileMethod="exclusive"/>
          </cx:layoutPr>
        </cx:series>
        <cx:series layoutId="boxWhisker" uniqueId="{00000004-9BEC-4BDC-902D-99ADC8969B5C}" formatIdx="4">
          <cx:tx>
            <cx:txData>
              <cx:f>_xlchart.v1.17</cx:f>
              <cx:v>Lustre (2 file / count=2)</cx:v>
            </cx:txData>
          </cx:tx>
          <cx:dataId val="1"/>
          <cx:layoutPr>
            <cx:statistics quartileMethod="exclusive"/>
          </cx:layoutPr>
        </cx:series>
        <cx:series layoutId="boxWhisker" uniqueId="{00000005-9BEC-4BDC-902D-99ADC8969B5C}" formatIdx="5">
          <cx:tx>
            <cx:txData>
              <cx:f>_xlchart.v1.18</cx:f>
              <cx:v>Lustre (2 file / count=-1)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400" b="1"/>
                </a:pPr>
                <a:r>
                  <a:rPr lang="en-US" altLang="ko-KR" sz="1400" b="1"/>
                  <a:t>Stripe Count</a:t>
                </a:r>
                <a:endParaRPr lang="ko-KR" b="1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 b="1"/>
                </a:pPr>
                <a:r>
                  <a:rPr lang="en-US" altLang="ko-KR" sz="1200" b="1"/>
                  <a:t>Write Rate ( MB/s)</a:t>
                </a:r>
                <a:endParaRPr lang="ko-KR" b="1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100" b="1"/>
            </a:pPr>
            <a:endParaRPr lang="ko-KR" sz="1100" b="1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sz="1200" b="1"/>
          </a:pPr>
          <a:endParaRPr lang="ko-KR" sz="1200" b="1"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_xlchart.v1.44</cx:f>
      </cx:numDim>
    </cx:data>
    <cx:data id="1">
      <cx:numDim type="val">
        <cx:f dir="row">_xlchart.v1.45</cx:f>
      </cx:numDim>
    </cx:data>
    <cx:data id="2">
      <cx:numDim type="val">
        <cx:f dir="row">_xlchart.v1.46</cx:f>
      </cx:numDim>
    </cx:data>
    <cx:data id="3">
      <cx:numDim type="val">
        <cx:f dir="row">_xlchart.v1.47</cx:f>
      </cx:numDim>
    </cx:data>
    <cx:data id="4">
      <cx:numDim type="val">
        <cx:f dir="row">_xlchart.v1.48</cx:f>
      </cx:numDim>
    </cx:data>
    <cx:data id="5">
      <cx:numDim type="val">
        <cx:f dir="row">_xlchart.v1.49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sz="2000" b="1"/>
            </a:pPr>
            <a:r>
              <a:rPr lang="en-US" altLang="ko-KR" sz="2000" b="1"/>
              <a:t>Compare file write speeds (1 thread)</a:t>
            </a:r>
            <a:endParaRPr lang="ko-KR" b="1"/>
          </a:p>
        </cx:rich>
      </cx:tx>
    </cx:title>
    <cx:plotArea>
      <cx:plotAreaRegion>
        <cx:series layoutId="boxWhisker" uniqueId="{381F3671-9036-43DD-BB0F-212DF8D4A63A}">
          <cx:tx>
            <cx:txData>
              <cx:f>_xlchart.v1.38</cx:f>
              <cx:v>SSH (1 file)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0F0FC28-53D1-462B-9530-4F11831B0D36}">
          <cx:tx>
            <cx:txData>
              <cx:f>_xlchart.v1.39</cx:f>
              <cx:v>NFSv4.1 1 thread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62F6B6D-8824-4953-A353-628A13E1F42A}">
          <cx:tx>
            <cx:txData>
              <cx:f>_xlchart.v1.40</cx:f>
              <cx:v>xrdcp (1 file)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A8E2B97-FFA4-4A11-BC8F-AED1CC1C234F}">
          <cx:tx>
            <cx:txData>
              <cx:f>_xlchart.v1.41</cx:f>
              <cx:v>xrootdfs (1file)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77C0609-6882-44EC-BC6E-E78C81DDAED9}">
          <cx:tx>
            <cx:txData>
              <cx:f>_xlchart.v1.42</cx:f>
              <cx:v>dcache (1 file)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34B1951-A648-4A0C-AFB2-FC642262F1CB}">
          <cx:tx>
            <cx:txData>
              <cx:f>_xlchart.v1.43</cx:f>
              <cx:v>dcache(xrootdfs)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200" b="1"/>
                </a:pPr>
                <a:r>
                  <a:rPr lang="en-US" altLang="ko-KR" sz="1200" b="1"/>
                  <a:t>Copy Protocol and Conditions</a:t>
                </a:r>
                <a:endParaRPr lang="ko-KR" b="1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400" b="1"/>
                </a:pPr>
                <a:r>
                  <a:rPr lang="en-US" altLang="ko-KR" sz="1400" b="1"/>
                  <a:t>Write Spped (MB/s)</a:t>
                </a:r>
                <a:endParaRPr lang="ko-KR" b="1"/>
              </a:p>
            </cx:rich>
          </cx:tx>
        </cx:title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200"/>
            </a:pPr>
            <a:endParaRPr lang="ko-KR" sz="1200"/>
          </a:p>
        </cx:txPr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 sz="1050" b="1"/>
          </a:pPr>
          <a:endParaRPr lang="ko-KR" sz="1050" b="1"/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_xlchart.v1.26</cx:f>
      </cx:numDim>
    </cx:data>
    <cx:data id="1">
      <cx:numDim type="val">
        <cx:f dir="row">_xlchart.v1.27</cx:f>
      </cx:numDim>
    </cx:data>
    <cx:data id="2">
      <cx:numDim type="val">
        <cx:f dir="row">_xlchart.v1.28</cx:f>
      </cx:numDim>
    </cx:data>
    <cx:data id="3">
      <cx:numDim type="val">
        <cx:f dir="row">_xlchart.v1.29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FUSE overhead</a:t>
            </a:r>
            <a:endParaRPr lang="ko-KR"/>
          </a:p>
        </cx:rich>
      </cx:tx>
    </cx:title>
    <cx:plotArea>
      <cx:plotAreaRegion>
        <cx:series layoutId="boxWhisker" uniqueId="{AC9C4A91-7C85-414C-B359-11DB1E520B81}">
          <cx:tx>
            <cx:txData>
              <cx:f>_xlchart.v1.22</cx:f>
              <cx:v>xrdcp (1 file)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0DC6F75-1835-4F85-B94D-94303CA21834}">
          <cx:tx>
            <cx:txData>
              <cx:f>_xlchart.v1.23</cx:f>
              <cx:v>xrootdfs (1file)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03194B-98BC-4CB7-B018-5347487A2203}">
          <cx:tx>
            <cx:txData>
              <cx:f>_xlchart.v1.24</cx:f>
              <cx:v>dcache (1 file)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AFFAF8A-87DA-4FB0-9AF7-7E3E4D948911}">
          <cx:tx>
            <cx:txData>
              <cx:f>_xlchart.v1.25</cx:f>
              <cx:v>dcache(xrootdfs)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Transfer Protocol and fuse mount</a:t>
                </a:r>
                <a:endParaRPr lang="ko-KR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Write Speed</a:t>
                </a:r>
                <a:endParaRPr lang="ko-KR"/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319149</xdr:colOff>
      <xdr:row>73</xdr:row>
      <xdr:rowOff>144564</xdr:rowOff>
    </xdr:from>
    <xdr:to>
      <xdr:col>8</xdr:col>
      <xdr:colOff>131288</xdr:colOff>
      <xdr:row>93</xdr:row>
      <xdr:rowOff>141843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</xdr:col>
      <xdr:colOff>68545</xdr:colOff>
      <xdr:row>95</xdr:row>
      <xdr:rowOff>158827</xdr:rowOff>
    </xdr:from>
    <xdr:to>
      <xdr:col>10</xdr:col>
      <xdr:colOff>564175</xdr:colOff>
      <xdr:row>115</xdr:row>
      <xdr:rowOff>156105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차트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17</xdr:col>
      <xdr:colOff>747279</xdr:colOff>
      <xdr:row>89</xdr:row>
      <xdr:rowOff>22588</xdr:rowOff>
    </xdr:from>
    <xdr:to>
      <xdr:col>25</xdr:col>
      <xdr:colOff>257472</xdr:colOff>
      <xdr:row>109</xdr:row>
      <xdr:rowOff>19867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차트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33</xdr:col>
      <xdr:colOff>305954</xdr:colOff>
      <xdr:row>61</xdr:row>
      <xdr:rowOff>100444</xdr:rowOff>
    </xdr:from>
    <xdr:to>
      <xdr:col>44</xdr:col>
      <xdr:colOff>427182</xdr:colOff>
      <xdr:row>98</xdr:row>
      <xdr:rowOff>103908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565727</xdr:colOff>
      <xdr:row>72</xdr:row>
      <xdr:rowOff>215899</xdr:rowOff>
    </xdr:from>
    <xdr:to>
      <xdr:col>16</xdr:col>
      <xdr:colOff>1281545</xdr:colOff>
      <xdr:row>85</xdr:row>
      <xdr:rowOff>107372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abSelected="1" topLeftCell="F1" zoomScale="55" zoomScaleNormal="55" workbookViewId="0">
      <selection activeCell="Z15" sqref="Z15"/>
    </sheetView>
  </sheetViews>
  <sheetFormatPr defaultRowHeight="17" x14ac:dyDescent="0.45"/>
  <cols>
    <col min="1" max="1" width="24.75" bestFit="1" customWidth="1"/>
    <col min="2" max="4" width="8.6640625" style="1"/>
    <col min="5" max="5" width="10.25" style="1" bestFit="1" customWidth="1"/>
    <col min="6" max="6" width="8.6640625" style="1"/>
    <col min="7" max="11" width="8.08203125" style="1" bestFit="1" customWidth="1"/>
    <col min="12" max="14" width="8.6640625" style="1"/>
    <col min="15" max="15" width="8.08203125" style="1" bestFit="1" customWidth="1"/>
    <col min="16" max="16" width="8.6640625" style="1"/>
    <col min="17" max="17" width="23.08203125" style="1" customWidth="1"/>
    <col min="18" max="18" width="8.08203125" bestFit="1" customWidth="1"/>
    <col min="22" max="22" width="8.6640625" style="3"/>
    <col min="23" max="23" width="8.6640625" style="4"/>
  </cols>
  <sheetData>
    <row r="1" spans="1:25" x14ac:dyDescent="0.45">
      <c r="A1" t="s">
        <v>27</v>
      </c>
      <c r="B1" s="1" t="s">
        <v>0</v>
      </c>
      <c r="C1" s="1" t="s">
        <v>11</v>
      </c>
      <c r="R1" t="s">
        <v>14</v>
      </c>
      <c r="S1" t="s">
        <v>15</v>
      </c>
      <c r="T1" t="s">
        <v>16</v>
      </c>
      <c r="U1" t="s">
        <v>17</v>
      </c>
      <c r="V1" s="3" t="s">
        <v>53</v>
      </c>
      <c r="W1" s="4" t="s">
        <v>56</v>
      </c>
    </row>
    <row r="2" spans="1:25" x14ac:dyDescent="0.45">
      <c r="A2" t="s">
        <v>19</v>
      </c>
      <c r="B2" s="1">
        <f>2859796.75/1024</f>
        <v>2792.770263671875</v>
      </c>
      <c r="C2" s="1">
        <f>2837071/1024</f>
        <v>2770.5771484375</v>
      </c>
      <c r="D2" s="1">
        <f>2840721.25/1024</f>
        <v>2774.141845703125</v>
      </c>
      <c r="E2" s="1">
        <f>2890024/1024</f>
        <v>2822.2890625</v>
      </c>
      <c r="F2" s="1">
        <f>2827402.5/1024</f>
        <v>2761.13525390625</v>
      </c>
      <c r="G2" s="1">
        <f>2946431.75/1024</f>
        <v>2877.374755859375</v>
      </c>
      <c r="H2" s="1">
        <f>2956525.25/1024</f>
        <v>2887.231689453125</v>
      </c>
      <c r="I2" s="1">
        <f>2720464.5/1024</f>
        <v>2656.70361328125</v>
      </c>
      <c r="J2" s="1">
        <f>2798135/1024</f>
        <v>2732.5537109375</v>
      </c>
      <c r="K2" s="1">
        <f>2781790.75/1024</f>
        <v>2716.592529296875</v>
      </c>
      <c r="R2" s="1">
        <f>AVERAGE(B2:K2)</f>
        <v>2779.1369873046874</v>
      </c>
      <c r="S2" s="1">
        <f>MIN(B2:K2)-R2</f>
        <v>-122.43337402343741</v>
      </c>
      <c r="T2" s="1">
        <f>MAX(B2:K2)-R2</f>
        <v>108.09470214843759</v>
      </c>
      <c r="U2">
        <f>_xlfn.STDEV.S(B2:K2)</f>
        <v>70.614067096425075</v>
      </c>
      <c r="V2" s="3">
        <f>U2/SQRT(COUNTA(B2:P2))</f>
        <v>22.330128687265603</v>
      </c>
      <c r="W2" s="4">
        <f>V2/R2</f>
        <v>8.034914719667061E-3</v>
      </c>
    </row>
    <row r="3" spans="1:25" x14ac:dyDescent="0.45">
      <c r="A3" t="s">
        <v>55</v>
      </c>
      <c r="B3" s="1">
        <f>5006908.5/1024</f>
        <v>4889.55908203125</v>
      </c>
      <c r="C3" s="1">
        <f>5030754.25/1024</f>
        <v>4912.845947265625</v>
      </c>
      <c r="D3" s="1">
        <f>5016086.5/1024</f>
        <v>4898.52197265625</v>
      </c>
      <c r="E3" s="1">
        <f>5506211/1024</f>
        <v>5377.1591796875</v>
      </c>
      <c r="F3" s="1">
        <f>5065480.75/1024</f>
        <v>4946.758544921875</v>
      </c>
      <c r="G3" s="1">
        <f>4946839.5/1024</f>
        <v>4830.89794921875</v>
      </c>
      <c r="H3" s="1">
        <f>4794516.25/1024</f>
        <v>4682.144775390625</v>
      </c>
      <c r="I3" s="1">
        <f>5121401.25/1024</f>
        <v>5001.368408203125</v>
      </c>
      <c r="J3" s="1">
        <f>5024007/1024</f>
        <v>4906.2568359375</v>
      </c>
      <c r="K3" s="1">
        <f>5067425.5/1024</f>
        <v>4948.65771484375</v>
      </c>
      <c r="R3" s="1">
        <f>AVERAGE(B3:K3)</f>
        <v>4939.4170410156248</v>
      </c>
      <c r="S3" s="1">
        <f>MIN(B3:K3)-R3</f>
        <v>-257.27226562499982</v>
      </c>
      <c r="T3" s="1">
        <f>MAX(B3:K3)-R3</f>
        <v>437.74213867187518</v>
      </c>
      <c r="U3">
        <f>_xlfn.STDEV.S(B3:K3)</f>
        <v>176.23365060691765</v>
      </c>
      <c r="V3" s="3">
        <f>U3/SQRT(COUNTA(B3:P3))</f>
        <v>55.729973628417518</v>
      </c>
      <c r="W3" s="4">
        <f t="shared" ref="W3:W4" si="0">V3/R3</f>
        <v>1.1282702627789964E-2</v>
      </c>
    </row>
    <row r="4" spans="1:25" x14ac:dyDescent="0.45">
      <c r="A4" t="s">
        <v>18</v>
      </c>
      <c r="B4" s="1">
        <f>1022379.5/1024</f>
        <v>998.41748046875</v>
      </c>
      <c r="C4" s="1">
        <f>1048688.12/1024</f>
        <v>1024.1094921875001</v>
      </c>
      <c r="D4" s="1">
        <f>1072450.75/1024</f>
        <v>1047.315185546875</v>
      </c>
      <c r="E4" s="1">
        <f>1139858.12/1024</f>
        <v>1113.1426953125001</v>
      </c>
      <c r="F4" s="1">
        <f>1156253.12/1024</f>
        <v>1129.1534375000001</v>
      </c>
      <c r="G4" s="1">
        <f>1240551.62/1024</f>
        <v>1211.4761914062501</v>
      </c>
      <c r="H4" s="1">
        <f>1327706.25/1024</f>
        <v>1296.588134765625</v>
      </c>
      <c r="I4" s="1">
        <f>1297781.25/1024</f>
        <v>1267.364501953125</v>
      </c>
      <c r="J4" s="1">
        <f>1324377.88/1024</f>
        <v>1293.3377734374999</v>
      </c>
      <c r="K4" s="1">
        <f>1311859.88/1024</f>
        <v>1281.1131640624999</v>
      </c>
      <c r="L4" s="1">
        <f>1283344.75/1024</f>
        <v>1253.266357421875</v>
      </c>
      <c r="M4" s="1">
        <f>1254006.25/1024</f>
        <v>1224.615478515625</v>
      </c>
      <c r="N4" s="1">
        <f>1292494.38/1024</f>
        <v>1262.2015429687499</v>
      </c>
      <c r="O4" s="1">
        <f>1300495.12/1024</f>
        <v>1270.0147656250001</v>
      </c>
      <c r="P4" s="1">
        <f>1346210.88/1024</f>
        <v>1314.6590624999999</v>
      </c>
      <c r="R4" s="1">
        <f>AVERAGE(B4:P4)</f>
        <v>1199.1183509114583</v>
      </c>
      <c r="S4" s="1">
        <f>MIN(B4:K4)-R4</f>
        <v>-200.70087044270826</v>
      </c>
      <c r="T4" s="1">
        <f>MAX(B4:K4)-R4</f>
        <v>97.469783854166735</v>
      </c>
      <c r="U4">
        <f>_xlfn.STDEV.S(B4:K4)</f>
        <v>118.00005418088435</v>
      </c>
      <c r="V4" s="3">
        <f>U4/SQRT(COUNTA(B4:P4))</f>
        <v>30.467482979609194</v>
      </c>
      <c r="W4" s="4">
        <f t="shared" si="0"/>
        <v>2.540823677366846E-2</v>
      </c>
    </row>
    <row r="5" spans="1:25" x14ac:dyDescent="0.45">
      <c r="A5" t="s">
        <v>54</v>
      </c>
      <c r="B5" s="1">
        <f>1714430.5/1024</f>
        <v>1674.24853515625</v>
      </c>
      <c r="C5" s="1">
        <f>1857769.94/1024</f>
        <v>1814.2284570312499</v>
      </c>
      <c r="D5" s="1">
        <f>1832462.06/1024</f>
        <v>1789.5137304687501</v>
      </c>
      <c r="E5" s="1">
        <f>1735161.81/1024</f>
        <v>1694.4939550781251</v>
      </c>
      <c r="F5" s="1">
        <f>1784112.88/1024</f>
        <v>1742.2977343749999</v>
      </c>
      <c r="G5" s="1">
        <f>1761426.75/1024</f>
        <v>1720.143310546875</v>
      </c>
      <c r="H5" s="1">
        <f>1896234.38/1024</f>
        <v>1851.7913867187499</v>
      </c>
      <c r="I5" s="1">
        <f>1773809.19/1024</f>
        <v>1732.2355371093749</v>
      </c>
      <c r="J5" s="1">
        <f>1765205.88/1024</f>
        <v>1723.8338671874999</v>
      </c>
      <c r="K5" s="1">
        <f>1795155.75/1024</f>
        <v>1753.081787109375</v>
      </c>
      <c r="R5" s="1">
        <f>AVERAGE(B5:K5)</f>
        <v>1749.5868300781251</v>
      </c>
      <c r="S5" s="1">
        <f>MIN(B5:K5)-R5</f>
        <v>-75.338294921875104</v>
      </c>
      <c r="T5" s="1">
        <f>MAX(B5:K5)-R5</f>
        <v>102.20455664062479</v>
      </c>
      <c r="U5">
        <f>_xlfn.STDEV.S(B5:K5)</f>
        <v>54.595585102437653</v>
      </c>
      <c r="V5" s="3">
        <f>U5/SQRT(COUNTA(B5:P5))</f>
        <v>17.264639911326014</v>
      </c>
      <c r="W5" s="4">
        <f t="shared" ref="W5" si="1">V5/R5</f>
        <v>9.867838288743342E-3</v>
      </c>
    </row>
    <row r="8" spans="1:25" x14ac:dyDescent="0.45">
      <c r="A8" t="s">
        <v>4</v>
      </c>
      <c r="B8" s="1" t="s">
        <v>0</v>
      </c>
      <c r="C8" s="1" t="s">
        <v>11</v>
      </c>
    </row>
    <row r="9" spans="1:25" x14ac:dyDescent="0.45">
      <c r="A9" t="s">
        <v>1</v>
      </c>
      <c r="B9" s="1">
        <v>179.7</v>
      </c>
      <c r="C9" s="1">
        <v>195.4</v>
      </c>
      <c r="D9" s="1">
        <v>188.2</v>
      </c>
      <c r="E9" s="1">
        <v>154.30000000000001</v>
      </c>
      <c r="F9" s="1">
        <v>179.2</v>
      </c>
      <c r="G9" s="1">
        <v>188.1</v>
      </c>
      <c r="H9" s="1">
        <v>188.3</v>
      </c>
      <c r="I9" s="1">
        <v>191.2</v>
      </c>
      <c r="J9" s="1">
        <v>186.6</v>
      </c>
      <c r="K9" s="1">
        <v>190.2</v>
      </c>
      <c r="R9" s="1">
        <f>AVERAGE(B9:K9)</f>
        <v>184.11999999999998</v>
      </c>
      <c r="S9" s="1">
        <f>MIN(B9:K9)</f>
        <v>154.30000000000001</v>
      </c>
      <c r="T9" s="1">
        <f>MAX(B9:K9)</f>
        <v>195.4</v>
      </c>
      <c r="U9">
        <f>_xlfn.STDEV.S(B9:K9)</f>
        <v>11.563428941662972</v>
      </c>
      <c r="V9" s="3">
        <f t="shared" ref="V9:V12" si="2">U9/SQRT(COUNTA(B9:P9))</f>
        <v>3.6566773017165297</v>
      </c>
      <c r="W9" s="4">
        <f t="shared" ref="W9:W12" si="3">V9/R9</f>
        <v>1.9860293839433687E-2</v>
      </c>
    </row>
    <row r="10" spans="1:25" x14ac:dyDescent="0.45">
      <c r="A10" t="s">
        <v>57</v>
      </c>
      <c r="B10" s="1">
        <v>143.80000000000001</v>
      </c>
      <c r="C10" s="1">
        <v>134.6</v>
      </c>
      <c r="D10" s="1">
        <v>135.6</v>
      </c>
      <c r="E10" s="1">
        <v>135.19999999999999</v>
      </c>
      <c r="F10" s="1">
        <v>139.5</v>
      </c>
      <c r="G10" s="1">
        <v>145.80000000000001</v>
      </c>
      <c r="H10" s="1">
        <v>136</v>
      </c>
      <c r="I10" s="1">
        <v>143.4</v>
      </c>
      <c r="J10" s="1">
        <v>138.19999999999999</v>
      </c>
      <c r="K10" s="1">
        <v>133.30000000000001</v>
      </c>
      <c r="R10" s="1">
        <f>AVERAGE(B10:K10)</f>
        <v>138.54000000000002</v>
      </c>
      <c r="S10" s="1">
        <f>MIN(B10:K10)</f>
        <v>133.30000000000001</v>
      </c>
      <c r="T10" s="1">
        <f>MAX(B10:K10)</f>
        <v>145.80000000000001</v>
      </c>
      <c r="U10">
        <f>_xlfn.STDEV.S(B10:K10)</f>
        <v>4.4003030198688258</v>
      </c>
      <c r="V10" s="3">
        <f t="shared" si="2"/>
        <v>1.3914979937702643</v>
      </c>
      <c r="W10" s="4">
        <f t="shared" si="3"/>
        <v>1.0044016123648506E-2</v>
      </c>
    </row>
    <row r="11" spans="1:25" x14ac:dyDescent="0.45">
      <c r="A11" t="s">
        <v>59</v>
      </c>
      <c r="B11" s="1">
        <f>115.3+110.4</f>
        <v>225.7</v>
      </c>
      <c r="C11" s="1">
        <f>113+111</f>
        <v>224</v>
      </c>
      <c r="D11" s="1">
        <f>113.2+112.9</f>
        <v>226.10000000000002</v>
      </c>
      <c r="E11" s="1">
        <f>111.2+111</f>
        <v>222.2</v>
      </c>
      <c r="F11" s="1">
        <f>114+112.1</f>
        <v>226.1</v>
      </c>
      <c r="G11" s="1">
        <f>109.9+108.1</f>
        <v>218</v>
      </c>
      <c r="H11" s="1">
        <f>113.2+111.4</f>
        <v>224.60000000000002</v>
      </c>
      <c r="I11" s="1">
        <f>116.1+111.6</f>
        <v>227.7</v>
      </c>
      <c r="J11" s="1">
        <f>116+112.3</f>
        <v>228.3</v>
      </c>
      <c r="K11" s="1">
        <f>113.7+112.2</f>
        <v>225.9</v>
      </c>
      <c r="R11" s="1">
        <f>AVERAGE(B11:K11)</f>
        <v>224.85999999999999</v>
      </c>
      <c r="S11" s="1">
        <f>MIN(B11:K11)</f>
        <v>218</v>
      </c>
      <c r="T11" s="1">
        <f>MAX(B11:K11)</f>
        <v>228.3</v>
      </c>
      <c r="U11">
        <f>_xlfn.STDEV.S(B11:K11)</f>
        <v>2.9759032242329404</v>
      </c>
      <c r="V11" s="3">
        <f t="shared" ref="V11" si="4">U11/SQRT(COUNTA(B11:P11))</f>
        <v>0.94106322848148782</v>
      </c>
      <c r="W11" s="4">
        <f t="shared" ref="W11" si="5">V11/R11</f>
        <v>4.1851073044627228E-3</v>
      </c>
    </row>
    <row r="12" spans="1:25" x14ac:dyDescent="0.45">
      <c r="A12" t="s">
        <v>58</v>
      </c>
      <c r="B12" s="1">
        <f>111+110.2</f>
        <v>221.2</v>
      </c>
      <c r="C12" s="1">
        <f>117.5+116.3</f>
        <v>233.8</v>
      </c>
      <c r="D12" s="1">
        <f>121.1+114.3</f>
        <v>235.39999999999998</v>
      </c>
      <c r="E12" s="1">
        <f>119.2+113.2</f>
        <v>232.4</v>
      </c>
      <c r="F12" s="1">
        <f>118+114</f>
        <v>232</v>
      </c>
      <c r="G12" s="1">
        <f>117.1+112.7</f>
        <v>229.8</v>
      </c>
      <c r="H12" s="1">
        <f>119.9+113.2</f>
        <v>233.10000000000002</v>
      </c>
      <c r="I12" s="1">
        <f>118.5+114.2</f>
        <v>232.7</v>
      </c>
      <c r="J12" s="1">
        <f>118.5+114.2</f>
        <v>232.7</v>
      </c>
      <c r="K12" s="1">
        <f>119.6+110</f>
        <v>229.6</v>
      </c>
      <c r="R12" s="1">
        <f>AVERAGE(B12:K12)</f>
        <v>231.26999999999998</v>
      </c>
      <c r="S12" s="1">
        <f>MIN(B12:K12)</f>
        <v>221.2</v>
      </c>
      <c r="T12" s="1">
        <f>MAX(B12:K12)</f>
        <v>235.39999999999998</v>
      </c>
      <c r="U12">
        <f>_xlfn.STDEV.S(B12:K12)</f>
        <v>3.9308042716754841</v>
      </c>
      <c r="V12" s="3">
        <f t="shared" si="2"/>
        <v>1.2430294534813819</v>
      </c>
      <c r="W12" s="4">
        <f t="shared" si="3"/>
        <v>5.3747976541764263E-3</v>
      </c>
    </row>
    <row r="14" spans="1:25" x14ac:dyDescent="0.45">
      <c r="A14" t="s">
        <v>5</v>
      </c>
      <c r="B14" s="1" t="s">
        <v>0</v>
      </c>
      <c r="C14" s="1" t="s">
        <v>11</v>
      </c>
      <c r="D14" s="1" t="s">
        <v>7</v>
      </c>
    </row>
    <row r="15" spans="1:25" x14ac:dyDescent="0.45">
      <c r="A15" t="s">
        <v>35</v>
      </c>
      <c r="B15" s="1">
        <v>105</v>
      </c>
      <c r="C15" s="1">
        <v>102.7</v>
      </c>
      <c r="D15" s="1">
        <v>97.2</v>
      </c>
      <c r="E15" s="1">
        <v>94.6</v>
      </c>
      <c r="F15" s="1">
        <v>89.2</v>
      </c>
      <c r="G15" s="1">
        <v>90.9</v>
      </c>
      <c r="H15" s="1">
        <v>106.3</v>
      </c>
      <c r="I15" s="1">
        <v>85.9</v>
      </c>
      <c r="J15" s="1">
        <v>102.8</v>
      </c>
      <c r="K15" s="1">
        <v>100.8</v>
      </c>
      <c r="R15" s="1">
        <f>AVERAGE(B15:K15)</f>
        <v>97.539999999999992</v>
      </c>
      <c r="S15" s="1">
        <f>MIN(B15:K15)-R15</f>
        <v>-11.639999999999986</v>
      </c>
      <c r="T15" s="1">
        <f>MAX(B15:K15)-R15</f>
        <v>8.7600000000000051</v>
      </c>
      <c r="U15">
        <f>_xlfn.STDEV.S(B15:K15)</f>
        <v>7.1118367685304893</v>
      </c>
      <c r="V15" s="3">
        <f t="shared" ref="V15:V17" si="6">U15/SQRT(COUNTA(B15:P15))</f>
        <v>2.248960253588804</v>
      </c>
      <c r="W15" s="4">
        <f t="shared" ref="W15:W17" si="7">V15/R15</f>
        <v>2.3056799811244661E-2</v>
      </c>
      <c r="Y15">
        <f>R15/R10</f>
        <v>0.70405659015446787</v>
      </c>
    </row>
    <row r="16" spans="1:25" x14ac:dyDescent="0.45">
      <c r="A16" t="s">
        <v>60</v>
      </c>
      <c r="B16" s="1">
        <f>79.8+67.6</f>
        <v>147.39999999999998</v>
      </c>
      <c r="C16" s="1">
        <f>79.5+68</f>
        <v>147.5</v>
      </c>
      <c r="D16" s="1">
        <f>78.5+66.8</f>
        <v>145.30000000000001</v>
      </c>
      <c r="E16" s="1">
        <f>79.6+68</f>
        <v>147.6</v>
      </c>
      <c r="F16" s="1">
        <f>80.7+66</f>
        <v>146.69999999999999</v>
      </c>
      <c r="G16" s="1">
        <f>77+67</f>
        <v>144</v>
      </c>
      <c r="H16" s="1">
        <f>80.4+66.1</f>
        <v>146.5</v>
      </c>
      <c r="I16" s="1">
        <f>76.3+67.2</f>
        <v>143.5</v>
      </c>
      <c r="J16" s="1">
        <f>79.1+67.5</f>
        <v>146.6</v>
      </c>
      <c r="K16" s="1">
        <f>86+67.1</f>
        <v>153.1</v>
      </c>
      <c r="R16" s="1">
        <f>AVERAGE(B16:K16)</f>
        <v>146.82</v>
      </c>
      <c r="S16" s="1">
        <f>MIN(B16:K16)-R16</f>
        <v>-3.3199999999999932</v>
      </c>
      <c r="T16" s="1">
        <f>MAX(B16:K16)-R16</f>
        <v>6.2800000000000011</v>
      </c>
      <c r="U16">
        <f>_xlfn.STDEV.S(B16:K16)</f>
        <v>2.6309271707475603</v>
      </c>
      <c r="V16" s="3">
        <f t="shared" si="6"/>
        <v>0.83197222175850083</v>
      </c>
      <c r="W16" s="4">
        <f t="shared" si="7"/>
        <v>5.6666136885880729E-3</v>
      </c>
      <c r="Y16">
        <f t="shared" ref="Y16:Y17" si="8">R16/R11</f>
        <v>0.65293960686649477</v>
      </c>
    </row>
    <row r="17" spans="1:25" x14ac:dyDescent="0.45">
      <c r="A17" t="s">
        <v>36</v>
      </c>
      <c r="B17" s="1">
        <f>83.4+76.9</f>
        <v>160.30000000000001</v>
      </c>
      <c r="C17" s="1">
        <f>83.8+73.1</f>
        <v>156.89999999999998</v>
      </c>
      <c r="D17" s="1">
        <f>78.5+70.3</f>
        <v>148.80000000000001</v>
      </c>
      <c r="E17" s="1">
        <f>80.3+73.5</f>
        <v>153.80000000000001</v>
      </c>
      <c r="F17" s="1">
        <f>80.6+73.2</f>
        <v>153.80000000000001</v>
      </c>
      <c r="G17" s="1">
        <f>83.6+70.8</f>
        <v>154.39999999999998</v>
      </c>
      <c r="H17" s="1">
        <f>83.9+73.6</f>
        <v>157.5</v>
      </c>
      <c r="I17" s="1">
        <f>86.3+74.4</f>
        <v>160.69999999999999</v>
      </c>
      <c r="J17" s="1">
        <f>81.5+74.2</f>
        <v>155.69999999999999</v>
      </c>
      <c r="K17" s="1">
        <f>77.4+72.9</f>
        <v>150.30000000000001</v>
      </c>
      <c r="R17" s="1">
        <f>AVERAGE(B17:K17)</f>
        <v>155.22</v>
      </c>
      <c r="S17" s="1">
        <f>MIN(B17:K17)-R17</f>
        <v>-6.4199999999999875</v>
      </c>
      <c r="T17" s="1">
        <f>MAX(B17:K17)-R17</f>
        <v>5.4799999999999898</v>
      </c>
      <c r="U17">
        <f>_xlfn.STDEV.S(B17:K17)</f>
        <v>3.8617209750173362</v>
      </c>
      <c r="V17" s="3">
        <f t="shared" si="6"/>
        <v>1.2211833969100974</v>
      </c>
      <c r="W17" s="4">
        <f t="shared" si="7"/>
        <v>7.8674358775292965E-3</v>
      </c>
      <c r="Y17">
        <f t="shared" si="8"/>
        <v>0.67116357504215851</v>
      </c>
    </row>
    <row r="18" spans="1:25" ht="19" customHeight="1" x14ac:dyDescent="0.45">
      <c r="R18" s="1"/>
      <c r="S18" s="1"/>
      <c r="T18" s="1"/>
    </row>
    <row r="19" spans="1:25" ht="19" customHeight="1" x14ac:dyDescent="0.45">
      <c r="A19" t="s">
        <v>45</v>
      </c>
      <c r="R19" s="1"/>
      <c r="S19" s="1"/>
      <c r="T19" s="1"/>
    </row>
    <row r="20" spans="1:25" ht="19" customHeight="1" x14ac:dyDescent="0.45">
      <c r="A20" t="s">
        <v>46</v>
      </c>
      <c r="B20" s="1">
        <v>480.07501172058136</v>
      </c>
      <c r="C20" s="1">
        <v>489.48374760994261</v>
      </c>
      <c r="D20" s="1">
        <v>492.07111965401248</v>
      </c>
      <c r="E20" s="1">
        <v>457.3470299240733</v>
      </c>
      <c r="F20" s="1">
        <v>465.24307133121306</v>
      </c>
      <c r="G20" s="1">
        <v>459.39883355764914</v>
      </c>
      <c r="H20" s="1">
        <v>479.85004686035614</v>
      </c>
      <c r="I20" s="1">
        <v>439.48497854077254</v>
      </c>
      <c r="J20" s="1">
        <v>486.46080760095015</v>
      </c>
      <c r="K20" s="1">
        <v>477.61194029850742</v>
      </c>
      <c r="R20" s="1">
        <f>AVERAGE(B20:K20)</f>
        <v>472.70265870980586</v>
      </c>
      <c r="S20" s="1">
        <f>MIN(B20:K20)-R20</f>
        <v>-33.217680169033315</v>
      </c>
      <c r="T20" s="1">
        <f>MAX(B20:K20)-R20</f>
        <v>19.368460944206618</v>
      </c>
      <c r="U20">
        <f>_xlfn.STDEV.S(B20:K20)</f>
        <v>16.823969328494627</v>
      </c>
      <c r="V20" s="3">
        <f t="shared" ref="V20:V24" si="9">U20/SQRT(COUNTA(B20:P20))</f>
        <v>5.3202062362856566</v>
      </c>
      <c r="W20" s="4">
        <f t="shared" ref="W20:W24" si="10">V20/R20</f>
        <v>1.1254868442683657E-2</v>
      </c>
    </row>
    <row r="21" spans="1:25" ht="19" customHeight="1" x14ac:dyDescent="0.45">
      <c r="A21" t="s">
        <v>47</v>
      </c>
      <c r="B21" s="1">
        <v>727.01455449059279</v>
      </c>
      <c r="C21" s="1">
        <v>694.23728813559319</v>
      </c>
      <c r="D21" s="1">
        <v>684.94983277591973</v>
      </c>
      <c r="E21" s="1">
        <v>701.12975008558715</v>
      </c>
      <c r="F21" s="1">
        <v>739.61719032141559</v>
      </c>
      <c r="G21" s="1">
        <v>692.82814614343704</v>
      </c>
      <c r="H21" s="1">
        <v>702.57289879931386</v>
      </c>
      <c r="I21" s="1">
        <v>749.08558888076084</v>
      </c>
      <c r="J21" s="1">
        <v>689.09825033647371</v>
      </c>
      <c r="K21" s="1">
        <v>702.57289879931386</v>
      </c>
      <c r="R21" s="1">
        <f>AVERAGE(B21:K21)</f>
        <v>708.31063987684081</v>
      </c>
      <c r="S21" s="1">
        <f>MIN(B21:K21)-R21</f>
        <v>-23.360807100921079</v>
      </c>
      <c r="T21" s="1">
        <f>MAX(B21:K21)-R21</f>
        <v>40.774949003920028</v>
      </c>
      <c r="U21">
        <f>_xlfn.STDEV.S(B21:K21)</f>
        <v>22.26744403364631</v>
      </c>
      <c r="V21" s="3">
        <f t="shared" si="9"/>
        <v>7.0415840816649391</v>
      </c>
      <c r="W21" s="4">
        <f t="shared" si="10"/>
        <v>9.941378380097907E-3</v>
      </c>
    </row>
    <row r="22" spans="1:25" ht="19" customHeight="1" x14ac:dyDescent="0.45">
      <c r="A22" t="s">
        <v>64</v>
      </c>
      <c r="B22" s="1">
        <f>481304/1024</f>
        <v>470.0234375</v>
      </c>
      <c r="C22" s="1">
        <f>492508.59/1024</f>
        <v>480.96541992187503</v>
      </c>
      <c r="D22" s="1">
        <f>475244.44/1024</f>
        <v>464.1058984375</v>
      </c>
      <c r="E22" s="1">
        <f>502408.88/1024</f>
        <v>490.633671875</v>
      </c>
      <c r="F22" s="1">
        <f>514588.75/1024</f>
        <v>502.528076171875</v>
      </c>
      <c r="G22" s="1">
        <f>503476.03/1024</f>
        <v>491.67581054687503</v>
      </c>
      <c r="H22" s="1">
        <f>506270.12/1024</f>
        <v>494.4044140625</v>
      </c>
      <c r="I22" s="1">
        <f>494443.12/1024</f>
        <v>482.854609375</v>
      </c>
      <c r="J22" s="1">
        <f>495037.91/1024</f>
        <v>483.43545898437497</v>
      </c>
      <c r="K22" s="1">
        <f>532280.12/1024</f>
        <v>519.8048046875</v>
      </c>
      <c r="R22" s="1">
        <f>AVERAGE(B22:K22)</f>
        <v>488.04316015625011</v>
      </c>
      <c r="S22" s="1">
        <f>MIN(B22:K22)-R22</f>
        <v>-23.937261718750108</v>
      </c>
      <c r="T22" s="1">
        <f>MAX(B22:K22)-R22</f>
        <v>31.761644531249885</v>
      </c>
      <c r="U22">
        <f>_xlfn.STDEV.S(B22:K22)</f>
        <v>15.898765101306751</v>
      </c>
      <c r="V22" s="3">
        <f t="shared" si="9"/>
        <v>5.0276309704126998</v>
      </c>
      <c r="W22" s="4">
        <f t="shared" si="10"/>
        <v>1.0301611375524804E-2</v>
      </c>
    </row>
    <row r="23" spans="1:25" ht="19" customHeight="1" x14ac:dyDescent="0.45">
      <c r="A23" t="s">
        <v>65</v>
      </c>
      <c r="B23" s="1">
        <f>560866.12/1024</f>
        <v>547.7208203125</v>
      </c>
      <c r="C23" s="1">
        <f>556074.84/1024</f>
        <v>543.04183593749997</v>
      </c>
      <c r="D23" s="1">
        <f>604252.19/1024</f>
        <v>590.09002929687495</v>
      </c>
      <c r="E23" s="1">
        <f>558456.31/1024</f>
        <v>545.36749023437505</v>
      </c>
      <c r="F23" s="1">
        <f>598252.19/1024</f>
        <v>584.23065429687495</v>
      </c>
      <c r="G23" s="1">
        <f>618451.59/1024</f>
        <v>603.95663085937497</v>
      </c>
      <c r="H23" s="1">
        <f>560589.25/1024</f>
        <v>547.450439453125</v>
      </c>
      <c r="I23" s="1">
        <f>573628.06/1024</f>
        <v>560.18365234375005</v>
      </c>
      <c r="J23" s="1">
        <f>600257.44/1024</f>
        <v>586.18890624999995</v>
      </c>
      <c r="K23" s="1">
        <f>575556.88/1024</f>
        <v>562.067265625</v>
      </c>
      <c r="R23" s="1">
        <f>AVERAGE(B23:K23)</f>
        <v>567.02977246093747</v>
      </c>
      <c r="S23" s="1">
        <f>MIN(B23:K23)-R23</f>
        <v>-23.987936523437497</v>
      </c>
      <c r="T23" s="1">
        <f>MAX(B23:K23)-R23</f>
        <v>36.926858398437503</v>
      </c>
      <c r="U23">
        <f>_xlfn.STDEV.S(B23:K23)</f>
        <v>22.18775532878837</v>
      </c>
      <c r="V23" s="3">
        <f t="shared" si="9"/>
        <v>7.0163843005509374</v>
      </c>
      <c r="W23" s="4">
        <f t="shared" si="10"/>
        <v>1.2373925746613763E-2</v>
      </c>
    </row>
    <row r="24" spans="1:25" x14ac:dyDescent="0.45">
      <c r="A24" t="s">
        <v>66</v>
      </c>
      <c r="B24" s="1">
        <f>762421.91/1024</f>
        <v>744.55264648437503</v>
      </c>
      <c r="C24" s="1">
        <f>716473.88/1024</f>
        <v>699.6815234375</v>
      </c>
      <c r="D24" s="1">
        <f>713678.28/1024</f>
        <v>696.95144531250003</v>
      </c>
      <c r="E24" s="1">
        <f>720808.78/1024</f>
        <v>703.91482421875003</v>
      </c>
      <c r="F24" s="1">
        <f>764101.22/1024</f>
        <v>746.19259765624997</v>
      </c>
      <c r="G24" s="1">
        <f>785033.81/1024</f>
        <v>766.63458007812505</v>
      </c>
      <c r="H24" s="1">
        <f>787244.97/1024</f>
        <v>768.79391601562497</v>
      </c>
      <c r="I24" s="1">
        <f>775313.62/1024</f>
        <v>757.14220703125</v>
      </c>
      <c r="J24" s="1">
        <f>792274.06/1024</f>
        <v>773.70513671875005</v>
      </c>
      <c r="K24" s="1">
        <f>784920.44/1024</f>
        <v>766.52386718749995</v>
      </c>
      <c r="R24" s="1">
        <f>AVERAGE(B24:K24)</f>
        <v>742.40927441406257</v>
      </c>
      <c r="S24" s="1">
        <f>MIN(B24:K24)-R24</f>
        <v>-45.457829101562538</v>
      </c>
      <c r="T24" s="1">
        <f>MAX(B24:K24)-R24</f>
        <v>31.295862304687489</v>
      </c>
      <c r="U24">
        <f>_xlfn.STDEV.S(B24:K24)</f>
        <v>30.648226044464803</v>
      </c>
      <c r="V24" s="3">
        <f t="shared" si="9"/>
        <v>9.6918200544201731</v>
      </c>
      <c r="W24" s="4">
        <f t="shared" si="10"/>
        <v>1.3054551429289893E-2</v>
      </c>
    </row>
    <row r="26" spans="1:25" x14ac:dyDescent="0.45">
      <c r="A26" t="s">
        <v>10</v>
      </c>
      <c r="B26" s="1" t="s">
        <v>8</v>
      </c>
      <c r="C26" s="1" t="s">
        <v>11</v>
      </c>
      <c r="D26" s="1" t="s">
        <v>9</v>
      </c>
    </row>
    <row r="27" spans="1:25" x14ac:dyDescent="0.45">
      <c r="A27" t="s">
        <v>25</v>
      </c>
      <c r="B27" s="1">
        <v>238.19492905326817</v>
      </c>
      <c r="C27" s="1">
        <v>246.68754516983861</v>
      </c>
      <c r="D27" s="1">
        <v>232.46311010215663</v>
      </c>
      <c r="E27" s="1">
        <v>254.53641561024114</v>
      </c>
      <c r="F27" s="1">
        <v>246.27224627224626</v>
      </c>
      <c r="G27" s="1">
        <v>237.47680890538032</v>
      </c>
      <c r="H27" s="1">
        <v>221.40540540540542</v>
      </c>
      <c r="I27" s="1">
        <v>238.13953488372093</v>
      </c>
      <c r="J27" s="1">
        <v>250.24437927663737</v>
      </c>
      <c r="K27" s="1">
        <v>234.2177493138152</v>
      </c>
      <c r="R27" s="1">
        <f>AVERAGE(B27:K27)</f>
        <v>239.96381239927101</v>
      </c>
      <c r="S27" s="1">
        <f>MIN(B27:K27)-R27</f>
        <v>-18.558406993865589</v>
      </c>
      <c r="T27" s="1">
        <f>MAX(B27:K27)-R27</f>
        <v>14.572603210970129</v>
      </c>
      <c r="U27">
        <f>_xlfn.STDEV.S(B27:K27)</f>
        <v>9.7147660186277012</v>
      </c>
      <c r="V27" s="3">
        <f t="shared" ref="V27:V31" si="11">U27/SQRT(COUNTA(B27:P27))</f>
        <v>3.0720787554469289</v>
      </c>
      <c r="W27" s="4">
        <f t="shared" ref="W27:W31" si="12">V27/R27</f>
        <v>1.2802258493607187E-2</v>
      </c>
    </row>
    <row r="28" spans="1:25" x14ac:dyDescent="0.45">
      <c r="A28" t="s">
        <v>26</v>
      </c>
      <c r="B28" s="1">
        <v>491.62011173184356</v>
      </c>
      <c r="C28" s="1">
        <v>472.78673207194583</v>
      </c>
      <c r="D28" s="1">
        <v>470.36950964443412</v>
      </c>
      <c r="E28" s="1">
        <v>470.26022304832713</v>
      </c>
      <c r="F28" s="1">
        <v>480.53181386514723</v>
      </c>
      <c r="G28" s="1">
        <v>468.08510638297872</v>
      </c>
      <c r="H28" s="1">
        <v>465.28735632183913</v>
      </c>
      <c r="I28" s="1">
        <v>471.46517586769158</v>
      </c>
      <c r="J28" s="1">
        <v>461.99497831545307</v>
      </c>
      <c r="K28" s="1">
        <v>465.71560055223193</v>
      </c>
      <c r="R28" s="1">
        <f>AVERAGE(B28:K28)</f>
        <v>471.81166078018924</v>
      </c>
      <c r="S28" s="1">
        <f>MIN(B28:K28)-R28</f>
        <v>-9.816682464736175</v>
      </c>
      <c r="T28" s="1">
        <f>MAX(B28:K28)-R28</f>
        <v>19.808450951654322</v>
      </c>
      <c r="U28">
        <f>_xlfn.STDEV.S(B28:K28)</f>
        <v>8.589116724339501</v>
      </c>
      <c r="V28" s="3">
        <f t="shared" si="11"/>
        <v>2.7161171937957409</v>
      </c>
      <c r="W28" s="4">
        <f t="shared" si="12"/>
        <v>5.7567826732055774E-3</v>
      </c>
    </row>
    <row r="29" spans="1:25" x14ac:dyDescent="0.45">
      <c r="A29" t="s">
        <v>61</v>
      </c>
      <c r="B29" s="1">
        <f>291666.5/1024</f>
        <v>284.83056640625</v>
      </c>
      <c r="C29" s="1">
        <f>305243.19/1024</f>
        <v>298.089052734375</v>
      </c>
      <c r="D29" s="1">
        <f>301502.16/1024</f>
        <v>294.43570312499997</v>
      </c>
      <c r="E29" s="1">
        <f>236554.23/1024</f>
        <v>231.00999023437501</v>
      </c>
      <c r="F29" s="1">
        <f>237652.75/1024</f>
        <v>232.082763671875</v>
      </c>
      <c r="G29" s="1">
        <f>229352.36/1024</f>
        <v>223.97691406249999</v>
      </c>
      <c r="H29" s="1">
        <f>247448.02/1024</f>
        <v>241.64845703124999</v>
      </c>
      <c r="I29" s="1">
        <f>260884.33/1024</f>
        <v>254.76985351562499</v>
      </c>
      <c r="J29" s="1">
        <f>234833.2/1024</f>
        <v>229.32929687500001</v>
      </c>
      <c r="K29" s="1">
        <f>253416.16/1024</f>
        <v>247.47671875</v>
      </c>
      <c r="R29" s="1">
        <f>AVERAGE(B29:K29)</f>
        <v>253.76493164062504</v>
      </c>
      <c r="S29" s="1">
        <f>MIN(B29:K29)-R29</f>
        <v>-29.78801757812505</v>
      </c>
      <c r="T29" s="1">
        <f>MAX(B29:K29)-R29</f>
        <v>44.324121093749966</v>
      </c>
      <c r="U29">
        <f>_xlfn.STDEV.S(B29:K29)</f>
        <v>28.369591461852433</v>
      </c>
      <c r="V29" s="3">
        <f t="shared" si="11"/>
        <v>8.9712525307919542</v>
      </c>
      <c r="W29" s="4">
        <f t="shared" si="12"/>
        <v>3.5352609490963069E-2</v>
      </c>
      <c r="Y29">
        <f>R29/R22</f>
        <v>0.51996411866397341</v>
      </c>
    </row>
    <row r="30" spans="1:25" x14ac:dyDescent="0.45">
      <c r="A30" t="s">
        <v>62</v>
      </c>
      <c r="B30" s="1">
        <f>347025.44/1024</f>
        <v>338.89203125</v>
      </c>
      <c r="C30" s="1">
        <f>337923.97/1024</f>
        <v>330.00387695312497</v>
      </c>
      <c r="D30" s="1">
        <f>291175/1024</f>
        <v>284.3505859375</v>
      </c>
      <c r="E30" s="1">
        <f>256119.3/1024</f>
        <v>250.11650390624999</v>
      </c>
      <c r="F30" s="1">
        <f>267818.52/1024</f>
        <v>261.54152343750002</v>
      </c>
      <c r="G30" s="1">
        <f>263649.55/1024</f>
        <v>257.47026367187499</v>
      </c>
      <c r="H30" s="1">
        <f>277159.05/1024</f>
        <v>270.66313476562499</v>
      </c>
      <c r="I30" s="1">
        <f>266655.03/1024</f>
        <v>260.40530273437503</v>
      </c>
      <c r="J30" s="1">
        <f>269848.67/1024</f>
        <v>263.52409179687498</v>
      </c>
      <c r="K30" s="1">
        <f>267816.77/1024</f>
        <v>261.53981445312502</v>
      </c>
      <c r="R30" s="1">
        <f>AVERAGE(B30:K30)</f>
        <v>277.850712890625</v>
      </c>
      <c r="S30" s="1">
        <f>MIN(B30:K30)-R30</f>
        <v>-27.734208984375016</v>
      </c>
      <c r="T30" s="1">
        <f>MAX(B30:K30)-R30</f>
        <v>61.041318359374998</v>
      </c>
      <c r="U30">
        <f>_xlfn.STDEV.S(B30:K30)</f>
        <v>31.209121230812855</v>
      </c>
      <c r="V30" s="3">
        <f t="shared" si="11"/>
        <v>9.8691906861686167</v>
      </c>
      <c r="W30" s="4">
        <f t="shared" si="12"/>
        <v>3.5519760174427158E-2</v>
      </c>
      <c r="Y30">
        <f t="shared" ref="Y30:Y31" si="13">R30/R23</f>
        <v>0.49001080081692899</v>
      </c>
    </row>
    <row r="31" spans="1:25" x14ac:dyDescent="0.45">
      <c r="A31" t="s">
        <v>63</v>
      </c>
      <c r="B31" s="1">
        <f>602214.56/1024</f>
        <v>588.10015625000005</v>
      </c>
      <c r="C31" s="1">
        <f>498813.34/1024</f>
        <v>487.12240234375003</v>
      </c>
      <c r="D31" s="1">
        <f>488204.2/1024</f>
        <v>476.76191406250001</v>
      </c>
      <c r="E31" s="1">
        <f>471777.22/1024</f>
        <v>460.71994140624997</v>
      </c>
      <c r="F31" s="1">
        <f>464017.41/1024</f>
        <v>453.14200195312497</v>
      </c>
      <c r="G31" s="1">
        <f>439446.95/1024</f>
        <v>429.14741210937501</v>
      </c>
      <c r="H31" s="1">
        <f>481777.84/1024</f>
        <v>470.48617187500003</v>
      </c>
      <c r="I31" s="1">
        <f>472594.97/1024</f>
        <v>461.51852539062497</v>
      </c>
      <c r="J31" s="1">
        <f>485016.8/1024</f>
        <v>473.64921874999999</v>
      </c>
      <c r="K31" s="1">
        <f>479732.86/1024</f>
        <v>468.48912109374999</v>
      </c>
      <c r="R31" s="1">
        <f>AVERAGE(B31:K31)</f>
        <v>476.91368652343755</v>
      </c>
      <c r="S31" s="1">
        <f>MIN(B31:K31)-R31</f>
        <v>-47.766274414062536</v>
      </c>
      <c r="T31" s="1">
        <f>MAX(B31:K31)-R31</f>
        <v>111.18646972656251</v>
      </c>
      <c r="U31">
        <f>_xlfn.STDEV.S(B31:K31)</f>
        <v>42.078726859239083</v>
      </c>
      <c r="V31" s="3">
        <f t="shared" si="11"/>
        <v>13.306461791529889</v>
      </c>
      <c r="W31" s="4">
        <f t="shared" si="12"/>
        <v>2.7901195053826482E-2</v>
      </c>
      <c r="Y31">
        <f t="shared" si="13"/>
        <v>0.64238648809962107</v>
      </c>
    </row>
    <row r="34" spans="1:25" x14ac:dyDescent="0.45">
      <c r="A34" t="s">
        <v>3</v>
      </c>
      <c r="B34" s="1" t="s">
        <v>0</v>
      </c>
      <c r="C34" s="1" t="s">
        <v>11</v>
      </c>
    </row>
    <row r="35" spans="1:25" x14ac:dyDescent="0.45">
      <c r="A35" t="s">
        <v>20</v>
      </c>
      <c r="B35" s="1">
        <v>682.7</v>
      </c>
      <c r="C35" s="1">
        <v>682.7</v>
      </c>
      <c r="D35" s="1">
        <v>1024</v>
      </c>
      <c r="E35" s="1">
        <v>682.7</v>
      </c>
      <c r="F35" s="1">
        <v>1024</v>
      </c>
      <c r="G35" s="1">
        <v>682.7</v>
      </c>
      <c r="H35" s="1">
        <v>682.7</v>
      </c>
      <c r="I35" s="1">
        <v>1024</v>
      </c>
      <c r="J35" s="1">
        <v>682.7</v>
      </c>
      <c r="K35" s="1">
        <v>682.7</v>
      </c>
      <c r="R35" s="1">
        <f>AVERAGE(B35:K35)</f>
        <v>785.08999999999992</v>
      </c>
      <c r="S35" s="1">
        <f>MIN(B35:K35)-R35</f>
        <v>-102.38999999999987</v>
      </c>
      <c r="T35" s="1">
        <f>MAX(B35:K35)-R35</f>
        <v>238.91000000000008</v>
      </c>
      <c r="U35">
        <f>_xlfn.STDEV.S(B35:K35)</f>
        <v>164.86356278248218</v>
      </c>
      <c r="V35" s="3">
        <f t="shared" ref="V35:V36" si="14">U35/SQRT(COUNTA(B35:P35))</f>
        <v>52.134436156281041</v>
      </c>
      <c r="W35" s="4">
        <f t="shared" ref="W35:W36" si="15">V35/R35</f>
        <v>6.6405681076412953E-2</v>
      </c>
    </row>
    <row r="36" spans="1:25" x14ac:dyDescent="0.45">
      <c r="A36" t="s">
        <v>21</v>
      </c>
      <c r="B36" s="1">
        <v>1024</v>
      </c>
      <c r="C36" s="1">
        <v>1024</v>
      </c>
      <c r="D36" s="1">
        <f>512+512</f>
        <v>1024</v>
      </c>
      <c r="E36" s="1">
        <f>512+409.6</f>
        <v>921.6</v>
      </c>
      <c r="F36" s="1">
        <f>512+409.6</f>
        <v>921.6</v>
      </c>
      <c r="G36" s="1">
        <f>512+512</f>
        <v>1024</v>
      </c>
      <c r="H36" s="1">
        <f>512+512</f>
        <v>1024</v>
      </c>
      <c r="I36" s="1">
        <f>512+409.6</f>
        <v>921.6</v>
      </c>
      <c r="J36" s="1">
        <f>512+409.6</f>
        <v>921.6</v>
      </c>
      <c r="K36" s="1">
        <f>512+512</f>
        <v>1024</v>
      </c>
      <c r="R36" s="1">
        <f>AVERAGE(B36:K36)</f>
        <v>983.04</v>
      </c>
      <c r="S36" s="1">
        <f>MIN(B36:K36)-R36</f>
        <v>-61.439999999999941</v>
      </c>
      <c r="T36" s="1">
        <f>MAX(B36:K36)-R36</f>
        <v>40.960000000000036</v>
      </c>
      <c r="U36">
        <f>_xlfn.STDEV.S(B36:K36)</f>
        <v>52.879132620218584</v>
      </c>
      <c r="V36" s="3">
        <f t="shared" si="14"/>
        <v>16.721849977399824</v>
      </c>
      <c r="W36" s="4">
        <f t="shared" si="15"/>
        <v>1.7010345435994289E-2</v>
      </c>
    </row>
    <row r="37" spans="1:25" x14ac:dyDescent="0.45">
      <c r="R37" s="1"/>
      <c r="S37" s="1"/>
      <c r="T37" s="1"/>
    </row>
    <row r="39" spans="1:25" x14ac:dyDescent="0.45">
      <c r="A39" t="s">
        <v>6</v>
      </c>
      <c r="B39" s="1" t="s">
        <v>0</v>
      </c>
      <c r="C39" s="1" t="s">
        <v>11</v>
      </c>
      <c r="D39" s="1" t="s">
        <v>7</v>
      </c>
    </row>
    <row r="40" spans="1:25" x14ac:dyDescent="0.45">
      <c r="A40" t="s">
        <v>23</v>
      </c>
      <c r="B40" s="1">
        <v>227.6</v>
      </c>
      <c r="C40" s="1">
        <v>292.60000000000002</v>
      </c>
      <c r="D40" s="1">
        <v>292.60000000000002</v>
      </c>
      <c r="E40" s="1">
        <v>256</v>
      </c>
      <c r="F40" s="1">
        <v>256</v>
      </c>
      <c r="G40" s="1">
        <v>292.60000000000002</v>
      </c>
      <c r="H40" s="1">
        <v>292.60000000000002</v>
      </c>
      <c r="I40" s="1">
        <v>292.60000000000002</v>
      </c>
      <c r="J40" s="1">
        <v>292.60000000000002</v>
      </c>
      <c r="K40" s="1">
        <v>256</v>
      </c>
      <c r="R40" s="1">
        <f>AVERAGE(B40:K40)</f>
        <v>275.12</v>
      </c>
      <c r="S40" s="1">
        <f>MIN(B40:K40)-R40</f>
        <v>-47.52000000000001</v>
      </c>
      <c r="T40" s="1">
        <f>MAX(B40:K40)-R40</f>
        <v>17.480000000000018</v>
      </c>
      <c r="U40">
        <f>_xlfn.STDEV.S(B40:K40)</f>
        <v>24.009664720691138</v>
      </c>
      <c r="V40" s="3">
        <f t="shared" ref="V40:V44" si="16">U40/SQRT(COUNTA(B40:P40))</f>
        <v>7.5925226374374448</v>
      </c>
      <c r="W40" s="4">
        <f t="shared" ref="W40:W44" si="17">V40/R40</f>
        <v>2.759713084267754E-2</v>
      </c>
      <c r="Y40">
        <f>R40/R35</f>
        <v>0.35043116075863917</v>
      </c>
    </row>
    <row r="41" spans="1:25" x14ac:dyDescent="0.45">
      <c r="A41" t="s">
        <v>29</v>
      </c>
      <c r="B41" s="1">
        <f>256+204.8</f>
        <v>460.8</v>
      </c>
      <c r="C41" s="1">
        <f>292.6+256</f>
        <v>548.6</v>
      </c>
      <c r="D41" s="1">
        <f>292.6+292.6</f>
        <v>585.20000000000005</v>
      </c>
      <c r="E41" s="1">
        <f>256+256</f>
        <v>512</v>
      </c>
      <c r="F41" s="1">
        <f>292.6+292.6</f>
        <v>585.20000000000005</v>
      </c>
      <c r="G41" s="1">
        <f>256+256</f>
        <v>512</v>
      </c>
      <c r="H41" s="1">
        <f>292.6+256</f>
        <v>548.6</v>
      </c>
      <c r="I41" s="1">
        <f>256+256</f>
        <v>512</v>
      </c>
      <c r="J41" s="1">
        <f>256+256</f>
        <v>512</v>
      </c>
      <c r="K41" s="1">
        <f>292.6+292.6</f>
        <v>585.20000000000005</v>
      </c>
      <c r="R41" s="1">
        <f>AVERAGE(B41:K41)</f>
        <v>536.16</v>
      </c>
      <c r="S41" s="1">
        <f>MIN(B41:K41)-R41</f>
        <v>-75.359999999999957</v>
      </c>
      <c r="T41" s="1">
        <f>MAX(B41:K41)-R41</f>
        <v>49.040000000000077</v>
      </c>
      <c r="U41">
        <f>_xlfn.STDEV.S(B41:K41)</f>
        <v>41.550804244121856</v>
      </c>
      <c r="V41" s="3">
        <f t="shared" si="16"/>
        <v>13.139518002321601</v>
      </c>
      <c r="W41" s="4">
        <f t="shared" si="17"/>
        <v>2.4506710687708152E-2</v>
      </c>
    </row>
    <row r="42" spans="1:25" x14ac:dyDescent="0.45">
      <c r="A42" t="s">
        <v>30</v>
      </c>
      <c r="B42" s="1">
        <f>256+256</f>
        <v>512</v>
      </c>
      <c r="C42" s="1">
        <f>256+256</f>
        <v>512</v>
      </c>
      <c r="D42" s="1">
        <f>256+256</f>
        <v>512</v>
      </c>
      <c r="E42" s="1">
        <f>341.3+341.3</f>
        <v>682.6</v>
      </c>
      <c r="F42" s="1">
        <f>256+256</f>
        <v>512</v>
      </c>
      <c r="G42" s="1">
        <f>256+256</f>
        <v>512</v>
      </c>
      <c r="H42" s="1">
        <f>256+256</f>
        <v>512</v>
      </c>
      <c r="I42" s="1">
        <f>256+256</f>
        <v>512</v>
      </c>
      <c r="J42" s="1">
        <f>341.3+256</f>
        <v>597.29999999999995</v>
      </c>
      <c r="K42" s="1">
        <f>341.3+341.3</f>
        <v>682.6</v>
      </c>
      <c r="R42" s="1">
        <f>AVERAGE(B42:K42)</f>
        <v>554.65000000000009</v>
      </c>
      <c r="S42" s="1">
        <f>MIN(B42:K42)-R42</f>
        <v>-42.650000000000091</v>
      </c>
      <c r="T42" s="1">
        <f>MAX(B42:K42)-R42</f>
        <v>127.94999999999993</v>
      </c>
      <c r="U42">
        <f>_xlfn.STDEV.S(B42:K42)</f>
        <v>72.491060751576327</v>
      </c>
      <c r="V42" s="3">
        <f t="shared" si="16"/>
        <v>22.923686197661862</v>
      </c>
      <c r="W42" s="4">
        <f t="shared" si="17"/>
        <v>4.1330003060780419E-2</v>
      </c>
      <c r="Y42">
        <f>R42/R36</f>
        <v>0.56421915690104174</v>
      </c>
    </row>
    <row r="43" spans="1:25" x14ac:dyDescent="0.45">
      <c r="A43" t="s">
        <v>24</v>
      </c>
      <c r="B43" s="1">
        <v>58.504256413186312</v>
      </c>
      <c r="C43" s="1">
        <v>49.91712976503851</v>
      </c>
      <c r="D43" s="1">
        <v>56.540224173154435</v>
      </c>
      <c r="E43" s="1">
        <v>70.496712677704735</v>
      </c>
      <c r="F43" s="1">
        <v>60.620412029363017</v>
      </c>
      <c r="G43" s="1">
        <v>65.947512477861864</v>
      </c>
      <c r="H43" s="1">
        <v>57.241880485214381</v>
      </c>
      <c r="I43" s="1">
        <v>67.653276955602536</v>
      </c>
      <c r="J43" s="1">
        <v>46.181252395877962</v>
      </c>
      <c r="K43" s="1">
        <v>56.626206210081008</v>
      </c>
      <c r="R43" s="1">
        <f>AVERAGE(B43:K43)</f>
        <v>58.972886358308486</v>
      </c>
      <c r="S43" s="1">
        <f>MIN(B43:K43)-R43</f>
        <v>-12.791633962430524</v>
      </c>
      <c r="T43" s="1">
        <f>MAX(B43:K43)-R43</f>
        <v>11.52382631939625</v>
      </c>
      <c r="U43">
        <f>_xlfn.STDEV.S(B43:K43)</f>
        <v>7.5995678210028919</v>
      </c>
      <c r="V43" s="3">
        <f t="shared" si="16"/>
        <v>2.4031943547291932</v>
      </c>
      <c r="W43" s="4">
        <f t="shared" si="17"/>
        <v>4.075083488584607E-2</v>
      </c>
      <c r="Y43">
        <f>R43/R40</f>
        <v>0.21435332348905381</v>
      </c>
    </row>
    <row r="44" spans="1:25" x14ac:dyDescent="0.45">
      <c r="A44" t="s">
        <v>41</v>
      </c>
      <c r="B44" s="1">
        <v>256</v>
      </c>
      <c r="C44" s="1">
        <v>170.7</v>
      </c>
      <c r="D44" s="1">
        <v>204.8</v>
      </c>
      <c r="E44" s="1">
        <v>204.8</v>
      </c>
      <c r="F44" s="1">
        <v>204.8</v>
      </c>
      <c r="G44" s="1">
        <v>204.8</v>
      </c>
      <c r="H44" s="1">
        <v>204.8</v>
      </c>
      <c r="I44" s="1">
        <v>204.8</v>
      </c>
      <c r="J44" s="1">
        <v>256</v>
      </c>
      <c r="K44" s="1">
        <v>204.8</v>
      </c>
      <c r="R44" s="1">
        <f>AVERAGE(B44:K44)</f>
        <v>211.62999999999997</v>
      </c>
      <c r="S44" s="1">
        <f>MIN(B44:K44)-R44</f>
        <v>-40.929999999999978</v>
      </c>
      <c r="T44" s="1">
        <f>MAX(B44:K44)-R44</f>
        <v>44.370000000000033</v>
      </c>
      <c r="U44">
        <f>_xlfn.STDEV.S(B44:K44)</f>
        <v>25.688737264066809</v>
      </c>
      <c r="V44" s="3">
        <f t="shared" si="16"/>
        <v>8.123491996809344</v>
      </c>
      <c r="W44" s="4">
        <f t="shared" si="17"/>
        <v>3.8385351778147454E-2</v>
      </c>
    </row>
    <row r="45" spans="1:25" x14ac:dyDescent="0.45">
      <c r="R45" s="1"/>
      <c r="S45" s="1"/>
      <c r="T45" s="1"/>
    </row>
    <row r="46" spans="1:25" x14ac:dyDescent="0.45">
      <c r="R46" s="1"/>
      <c r="S46" s="1"/>
      <c r="T46" s="1"/>
    </row>
    <row r="47" spans="1:25" x14ac:dyDescent="0.45">
      <c r="A47" t="s">
        <v>43</v>
      </c>
      <c r="B47" s="1" t="s">
        <v>51</v>
      </c>
      <c r="C47" s="1" t="s">
        <v>49</v>
      </c>
      <c r="D47" s="1" t="s">
        <v>50</v>
      </c>
      <c r="R47" s="1"/>
      <c r="S47" s="1"/>
      <c r="T47" s="1"/>
    </row>
    <row r="48" spans="1:25" x14ac:dyDescent="0.45">
      <c r="A48" t="s">
        <v>48</v>
      </c>
      <c r="B48" s="1">
        <v>409.6</v>
      </c>
      <c r="C48" s="1">
        <v>409.6</v>
      </c>
      <c r="D48" s="1">
        <v>409.6</v>
      </c>
      <c r="E48" s="1">
        <v>409.6</v>
      </c>
      <c r="F48" s="1">
        <v>409.6</v>
      </c>
      <c r="G48" s="1">
        <v>409.6</v>
      </c>
      <c r="H48" s="1">
        <v>409.6</v>
      </c>
      <c r="I48" s="1">
        <v>341.3</v>
      </c>
      <c r="J48" s="1">
        <v>409.6</v>
      </c>
      <c r="K48" s="1">
        <v>409.6</v>
      </c>
      <c r="R48" s="1">
        <f>AVERAGE(B48:K48)</f>
        <v>402.77</v>
      </c>
      <c r="S48" s="1">
        <f>MIN(B48:K48)-R48</f>
        <v>-61.46999999999997</v>
      </c>
      <c r="T48" s="1">
        <f>MAX(B48:K48)-R48</f>
        <v>6.8300000000000409</v>
      </c>
      <c r="U48">
        <f>_xlfn.STDEV.S(B48:K48)</f>
        <v>21.598356418950033</v>
      </c>
      <c r="V48" s="3">
        <f t="shared" ref="V48:V49" si="18">U48/SQRT(COUNTA(B48:P48))</f>
        <v>6.83</v>
      </c>
      <c r="W48" s="4">
        <f t="shared" ref="W48:W49" si="19">V48/R48</f>
        <v>1.6957568835812002E-2</v>
      </c>
    </row>
    <row r="49" spans="1:25" x14ac:dyDescent="0.45">
      <c r="A49" t="s">
        <v>44</v>
      </c>
      <c r="B49" s="1">
        <v>256</v>
      </c>
      <c r="C49" s="1">
        <f>146.3+146.3</f>
        <v>292.60000000000002</v>
      </c>
      <c r="D49" s="1">
        <f>146.3+146.3</f>
        <v>292.60000000000002</v>
      </c>
      <c r="E49" s="1">
        <f>204.8+204.8</f>
        <v>409.6</v>
      </c>
      <c r="F49" s="1">
        <f>204.8+204.8</f>
        <v>409.6</v>
      </c>
      <c r="G49" s="1">
        <f>146.3+146.3</f>
        <v>292.60000000000002</v>
      </c>
      <c r="H49" s="1">
        <f>146.3+146.3</f>
        <v>292.60000000000002</v>
      </c>
      <c r="I49" s="1">
        <f>146.3+146.3</f>
        <v>292.60000000000002</v>
      </c>
      <c r="J49" s="1">
        <f>204.8+204.8</f>
        <v>409.6</v>
      </c>
      <c r="K49" s="1">
        <f>204.8+204.8</f>
        <v>409.6</v>
      </c>
      <c r="R49" s="1">
        <f>AVERAGE(B49:K49)</f>
        <v>335.73999999999995</v>
      </c>
      <c r="S49" s="1">
        <f>MIN(B49:K49)-R49</f>
        <v>-79.739999999999952</v>
      </c>
      <c r="T49" s="1">
        <f>MAX(B49:K49)-R49</f>
        <v>73.86000000000007</v>
      </c>
      <c r="U49">
        <f>_xlfn.STDEV.S(B49:K49)</f>
        <v>64.536780210977696</v>
      </c>
      <c r="V49" s="3">
        <f t="shared" si="18"/>
        <v>20.408321832037149</v>
      </c>
      <c r="W49" s="4">
        <f t="shared" si="19"/>
        <v>6.0786089926839676E-2</v>
      </c>
    </row>
    <row r="51" spans="1:25" x14ac:dyDescent="0.45">
      <c r="A51" t="s">
        <v>12</v>
      </c>
      <c r="B51" s="1" t="s">
        <v>2</v>
      </c>
      <c r="C51" s="1" t="s">
        <v>11</v>
      </c>
    </row>
    <row r="52" spans="1:25" x14ac:dyDescent="0.45">
      <c r="A52" t="s">
        <v>31</v>
      </c>
      <c r="B52" s="1">
        <v>204.8</v>
      </c>
      <c r="C52" s="1">
        <v>256</v>
      </c>
      <c r="D52" s="1">
        <v>170.7</v>
      </c>
      <c r="E52" s="1">
        <v>256</v>
      </c>
      <c r="F52" s="1">
        <v>204.8</v>
      </c>
      <c r="G52" s="1">
        <v>204.8</v>
      </c>
      <c r="H52" s="1">
        <v>170.7</v>
      </c>
      <c r="I52" s="1">
        <v>256</v>
      </c>
      <c r="J52" s="1">
        <v>204.8</v>
      </c>
      <c r="K52" s="1">
        <v>256</v>
      </c>
      <c r="R52" s="1">
        <f>AVERAGE(B52:K52)</f>
        <v>218.45999999999998</v>
      </c>
      <c r="S52" s="1">
        <f>MIN(B52:K52)-R52</f>
        <v>-47.759999999999991</v>
      </c>
      <c r="T52" s="1">
        <f>MAX(B52:K52)-R52</f>
        <v>37.54000000000002</v>
      </c>
      <c r="U52">
        <f>_xlfn.STDEV.S(B52:K52)</f>
        <v>34.873460141233977</v>
      </c>
      <c r="V52" s="3">
        <f t="shared" ref="V52:V55" si="20">U52/SQRT(COUNTA(B52:P52))</f>
        <v>11.027956393739661</v>
      </c>
      <c r="W52" s="4">
        <f t="shared" ref="W52:W55" si="21">V52/R52</f>
        <v>5.0480437580058879E-2</v>
      </c>
      <c r="Y52">
        <f>R52/R48</f>
        <v>0.54239392208952997</v>
      </c>
    </row>
    <row r="53" spans="1:25" x14ac:dyDescent="0.45">
      <c r="A53" t="s">
        <v>32</v>
      </c>
      <c r="B53" s="1">
        <f>170.7+170.7</f>
        <v>341.4</v>
      </c>
      <c r="C53" s="1">
        <f>146.3+146.3</f>
        <v>292.60000000000002</v>
      </c>
      <c r="D53" s="1">
        <f>170.7+170.7</f>
        <v>341.4</v>
      </c>
      <c r="E53" s="1">
        <f>204.8+170.7</f>
        <v>375.5</v>
      </c>
      <c r="F53" s="2">
        <f>204.8+204.8</f>
        <v>409.6</v>
      </c>
      <c r="G53" s="1">
        <f>170.7+146.3</f>
        <v>317</v>
      </c>
      <c r="H53" s="1">
        <f>146.3+146.3</f>
        <v>292.60000000000002</v>
      </c>
      <c r="I53" s="1">
        <f>146.3+146.3</f>
        <v>292.60000000000002</v>
      </c>
      <c r="J53" s="1">
        <f>128+128</f>
        <v>256</v>
      </c>
      <c r="K53" s="2">
        <f>256+204.8</f>
        <v>460.8</v>
      </c>
      <c r="L53" s="2"/>
      <c r="M53" s="2"/>
      <c r="N53" s="2"/>
      <c r="O53" s="2"/>
      <c r="P53" s="2"/>
      <c r="Q53" s="2"/>
      <c r="R53" s="1">
        <f>AVERAGE(B53:K53)</f>
        <v>337.95</v>
      </c>
      <c r="S53" s="1">
        <f>MIN(B53:K53)-R53</f>
        <v>-81.949999999999989</v>
      </c>
      <c r="T53" s="1">
        <f>MAX(B53:K53)-R53</f>
        <v>122.85000000000002</v>
      </c>
      <c r="U53">
        <f>_xlfn.STDEV.S(B53:K53)</f>
        <v>62.346901375378081</v>
      </c>
      <c r="V53" s="3">
        <f t="shared" si="20"/>
        <v>19.715821340007931</v>
      </c>
      <c r="W53" s="4">
        <f t="shared" si="21"/>
        <v>5.8339462464885139E-2</v>
      </c>
      <c r="Y53">
        <f>R53/R49</f>
        <v>1.0065824745338656</v>
      </c>
    </row>
    <row r="54" spans="1:25" x14ac:dyDescent="0.45">
      <c r="A54" t="s">
        <v>22</v>
      </c>
      <c r="B54" s="1">
        <v>55.815981685381011</v>
      </c>
      <c r="C54" s="1">
        <v>53.587314877806264</v>
      </c>
      <c r="D54" s="1">
        <v>69.560491814414775</v>
      </c>
      <c r="E54" s="1">
        <v>59.851540125080362</v>
      </c>
      <c r="F54" s="1">
        <v>69.114470842332608</v>
      </c>
      <c r="G54" s="1">
        <v>51.338614258497941</v>
      </c>
      <c r="H54" s="1">
        <v>57.24828087437804</v>
      </c>
      <c r="I54" s="1">
        <v>59.462284420184659</v>
      </c>
      <c r="J54" s="1">
        <v>62.461876296205936</v>
      </c>
      <c r="K54" s="1">
        <v>64.589378074933776</v>
      </c>
      <c r="R54" s="1">
        <f>AVERAGE(B54:K54)</f>
        <v>60.303023326921526</v>
      </c>
      <c r="S54" s="1">
        <f>MIN(B54:K54)-R54</f>
        <v>-8.9644090684235849</v>
      </c>
      <c r="T54" s="1">
        <f>MAX(B54:K54)-R54</f>
        <v>9.2574684874932487</v>
      </c>
      <c r="U54">
        <f>_xlfn.STDEV.S(B54:K54)</f>
        <v>6.1663320299948072</v>
      </c>
      <c r="V54" s="3">
        <f t="shared" si="20"/>
        <v>1.949965402363331</v>
      </c>
      <c r="W54" s="4">
        <f t="shared" si="21"/>
        <v>3.233611342821005E-2</v>
      </c>
      <c r="Y54">
        <f>R54/R52</f>
        <v>0.27603690985499191</v>
      </c>
    </row>
    <row r="55" spans="1:25" x14ac:dyDescent="0.45">
      <c r="A55" t="s">
        <v>42</v>
      </c>
      <c r="B55" s="1">
        <v>118.29944547134934</v>
      </c>
      <c r="C55" s="1">
        <v>122.45874192776847</v>
      </c>
      <c r="D55" s="1">
        <v>115.60171596297131</v>
      </c>
      <c r="E55" s="1">
        <v>129.11360484176018</v>
      </c>
      <c r="F55" s="1">
        <v>115.32830273679468</v>
      </c>
      <c r="G55" s="1">
        <v>126.46659256514759</v>
      </c>
      <c r="H55" s="1">
        <v>134.11918795022922</v>
      </c>
      <c r="I55" s="1">
        <v>156.12135996340905</v>
      </c>
      <c r="J55" s="1">
        <v>158.34235348693366</v>
      </c>
      <c r="K55" s="1">
        <v>150.5218286050272</v>
      </c>
      <c r="R55" s="1">
        <f>AVERAGE(B55:K55)</f>
        <v>132.63731335113908</v>
      </c>
      <c r="S55" s="1">
        <f>MIN(B55:K55)-R55</f>
        <v>-17.309010614344402</v>
      </c>
      <c r="T55" s="1">
        <f>MAX(B55:K55)-R55</f>
        <v>25.705040135794576</v>
      </c>
      <c r="U55">
        <f>_xlfn.STDEV.S(B55:K55)</f>
        <v>16.612535049440456</v>
      </c>
      <c r="V55" s="3">
        <f t="shared" si="20"/>
        <v>5.2533448465609753</v>
      </c>
      <c r="W55" s="4">
        <f t="shared" si="21"/>
        <v>3.9606839989690272E-2</v>
      </c>
    </row>
    <row r="56" spans="1:25" x14ac:dyDescent="0.45">
      <c r="R56" s="1"/>
      <c r="S56" s="1"/>
      <c r="T56" s="1"/>
    </row>
    <row r="57" spans="1:25" x14ac:dyDescent="0.45">
      <c r="R57" s="1"/>
      <c r="S57" s="1"/>
      <c r="T57" s="1"/>
    </row>
    <row r="58" spans="1:25" x14ac:dyDescent="0.45">
      <c r="R58" s="1"/>
      <c r="S58" s="1"/>
      <c r="T58" s="1"/>
    </row>
    <row r="60" spans="1:25" x14ac:dyDescent="0.45">
      <c r="A60" t="s">
        <v>28</v>
      </c>
      <c r="B60" s="1" t="s">
        <v>13</v>
      </c>
    </row>
    <row r="61" spans="1:25" x14ac:dyDescent="0.45">
      <c r="A61" t="s">
        <v>33</v>
      </c>
      <c r="B61" s="1">
        <v>911.0320284697508</v>
      </c>
      <c r="C61" s="1">
        <v>639.60024984384756</v>
      </c>
      <c r="D61" s="1">
        <v>927.53623188405788</v>
      </c>
      <c r="E61" s="1">
        <v>937.72893772893769</v>
      </c>
      <c r="F61" s="1">
        <v>920.03593890386344</v>
      </c>
      <c r="G61" s="1">
        <v>632.48919085855471</v>
      </c>
      <c r="H61" s="1">
        <v>905.39345711759506</v>
      </c>
      <c r="I61" s="1">
        <v>880.48151332760096</v>
      </c>
      <c r="J61" s="1">
        <v>752.38795003673772</v>
      </c>
      <c r="K61" s="1">
        <v>917.56272401433682</v>
      </c>
      <c r="R61" s="1">
        <f t="shared" ref="R61:R66" si="22">AVERAGE(B61:K61)</f>
        <v>842.42482221852822</v>
      </c>
      <c r="S61" s="1">
        <f t="shared" ref="S61:S66" si="23">MIN(B61:K61)-R61</f>
        <v>-209.93563135997351</v>
      </c>
      <c r="T61" s="1">
        <f t="shared" ref="T61:T66" si="24">MAX(B61:K61)-R61</f>
        <v>95.304115510409474</v>
      </c>
      <c r="U61">
        <f t="shared" ref="U61:U66" si="25">_xlfn.STDEV.S(B61:K61)</f>
        <v>120.84597198384458</v>
      </c>
      <c r="V61" s="3">
        <f t="shared" ref="V61:V66" si="26">U61/SQRT(COUNTA(B61:P61))</f>
        <v>38.214851752584551</v>
      </c>
      <c r="W61" s="4">
        <f t="shared" ref="W61:W66" si="27">V61/R61</f>
        <v>4.5362922298449883E-2</v>
      </c>
    </row>
    <row r="62" spans="1:25" x14ac:dyDescent="0.45">
      <c r="A62" t="s">
        <v>37</v>
      </c>
      <c r="B62" s="1">
        <v>600.93896713615027</v>
      </c>
      <c r="C62" s="1">
        <v>573.34826427771554</v>
      </c>
      <c r="D62" s="1">
        <v>586.98767555173401</v>
      </c>
      <c r="E62" s="1">
        <v>573.83020453908659</v>
      </c>
      <c r="F62" s="1">
        <v>635.82738280037256</v>
      </c>
      <c r="G62" s="1">
        <v>620.41805513480756</v>
      </c>
      <c r="H62" s="1">
        <v>577.71509167842032</v>
      </c>
      <c r="I62" s="1">
        <v>600.58651026392954</v>
      </c>
      <c r="J62" s="1">
        <v>617.23930078360456</v>
      </c>
      <c r="K62" s="1">
        <v>537.25078698845755</v>
      </c>
      <c r="R62" s="1">
        <f t="shared" si="22"/>
        <v>592.41422391542778</v>
      </c>
      <c r="S62" s="1">
        <f t="shared" si="23"/>
        <v>-55.163436926970235</v>
      </c>
      <c r="T62" s="1">
        <f t="shared" si="24"/>
        <v>43.413158884944778</v>
      </c>
      <c r="U62">
        <f t="shared" si="25"/>
        <v>28.717110970315005</v>
      </c>
      <c r="V62" s="3">
        <f t="shared" si="26"/>
        <v>9.0811478486003434</v>
      </c>
      <c r="W62" s="4">
        <f t="shared" si="27"/>
        <v>1.5329050995063135E-2</v>
      </c>
    </row>
    <row r="63" spans="1:25" x14ac:dyDescent="0.45">
      <c r="A63" t="s">
        <v>38</v>
      </c>
      <c r="B63" s="1">
        <v>902.99823633156973</v>
      </c>
      <c r="C63" s="1">
        <v>927.53623188405788</v>
      </c>
      <c r="D63" s="1">
        <v>681.75765645805598</v>
      </c>
      <c r="E63" s="1">
        <v>907.80141843971637</v>
      </c>
      <c r="F63" s="1">
        <v>879.72508591065298</v>
      </c>
      <c r="G63" s="1">
        <v>925.02258355916899</v>
      </c>
      <c r="H63" s="1">
        <v>917.56272401433682</v>
      </c>
      <c r="I63" s="1">
        <v>872.97527706734866</v>
      </c>
      <c r="J63" s="1">
        <v>891.9860627177701</v>
      </c>
      <c r="K63" s="1">
        <v>891.20974760661443</v>
      </c>
      <c r="R63" s="1">
        <f t="shared" si="22"/>
        <v>879.85750239892934</v>
      </c>
      <c r="S63" s="1">
        <f t="shared" si="23"/>
        <v>-198.09984594087337</v>
      </c>
      <c r="T63" s="1">
        <f t="shared" si="24"/>
        <v>47.678729485128542</v>
      </c>
      <c r="U63">
        <f t="shared" si="25"/>
        <v>71.970744455516893</v>
      </c>
      <c r="V63" s="3">
        <f t="shared" si="26"/>
        <v>22.759147737736832</v>
      </c>
      <c r="W63" s="4">
        <f t="shared" si="27"/>
        <v>2.586685648037787E-2</v>
      </c>
    </row>
    <row r="64" spans="1:25" x14ac:dyDescent="0.45">
      <c r="A64" t="s">
        <v>34</v>
      </c>
      <c r="B64" s="1">
        <v>588.33668486067222</v>
      </c>
      <c r="C64" s="1">
        <v>576.41429777652684</v>
      </c>
      <c r="D64" s="1">
        <v>566.52835408022122</v>
      </c>
      <c r="E64" s="1">
        <v>642.40903387703884</v>
      </c>
      <c r="F64" s="1">
        <v>629.76629766297663</v>
      </c>
      <c r="G64" s="1">
        <v>625.53451435552836</v>
      </c>
      <c r="H64" s="1">
        <v>582.81161070005692</v>
      </c>
      <c r="I64" s="1">
        <v>625.53451435552836</v>
      </c>
      <c r="J64" s="1">
        <v>607.17462199822114</v>
      </c>
      <c r="K64" s="1">
        <v>610.79630181926632</v>
      </c>
      <c r="R64" s="1">
        <f t="shared" si="22"/>
        <v>605.53062314860381</v>
      </c>
      <c r="S64" s="1">
        <f t="shared" si="23"/>
        <v>-39.002269068382589</v>
      </c>
      <c r="T64" s="1">
        <f t="shared" si="24"/>
        <v>36.878410728435028</v>
      </c>
      <c r="U64">
        <f t="shared" si="25"/>
        <v>25.731193702241658</v>
      </c>
      <c r="V64" s="3">
        <f t="shared" si="26"/>
        <v>8.1369179014064077</v>
      </c>
      <c r="W64" s="4">
        <f t="shared" si="27"/>
        <v>1.3437665396832488E-2</v>
      </c>
    </row>
    <row r="65" spans="1:23" x14ac:dyDescent="0.45">
      <c r="A65" t="s">
        <v>39</v>
      </c>
      <c r="B65" s="1">
        <v>557.43059335873704</v>
      </c>
      <c r="C65" s="1">
        <v>635.23573200992553</v>
      </c>
      <c r="D65" s="1">
        <v>650.57179161372301</v>
      </c>
      <c r="E65" s="1">
        <v>920.03593890386344</v>
      </c>
      <c r="F65" s="1">
        <v>912.65597147950075</v>
      </c>
      <c r="G65" s="1">
        <v>656.83130211674154</v>
      </c>
      <c r="H65" s="1">
        <v>895.10489510489515</v>
      </c>
      <c r="I65" s="1">
        <v>855.47201336675016</v>
      </c>
      <c r="J65" s="1">
        <v>671.91601049868768</v>
      </c>
      <c r="K65" s="1">
        <v>854.04503753127597</v>
      </c>
      <c r="R65" s="1">
        <f t="shared" si="22"/>
        <v>760.92992859841002</v>
      </c>
      <c r="S65" s="1">
        <f t="shared" si="23"/>
        <v>-203.49933523967297</v>
      </c>
      <c r="T65" s="1">
        <f t="shared" si="24"/>
        <v>159.10601030545342</v>
      </c>
      <c r="U65">
        <f t="shared" si="25"/>
        <v>138.28191658636797</v>
      </c>
      <c r="V65" s="3">
        <f t="shared" si="26"/>
        <v>43.72858156263387</v>
      </c>
      <c r="W65" s="4">
        <f t="shared" si="27"/>
        <v>5.7467290901777844E-2</v>
      </c>
    </row>
    <row r="66" spans="1:23" x14ac:dyDescent="0.45">
      <c r="A66" t="s">
        <v>40</v>
      </c>
      <c r="B66" s="1">
        <v>635.4328265591065</v>
      </c>
      <c r="C66" s="1">
        <v>602.17583063804761</v>
      </c>
      <c r="D66" s="1">
        <v>592.07863544376983</v>
      </c>
      <c r="E66" s="1">
        <v>584.47488584474888</v>
      </c>
      <c r="F66" s="1">
        <v>558.03814713896463</v>
      </c>
      <c r="G66" s="1">
        <v>566.52835408022122</v>
      </c>
      <c r="H66" s="1">
        <v>587.49282845668381</v>
      </c>
      <c r="I66" s="1">
        <v>572.06703910614522</v>
      </c>
      <c r="J66" s="1">
        <v>588.50574712643675</v>
      </c>
      <c r="K66" s="1">
        <v>585.81235697940508</v>
      </c>
      <c r="R66" s="1">
        <f t="shared" si="22"/>
        <v>587.26066513735282</v>
      </c>
      <c r="S66" s="1">
        <f t="shared" si="23"/>
        <v>-29.222517998388184</v>
      </c>
      <c r="T66" s="1">
        <f t="shared" si="24"/>
        <v>48.172161421753685</v>
      </c>
      <c r="U66">
        <f t="shared" si="25"/>
        <v>21.323760819788596</v>
      </c>
      <c r="V66" s="3">
        <f t="shared" si="26"/>
        <v>6.7431652471191237</v>
      </c>
      <c r="W66" s="4">
        <f t="shared" si="27"/>
        <v>1.1482405765320555E-2</v>
      </c>
    </row>
    <row r="67" spans="1:23" hidden="1" x14ac:dyDescent="0.45">
      <c r="B67" s="1">
        <v>3.2229999999999999</v>
      </c>
      <c r="C67" s="1">
        <v>3.4009999999999998</v>
      </c>
      <c r="D67" s="1">
        <v>3.4590000000000001</v>
      </c>
      <c r="E67" s="1">
        <v>3.504</v>
      </c>
      <c r="F67" s="1">
        <v>3.67</v>
      </c>
      <c r="G67" s="1">
        <v>3.6150000000000002</v>
      </c>
      <c r="H67" s="1">
        <v>3.4860000000000002</v>
      </c>
      <c r="I67" s="1">
        <v>3.58</v>
      </c>
      <c r="J67" s="1">
        <v>3.48</v>
      </c>
      <c r="K67" s="1">
        <v>3.496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O34" sqref="O34"/>
    </sheetView>
  </sheetViews>
  <sheetFormatPr defaultRowHeight="17" x14ac:dyDescent="0.45"/>
  <sheetData>
    <row r="1" spans="1:14" x14ac:dyDescent="0.45">
      <c r="A1" t="s">
        <v>52</v>
      </c>
    </row>
    <row r="2" spans="1:14" x14ac:dyDescent="0.4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45">
      <c r="A3">
        <v>64</v>
      </c>
      <c r="B3">
        <v>983980</v>
      </c>
      <c r="C3">
        <v>1780008</v>
      </c>
      <c r="D3">
        <v>2561267</v>
      </c>
      <c r="E3">
        <v>1780008</v>
      </c>
      <c r="F3">
        <v>2561267</v>
      </c>
    </row>
    <row r="4" spans="1:14" x14ac:dyDescent="0.45">
      <c r="A4">
        <v>128</v>
      </c>
      <c r="B4">
        <v>1281909</v>
      </c>
      <c r="C4">
        <v>2132084</v>
      </c>
      <c r="D4">
        <v>2066432</v>
      </c>
      <c r="E4">
        <v>2673584</v>
      </c>
      <c r="F4">
        <v>1684006</v>
      </c>
      <c r="G4">
        <v>2858650</v>
      </c>
    </row>
    <row r="5" spans="1:14" x14ac:dyDescent="0.45">
      <c r="A5">
        <v>256</v>
      </c>
      <c r="B5">
        <v>1652404</v>
      </c>
      <c r="C5">
        <v>1802167</v>
      </c>
      <c r="D5">
        <v>2639446</v>
      </c>
      <c r="E5">
        <v>2441400</v>
      </c>
      <c r="F5">
        <v>3511189</v>
      </c>
      <c r="G5">
        <v>2754556</v>
      </c>
      <c r="H5">
        <v>3935921</v>
      </c>
    </row>
    <row r="6" spans="1:14" x14ac:dyDescent="0.45">
      <c r="A6">
        <v>512</v>
      </c>
      <c r="B6">
        <v>1279935</v>
      </c>
      <c r="C6">
        <v>1711407</v>
      </c>
      <c r="D6">
        <v>2512247</v>
      </c>
      <c r="E6">
        <v>3346002</v>
      </c>
      <c r="F6">
        <v>2314583</v>
      </c>
      <c r="G6">
        <v>3556580</v>
      </c>
      <c r="H6">
        <v>2509312</v>
      </c>
      <c r="I6">
        <v>4163357</v>
      </c>
    </row>
    <row r="7" spans="1:14" x14ac:dyDescent="0.45">
      <c r="A7">
        <v>1024</v>
      </c>
      <c r="B7">
        <v>1558516</v>
      </c>
      <c r="C7">
        <v>2129589</v>
      </c>
      <c r="D7">
        <v>2461573</v>
      </c>
      <c r="E7">
        <v>3335105</v>
      </c>
      <c r="F7">
        <v>3130886</v>
      </c>
      <c r="G7">
        <v>3210456</v>
      </c>
      <c r="H7">
        <v>3304314</v>
      </c>
      <c r="I7">
        <v>3791442</v>
      </c>
      <c r="J7">
        <v>3804877</v>
      </c>
    </row>
    <row r="8" spans="1:14" x14ac:dyDescent="0.45">
      <c r="A8">
        <v>2048</v>
      </c>
      <c r="B8">
        <v>1693997</v>
      </c>
      <c r="C8">
        <v>1773019</v>
      </c>
      <c r="D8">
        <v>2964289</v>
      </c>
      <c r="E8">
        <v>3580921</v>
      </c>
      <c r="F8">
        <v>3908414</v>
      </c>
      <c r="G8">
        <v>3841986</v>
      </c>
      <c r="H8">
        <v>3922692</v>
      </c>
      <c r="I8">
        <v>3999400</v>
      </c>
      <c r="J8">
        <v>3650932</v>
      </c>
      <c r="K8">
        <v>3586902</v>
      </c>
    </row>
    <row r="9" spans="1:14" x14ac:dyDescent="0.45">
      <c r="A9">
        <v>4096</v>
      </c>
      <c r="B9">
        <v>1847535</v>
      </c>
      <c r="C9">
        <v>2536221</v>
      </c>
      <c r="D9">
        <v>3054304</v>
      </c>
      <c r="E9">
        <v>3160500</v>
      </c>
      <c r="F9">
        <v>3250804</v>
      </c>
      <c r="G9">
        <v>4015108</v>
      </c>
      <c r="H9">
        <v>3524939</v>
      </c>
      <c r="I9">
        <v>2767462</v>
      </c>
      <c r="J9">
        <v>4027344</v>
      </c>
      <c r="K9">
        <v>3631489</v>
      </c>
      <c r="L9">
        <v>2830848</v>
      </c>
    </row>
    <row r="10" spans="1:14" x14ac:dyDescent="0.45">
      <c r="A10">
        <v>8192</v>
      </c>
      <c r="B10">
        <v>1521499</v>
      </c>
      <c r="C10">
        <v>2179936</v>
      </c>
      <c r="D10">
        <v>2628135</v>
      </c>
      <c r="E10">
        <v>3133924</v>
      </c>
      <c r="F10">
        <v>3502591</v>
      </c>
      <c r="G10">
        <v>3593060</v>
      </c>
      <c r="H10">
        <v>3906821</v>
      </c>
      <c r="I10">
        <v>4118487</v>
      </c>
      <c r="J10">
        <v>3322090</v>
      </c>
      <c r="K10">
        <v>3523423</v>
      </c>
      <c r="L10">
        <v>3735645</v>
      </c>
      <c r="M10">
        <v>2599897</v>
      </c>
    </row>
    <row r="11" spans="1:14" x14ac:dyDescent="0.45">
      <c r="A11">
        <v>16384</v>
      </c>
      <c r="B11">
        <v>1573579</v>
      </c>
      <c r="C11">
        <v>2204539</v>
      </c>
      <c r="D11">
        <v>2774100</v>
      </c>
      <c r="E11">
        <v>3315328</v>
      </c>
      <c r="F11">
        <v>1891076</v>
      </c>
      <c r="G11">
        <v>3579548</v>
      </c>
      <c r="H11">
        <v>3847716</v>
      </c>
      <c r="I11">
        <v>3753356</v>
      </c>
      <c r="J11">
        <v>3810169</v>
      </c>
      <c r="K11">
        <v>3000089</v>
      </c>
      <c r="L11">
        <v>3494896</v>
      </c>
      <c r="M11">
        <v>3015095</v>
      </c>
      <c r="N11">
        <v>2131378</v>
      </c>
    </row>
    <row r="12" spans="1:14" x14ac:dyDescent="0.45">
      <c r="A12">
        <v>32768</v>
      </c>
      <c r="B12">
        <v>0</v>
      </c>
      <c r="C12">
        <v>0</v>
      </c>
      <c r="D12">
        <v>0</v>
      </c>
      <c r="E12">
        <v>0</v>
      </c>
      <c r="F12">
        <v>3271280</v>
      </c>
      <c r="G12">
        <v>3569119</v>
      </c>
      <c r="H12">
        <v>2453793</v>
      </c>
      <c r="I12">
        <v>3472714</v>
      </c>
      <c r="J12">
        <v>3523822</v>
      </c>
      <c r="K12">
        <v>3522377</v>
      </c>
      <c r="L12">
        <v>2962761</v>
      </c>
      <c r="M12">
        <v>2599622</v>
      </c>
      <c r="N12">
        <v>2960336</v>
      </c>
    </row>
    <row r="13" spans="1:14" x14ac:dyDescent="0.45">
      <c r="A13">
        <v>65536</v>
      </c>
      <c r="B13">
        <v>0</v>
      </c>
      <c r="C13">
        <v>0</v>
      </c>
      <c r="D13">
        <v>0</v>
      </c>
      <c r="E13">
        <v>0</v>
      </c>
      <c r="F13">
        <v>3390339</v>
      </c>
      <c r="G13">
        <v>3720257</v>
      </c>
      <c r="H13">
        <v>3413707</v>
      </c>
      <c r="I13">
        <v>3815533</v>
      </c>
      <c r="J13">
        <v>3657343</v>
      </c>
      <c r="K13">
        <v>3443126</v>
      </c>
      <c r="L13">
        <v>3219962</v>
      </c>
      <c r="M13">
        <v>3221547</v>
      </c>
      <c r="N13">
        <v>2869984</v>
      </c>
    </row>
    <row r="14" spans="1:14" x14ac:dyDescent="0.45">
      <c r="A14">
        <v>131072</v>
      </c>
      <c r="B14">
        <v>0</v>
      </c>
      <c r="C14">
        <v>0</v>
      </c>
      <c r="D14">
        <v>0</v>
      </c>
      <c r="E14">
        <v>0</v>
      </c>
      <c r="F14">
        <v>3533616</v>
      </c>
      <c r="G14">
        <v>3903633</v>
      </c>
      <c r="H14">
        <v>3943196</v>
      </c>
      <c r="I14">
        <v>3936336</v>
      </c>
      <c r="J14">
        <v>4132917</v>
      </c>
      <c r="K14">
        <v>3619081</v>
      </c>
      <c r="L14">
        <v>3528558</v>
      </c>
      <c r="M14">
        <v>3429141</v>
      </c>
      <c r="N14">
        <v>3272788</v>
      </c>
    </row>
    <row r="15" spans="1:14" x14ac:dyDescent="0.45">
      <c r="A15">
        <v>262144</v>
      </c>
      <c r="B15">
        <v>0</v>
      </c>
      <c r="C15">
        <v>0</v>
      </c>
      <c r="D15">
        <v>0</v>
      </c>
      <c r="E15">
        <v>0</v>
      </c>
      <c r="F15">
        <v>3728032</v>
      </c>
      <c r="G15">
        <v>3932911</v>
      </c>
      <c r="H15">
        <v>3720627</v>
      </c>
      <c r="I15">
        <v>3640841</v>
      </c>
      <c r="J15">
        <v>4073716</v>
      </c>
      <c r="K15">
        <v>3062929</v>
      </c>
      <c r="L15">
        <v>3792036</v>
      </c>
      <c r="M15">
        <v>3581345</v>
      </c>
      <c r="N15">
        <v>3562281</v>
      </c>
    </row>
    <row r="16" spans="1:14" x14ac:dyDescent="0.45">
      <c r="A16">
        <v>524288</v>
      </c>
      <c r="B16">
        <v>0</v>
      </c>
      <c r="C16">
        <v>0</v>
      </c>
      <c r="D16">
        <v>0</v>
      </c>
      <c r="E16">
        <v>0</v>
      </c>
      <c r="F16">
        <v>3778625</v>
      </c>
      <c r="G16">
        <v>3752421</v>
      </c>
      <c r="H16">
        <v>3981013</v>
      </c>
      <c r="I16">
        <v>3800896</v>
      </c>
      <c r="J16">
        <v>3882519</v>
      </c>
      <c r="K16">
        <v>3694429</v>
      </c>
      <c r="L16">
        <v>3530203</v>
      </c>
      <c r="M16">
        <v>3614010</v>
      </c>
      <c r="N16">
        <v>3360736</v>
      </c>
    </row>
    <row r="17" spans="1:14" x14ac:dyDescent="0.45">
      <c r="A17">
        <v>1048576</v>
      </c>
      <c r="B17">
        <v>0</v>
      </c>
      <c r="C17">
        <v>0</v>
      </c>
      <c r="D17">
        <v>0</v>
      </c>
      <c r="E17">
        <v>0</v>
      </c>
      <c r="F17">
        <v>3569293</v>
      </c>
      <c r="G17">
        <v>3730620</v>
      </c>
      <c r="H17">
        <v>3675809</v>
      </c>
      <c r="I17">
        <v>3512761</v>
      </c>
      <c r="J17">
        <v>3215682</v>
      </c>
      <c r="K17">
        <v>3656315</v>
      </c>
      <c r="L17">
        <v>3478452</v>
      </c>
      <c r="M17">
        <v>3388986</v>
      </c>
      <c r="N17">
        <v>2968847</v>
      </c>
    </row>
    <row r="18" spans="1:14" x14ac:dyDescent="0.45">
      <c r="A18">
        <v>2097152</v>
      </c>
      <c r="B18">
        <v>0</v>
      </c>
      <c r="C18">
        <v>0</v>
      </c>
      <c r="D18">
        <v>0</v>
      </c>
      <c r="E18">
        <v>0</v>
      </c>
      <c r="F18">
        <v>726361</v>
      </c>
      <c r="G18">
        <v>1338038</v>
      </c>
      <c r="H18">
        <v>1366498</v>
      </c>
      <c r="I18">
        <v>1402898</v>
      </c>
      <c r="J18">
        <v>1413178</v>
      </c>
      <c r="K18">
        <v>1389683</v>
      </c>
      <c r="L18">
        <v>1454367</v>
      </c>
      <c r="M18">
        <v>1472992</v>
      </c>
      <c r="N18">
        <v>1483212</v>
      </c>
    </row>
    <row r="20" spans="1:14" x14ac:dyDescent="0.45">
      <c r="B20">
        <f>B3/1024</f>
        <v>960.91796875</v>
      </c>
      <c r="C20">
        <f t="shared" ref="C20:N20" si="0">C3/1024</f>
        <v>1738.2890625</v>
      </c>
      <c r="D20">
        <f t="shared" si="0"/>
        <v>2501.2373046875</v>
      </c>
      <c r="E20">
        <f t="shared" si="0"/>
        <v>1738.2890625</v>
      </c>
      <c r="F20">
        <f t="shared" si="0"/>
        <v>2501.2373046875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</row>
    <row r="21" spans="1:14" x14ac:dyDescent="0.45">
      <c r="B21">
        <f t="shared" ref="B21:N21" si="1">B4/1024</f>
        <v>1251.8642578125</v>
      </c>
      <c r="C21">
        <f t="shared" si="1"/>
        <v>2082.11328125</v>
      </c>
      <c r="D21">
        <f t="shared" si="1"/>
        <v>2018</v>
      </c>
      <c r="E21">
        <f t="shared" si="1"/>
        <v>2610.921875</v>
      </c>
      <c r="F21">
        <f t="shared" si="1"/>
        <v>1644.537109375</v>
      </c>
      <c r="G21">
        <f t="shared" si="1"/>
        <v>2791.650390625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45">
      <c r="B22">
        <f t="shared" ref="B22:N22" si="2">B5/1024</f>
        <v>1613.67578125</v>
      </c>
      <c r="C22">
        <f t="shared" si="2"/>
        <v>1759.9287109375</v>
      </c>
      <c r="D22">
        <f t="shared" si="2"/>
        <v>2577.583984375</v>
      </c>
      <c r="E22">
        <f t="shared" si="2"/>
        <v>2384.1796875</v>
      </c>
      <c r="F22">
        <f t="shared" si="2"/>
        <v>3428.8955078125</v>
      </c>
      <c r="G22">
        <f t="shared" si="2"/>
        <v>2689.99609375</v>
      </c>
      <c r="H22">
        <f t="shared" si="2"/>
        <v>3843.6728515625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</row>
    <row r="23" spans="1:14" x14ac:dyDescent="0.45">
      <c r="B23">
        <f t="shared" ref="B23:N23" si="3">B6/1024</f>
        <v>1249.9365234375</v>
      </c>
      <c r="C23">
        <f t="shared" si="3"/>
        <v>1671.2958984375</v>
      </c>
      <c r="D23">
        <f t="shared" si="3"/>
        <v>2453.3662109375</v>
      </c>
      <c r="E23">
        <f t="shared" si="3"/>
        <v>3267.580078125</v>
      </c>
      <c r="F23">
        <f t="shared" si="3"/>
        <v>2260.3349609375</v>
      </c>
      <c r="G23">
        <f t="shared" si="3"/>
        <v>3473.22265625</v>
      </c>
      <c r="H23">
        <f t="shared" si="3"/>
        <v>2450.5</v>
      </c>
      <c r="I23">
        <f t="shared" si="3"/>
        <v>4065.7783203125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</row>
    <row r="24" spans="1:14" x14ac:dyDescent="0.45">
      <c r="B24">
        <f t="shared" ref="B24:N24" si="4">B7/1024</f>
        <v>1521.98828125</v>
      </c>
      <c r="C24">
        <f t="shared" si="4"/>
        <v>2079.6767578125</v>
      </c>
      <c r="D24">
        <f t="shared" si="4"/>
        <v>2403.8798828125</v>
      </c>
      <c r="E24">
        <f t="shared" si="4"/>
        <v>3256.9384765625</v>
      </c>
      <c r="F24">
        <f t="shared" si="4"/>
        <v>3057.505859375</v>
      </c>
      <c r="G24">
        <f t="shared" si="4"/>
        <v>3135.2109375</v>
      </c>
      <c r="H24">
        <f t="shared" si="4"/>
        <v>3226.869140625</v>
      </c>
      <c r="I24">
        <f t="shared" si="4"/>
        <v>3702.580078125</v>
      </c>
      <c r="J24">
        <f t="shared" si="4"/>
        <v>3715.7001953125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</row>
    <row r="25" spans="1:14" x14ac:dyDescent="0.45">
      <c r="B25">
        <f t="shared" ref="B25:N25" si="5">B8/1024</f>
        <v>1654.2939453125</v>
      </c>
      <c r="C25">
        <f t="shared" si="5"/>
        <v>1731.4638671875</v>
      </c>
      <c r="D25">
        <f t="shared" si="5"/>
        <v>2894.8134765625</v>
      </c>
      <c r="E25">
        <f t="shared" si="5"/>
        <v>3496.9931640625</v>
      </c>
      <c r="F25">
        <f t="shared" si="5"/>
        <v>3816.810546875</v>
      </c>
      <c r="G25">
        <f t="shared" si="5"/>
        <v>3751.939453125</v>
      </c>
      <c r="H25">
        <f t="shared" si="5"/>
        <v>3830.75390625</v>
      </c>
      <c r="I25">
        <f t="shared" si="5"/>
        <v>3905.6640625</v>
      </c>
      <c r="J25">
        <f t="shared" si="5"/>
        <v>3565.36328125</v>
      </c>
      <c r="K25">
        <f t="shared" si="5"/>
        <v>3502.833984375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1:14" x14ac:dyDescent="0.45">
      <c r="B26">
        <f t="shared" ref="B26:N26" si="6">B9/1024</f>
        <v>1804.2333984375</v>
      </c>
      <c r="C26">
        <f t="shared" si="6"/>
        <v>2476.7783203125</v>
      </c>
      <c r="D26">
        <f t="shared" si="6"/>
        <v>2982.71875</v>
      </c>
      <c r="E26">
        <f t="shared" si="6"/>
        <v>3086.42578125</v>
      </c>
      <c r="F26">
        <f t="shared" si="6"/>
        <v>3174.61328125</v>
      </c>
      <c r="G26">
        <f t="shared" si="6"/>
        <v>3921.00390625</v>
      </c>
      <c r="H26">
        <f t="shared" si="6"/>
        <v>3442.3232421875</v>
      </c>
      <c r="I26">
        <f t="shared" si="6"/>
        <v>2702.599609375</v>
      </c>
      <c r="J26">
        <f t="shared" si="6"/>
        <v>3932.953125</v>
      </c>
      <c r="K26">
        <f t="shared" si="6"/>
        <v>3546.3759765625</v>
      </c>
      <c r="L26">
        <f t="shared" si="6"/>
        <v>2764.5</v>
      </c>
      <c r="M26">
        <f t="shared" si="6"/>
        <v>0</v>
      </c>
      <c r="N26">
        <f t="shared" si="6"/>
        <v>0</v>
      </c>
    </row>
    <row r="27" spans="1:14" x14ac:dyDescent="0.45">
      <c r="B27">
        <f t="shared" ref="B27:N27" si="7">B10/1024</f>
        <v>1485.8388671875</v>
      </c>
      <c r="C27">
        <f t="shared" si="7"/>
        <v>2128.84375</v>
      </c>
      <c r="D27">
        <f t="shared" si="7"/>
        <v>2566.5380859375</v>
      </c>
      <c r="E27">
        <f t="shared" si="7"/>
        <v>3060.47265625</v>
      </c>
      <c r="F27">
        <f t="shared" si="7"/>
        <v>3420.4990234375</v>
      </c>
      <c r="G27">
        <f t="shared" si="7"/>
        <v>3508.84765625</v>
      </c>
      <c r="H27">
        <f t="shared" si="7"/>
        <v>3815.2548828125</v>
      </c>
      <c r="I27">
        <f t="shared" si="7"/>
        <v>4021.9599609375</v>
      </c>
      <c r="J27">
        <f t="shared" si="7"/>
        <v>3244.228515625</v>
      </c>
      <c r="K27">
        <f t="shared" si="7"/>
        <v>3440.8427734375</v>
      </c>
      <c r="L27">
        <f t="shared" si="7"/>
        <v>3648.0908203125</v>
      </c>
      <c r="M27">
        <f t="shared" si="7"/>
        <v>2538.9619140625</v>
      </c>
      <c r="N27">
        <f t="shared" si="7"/>
        <v>0</v>
      </c>
    </row>
    <row r="28" spans="1:14" x14ac:dyDescent="0.45">
      <c r="B28">
        <f t="shared" ref="B28:N28" si="8">B11/1024</f>
        <v>1536.6982421875</v>
      </c>
      <c r="C28">
        <f t="shared" si="8"/>
        <v>2152.8701171875</v>
      </c>
      <c r="D28">
        <f t="shared" si="8"/>
        <v>2709.08203125</v>
      </c>
      <c r="E28">
        <f t="shared" si="8"/>
        <v>3237.625</v>
      </c>
      <c r="F28">
        <f t="shared" si="8"/>
        <v>1846.75390625</v>
      </c>
      <c r="G28">
        <f t="shared" si="8"/>
        <v>3495.65234375</v>
      </c>
      <c r="H28">
        <f t="shared" si="8"/>
        <v>3757.53515625</v>
      </c>
      <c r="I28">
        <f t="shared" si="8"/>
        <v>3665.38671875</v>
      </c>
      <c r="J28">
        <f t="shared" si="8"/>
        <v>3720.8681640625</v>
      </c>
      <c r="K28">
        <f t="shared" si="8"/>
        <v>2929.7744140625</v>
      </c>
      <c r="L28">
        <f t="shared" si="8"/>
        <v>3412.984375</v>
      </c>
      <c r="M28">
        <f t="shared" si="8"/>
        <v>2944.4287109375</v>
      </c>
      <c r="N28">
        <f t="shared" si="8"/>
        <v>2081.423828125</v>
      </c>
    </row>
    <row r="29" spans="1:14" x14ac:dyDescent="0.45">
      <c r="B29">
        <f t="shared" ref="B29:N29" si="9">B12/1024</f>
        <v>0</v>
      </c>
      <c r="C29">
        <f t="shared" si="9"/>
        <v>0</v>
      </c>
      <c r="D29">
        <f t="shared" si="9"/>
        <v>0</v>
      </c>
      <c r="E29">
        <f t="shared" si="9"/>
        <v>0</v>
      </c>
      <c r="F29">
        <f t="shared" si="9"/>
        <v>3194.609375</v>
      </c>
      <c r="G29">
        <f t="shared" si="9"/>
        <v>3485.4677734375</v>
      </c>
      <c r="H29">
        <f t="shared" si="9"/>
        <v>2396.2822265625</v>
      </c>
      <c r="I29">
        <f t="shared" si="9"/>
        <v>3391.322265625</v>
      </c>
      <c r="J29">
        <f t="shared" si="9"/>
        <v>3441.232421875</v>
      </c>
      <c r="K29">
        <f t="shared" si="9"/>
        <v>3439.8212890625</v>
      </c>
      <c r="L29">
        <f t="shared" si="9"/>
        <v>2893.3212890625</v>
      </c>
      <c r="M29">
        <f t="shared" si="9"/>
        <v>2538.693359375</v>
      </c>
      <c r="N29">
        <f t="shared" si="9"/>
        <v>2890.953125</v>
      </c>
    </row>
    <row r="30" spans="1:14" x14ac:dyDescent="0.45">
      <c r="B30">
        <f t="shared" ref="B30:N30" si="10">B13/1024</f>
        <v>0</v>
      </c>
      <c r="C30">
        <f t="shared" si="10"/>
        <v>0</v>
      </c>
      <c r="D30">
        <f t="shared" si="10"/>
        <v>0</v>
      </c>
      <c r="E30">
        <f t="shared" si="10"/>
        <v>0</v>
      </c>
      <c r="F30">
        <f t="shared" si="10"/>
        <v>3310.8779296875</v>
      </c>
      <c r="G30">
        <f t="shared" si="10"/>
        <v>3633.0634765625</v>
      </c>
      <c r="H30">
        <f t="shared" si="10"/>
        <v>3333.6982421875</v>
      </c>
      <c r="I30">
        <f t="shared" si="10"/>
        <v>3726.1064453125</v>
      </c>
      <c r="J30">
        <f t="shared" si="10"/>
        <v>3571.6240234375</v>
      </c>
      <c r="K30">
        <f t="shared" si="10"/>
        <v>3362.427734375</v>
      </c>
      <c r="L30">
        <f t="shared" si="10"/>
        <v>3144.494140625</v>
      </c>
      <c r="M30">
        <f t="shared" si="10"/>
        <v>3146.0419921875</v>
      </c>
      <c r="N30">
        <f t="shared" si="10"/>
        <v>2802.71875</v>
      </c>
    </row>
    <row r="31" spans="1:14" x14ac:dyDescent="0.45">
      <c r="B31">
        <f t="shared" ref="B31:N31" si="11">B14/1024</f>
        <v>0</v>
      </c>
      <c r="C31">
        <f t="shared" si="11"/>
        <v>0</v>
      </c>
      <c r="D31">
        <f t="shared" si="11"/>
        <v>0</v>
      </c>
      <c r="E31">
        <f t="shared" si="11"/>
        <v>0</v>
      </c>
      <c r="F31">
        <f t="shared" si="11"/>
        <v>3450.796875</v>
      </c>
      <c r="G31">
        <f t="shared" si="11"/>
        <v>3812.1416015625</v>
      </c>
      <c r="H31">
        <f t="shared" si="11"/>
        <v>3850.77734375</v>
      </c>
      <c r="I31">
        <f t="shared" si="11"/>
        <v>3844.078125</v>
      </c>
      <c r="J31">
        <f t="shared" si="11"/>
        <v>4036.0517578125</v>
      </c>
      <c r="K31">
        <f t="shared" si="11"/>
        <v>3534.2587890625</v>
      </c>
      <c r="L31">
        <f t="shared" si="11"/>
        <v>3445.857421875</v>
      </c>
      <c r="M31">
        <f t="shared" si="11"/>
        <v>3348.7705078125</v>
      </c>
      <c r="N31">
        <f t="shared" si="11"/>
        <v>3196.08203125</v>
      </c>
    </row>
    <row r="32" spans="1:14" x14ac:dyDescent="0.45">
      <c r="B32">
        <f t="shared" ref="B32:N32" si="12">B15/1024</f>
        <v>0</v>
      </c>
      <c r="C32">
        <f t="shared" si="12"/>
        <v>0</v>
      </c>
      <c r="D32">
        <f t="shared" si="12"/>
        <v>0</v>
      </c>
      <c r="E32">
        <f t="shared" si="12"/>
        <v>0</v>
      </c>
      <c r="F32">
        <f t="shared" si="12"/>
        <v>3640.65625</v>
      </c>
      <c r="G32">
        <f t="shared" si="12"/>
        <v>3840.7333984375</v>
      </c>
      <c r="H32">
        <f t="shared" si="12"/>
        <v>3633.4248046875</v>
      </c>
      <c r="I32">
        <f t="shared" si="12"/>
        <v>3555.5087890625</v>
      </c>
      <c r="J32">
        <f t="shared" si="12"/>
        <v>3978.23828125</v>
      </c>
      <c r="K32">
        <f t="shared" si="12"/>
        <v>2991.1416015625</v>
      </c>
      <c r="L32">
        <f t="shared" si="12"/>
        <v>3703.16015625</v>
      </c>
      <c r="M32">
        <f t="shared" si="12"/>
        <v>3497.4072265625</v>
      </c>
      <c r="N32">
        <f t="shared" si="12"/>
        <v>3478.7900390625</v>
      </c>
    </row>
    <row r="33" spans="2:14" x14ac:dyDescent="0.45">
      <c r="B33">
        <f t="shared" ref="B33:N33" si="13">B16/1024</f>
        <v>0</v>
      </c>
      <c r="C33">
        <f t="shared" si="13"/>
        <v>0</v>
      </c>
      <c r="D33">
        <f t="shared" si="13"/>
        <v>0</v>
      </c>
      <c r="E33">
        <f t="shared" si="13"/>
        <v>0</v>
      </c>
      <c r="F33">
        <f t="shared" si="13"/>
        <v>3690.0634765625</v>
      </c>
      <c r="G33">
        <f t="shared" si="13"/>
        <v>3664.4736328125</v>
      </c>
      <c r="H33">
        <f t="shared" si="13"/>
        <v>3887.7080078125</v>
      </c>
      <c r="I33">
        <f t="shared" si="13"/>
        <v>3711.8125</v>
      </c>
      <c r="J33">
        <f t="shared" si="13"/>
        <v>3791.5224609375</v>
      </c>
      <c r="K33">
        <f t="shared" si="13"/>
        <v>3607.8408203125</v>
      </c>
      <c r="L33">
        <f t="shared" si="13"/>
        <v>3447.4638671875</v>
      </c>
      <c r="M33">
        <f t="shared" si="13"/>
        <v>3529.306640625</v>
      </c>
      <c r="N33">
        <f t="shared" si="13"/>
        <v>3281.96875</v>
      </c>
    </row>
    <row r="34" spans="2:14" x14ac:dyDescent="0.45">
      <c r="B34">
        <f t="shared" ref="B34:N34" si="14">B17/1024</f>
        <v>0</v>
      </c>
      <c r="C34">
        <f t="shared" si="14"/>
        <v>0</v>
      </c>
      <c r="D34">
        <f t="shared" si="14"/>
        <v>0</v>
      </c>
      <c r="E34">
        <f t="shared" si="14"/>
        <v>0</v>
      </c>
      <c r="F34">
        <f t="shared" si="14"/>
        <v>3485.6376953125</v>
      </c>
      <c r="G34">
        <f t="shared" si="14"/>
        <v>3643.18359375</v>
      </c>
      <c r="H34">
        <f t="shared" si="14"/>
        <v>3589.6572265625</v>
      </c>
      <c r="I34">
        <f t="shared" si="14"/>
        <v>3430.4306640625</v>
      </c>
      <c r="J34">
        <f t="shared" si="14"/>
        <v>3140.314453125</v>
      </c>
      <c r="K34">
        <f t="shared" si="14"/>
        <v>3570.6201171875</v>
      </c>
      <c r="L34">
        <f t="shared" si="14"/>
        <v>3396.92578125</v>
      </c>
      <c r="M34">
        <f t="shared" si="14"/>
        <v>3309.556640625</v>
      </c>
      <c r="N34">
        <f t="shared" si="14"/>
        <v>2899.2646484375</v>
      </c>
    </row>
    <row r="35" spans="2:14" x14ac:dyDescent="0.45">
      <c r="B35">
        <f t="shared" ref="B35:N35" si="15">B18/1024</f>
        <v>0</v>
      </c>
      <c r="C35">
        <f t="shared" si="15"/>
        <v>0</v>
      </c>
      <c r="D35">
        <f t="shared" si="15"/>
        <v>0</v>
      </c>
      <c r="E35">
        <f t="shared" si="15"/>
        <v>0</v>
      </c>
      <c r="F35">
        <f t="shared" si="15"/>
        <v>709.3369140625</v>
      </c>
      <c r="G35">
        <f t="shared" si="15"/>
        <v>1306.677734375</v>
      </c>
      <c r="H35">
        <f t="shared" si="15"/>
        <v>1334.470703125</v>
      </c>
      <c r="I35">
        <f t="shared" si="15"/>
        <v>1370.017578125</v>
      </c>
      <c r="J35">
        <f t="shared" si="15"/>
        <v>1380.056640625</v>
      </c>
      <c r="K35">
        <f t="shared" si="15"/>
        <v>1357.1123046875</v>
      </c>
      <c r="L35">
        <f t="shared" si="15"/>
        <v>1420.2802734375</v>
      </c>
      <c r="M35">
        <f t="shared" si="15"/>
        <v>1438.46875</v>
      </c>
      <c r="N35">
        <f t="shared" si="15"/>
        <v>1448.44921875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2020-10-13T05:25:43Z</dcterms:created>
  <dcterms:modified xsi:type="dcterms:W3CDTF">2020-10-27T09:07:14Z</dcterms:modified>
</cp:coreProperties>
</file>