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livemanchesterac.sharepoint.com/sites/UOM-FSE-ENG-MENG-TEAM3-2024-25/Shared Documents/General/1. Admin &amp; Other/1. Audit/2024-2025/"/>
    </mc:Choice>
  </mc:AlternateContent>
  <xr:revisionPtr revIDLastSave="1375" documentId="13_ncr:1_{212FF5B4-507B-1244-95DC-C8307D4786EF}" xr6:coauthVersionLast="47" xr6:coauthVersionMax="47" xr10:uidLastSave="{76FB3D67-62E6-4F27-9E10-75970D7AC520}"/>
  <bookViews>
    <workbookView xWindow="380" yWindow="500" windowWidth="28040" windowHeight="16940" firstSheet="3" activeTab="3" xr2:uid="{B05A8B61-5539-B54D-9819-359737E71258}"/>
  </bookViews>
  <sheets>
    <sheet name="Preferred Supplier List" sheetId="5" r:id="rId1"/>
    <sheet name="Purchase" sheetId="2" r:id="rId2"/>
    <sheet name="backend" sheetId="4" state="hidden" r:id="rId3"/>
    <sheet name="Spending tracker" sheetId="3" r:id="rId4"/>
    <sheet name="Chart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D5" i="1"/>
  <c r="F13" i="1"/>
  <c r="F14" i="1"/>
  <c r="F15" i="1"/>
  <c r="F9" i="1"/>
  <c r="F10" i="1"/>
  <c r="F11" i="1"/>
  <c r="F12" i="1"/>
  <c r="H83" i="3"/>
  <c r="H84" i="3"/>
  <c r="H85" i="3"/>
  <c r="F85" i="2"/>
  <c r="F84" i="2"/>
  <c r="F80" i="2"/>
  <c r="G78" i="3"/>
  <c r="G77" i="3"/>
  <c r="G76" i="3"/>
  <c r="G75" i="3"/>
  <c r="G74" i="3"/>
  <c r="H74" i="3" s="1"/>
  <c r="F79" i="2"/>
  <c r="G79" i="2" s="1"/>
  <c r="F78" i="2"/>
  <c r="F77" i="2"/>
  <c r="F76" i="2"/>
  <c r="F75" i="2"/>
  <c r="H9" i="1"/>
  <c r="H10" i="1"/>
  <c r="H15" i="1"/>
  <c r="G63" i="3"/>
  <c r="G62" i="3"/>
  <c r="G61" i="3"/>
  <c r="G60" i="3"/>
  <c r="H76" i="3"/>
  <c r="H77" i="3"/>
  <c r="H78" i="3"/>
  <c r="H79" i="3"/>
  <c r="H80" i="3"/>
  <c r="H81" i="3"/>
  <c r="H82" i="3"/>
  <c r="H69" i="3"/>
  <c r="H70" i="3"/>
  <c r="H71" i="3"/>
  <c r="H72" i="3"/>
  <c r="H73" i="3"/>
  <c r="H75" i="3"/>
  <c r="H61" i="3"/>
  <c r="H62" i="3"/>
  <c r="H63" i="3"/>
  <c r="H64" i="3"/>
  <c r="H65" i="3"/>
  <c r="H66" i="3"/>
  <c r="H67" i="3"/>
  <c r="H68" i="3"/>
  <c r="G80" i="2"/>
  <c r="G81" i="2"/>
  <c r="G82" i="2"/>
  <c r="G83" i="2"/>
  <c r="G84" i="2"/>
  <c r="G85" i="2"/>
  <c r="G86" i="2"/>
  <c r="G87" i="2"/>
  <c r="G88" i="2"/>
  <c r="G74" i="2"/>
  <c r="G75" i="2"/>
  <c r="G76" i="2"/>
  <c r="G77" i="2"/>
  <c r="G78" i="2"/>
  <c r="G68" i="2"/>
  <c r="G69" i="2"/>
  <c r="F64" i="2"/>
  <c r="G64" i="2" s="1"/>
  <c r="F63" i="2"/>
  <c r="G63" i="2" s="1"/>
  <c r="F62" i="2"/>
  <c r="G62" i="2" s="1"/>
  <c r="F61" i="2"/>
  <c r="G65" i="2"/>
  <c r="G66" i="2"/>
  <c r="G67" i="2"/>
  <c r="G70" i="2"/>
  <c r="G71" i="2"/>
  <c r="G72" i="2"/>
  <c r="G73" i="2"/>
  <c r="G53" i="3"/>
  <c r="H53" i="3"/>
  <c r="H54" i="3"/>
  <c r="H55" i="3"/>
  <c r="H56" i="3"/>
  <c r="H57" i="3"/>
  <c r="H58" i="3"/>
  <c r="H59" i="3"/>
  <c r="F54" i="2"/>
  <c r="G54" i="2" s="1"/>
  <c r="G52" i="3"/>
  <c r="F53" i="2"/>
  <c r="G51" i="3"/>
  <c r="G50" i="3"/>
  <c r="G49" i="3"/>
  <c r="H49" i="3" s="1"/>
  <c r="G48" i="3"/>
  <c r="H48" i="3" s="1"/>
  <c r="H45" i="3"/>
  <c r="H46" i="3"/>
  <c r="H47" i="3"/>
  <c r="H50" i="3"/>
  <c r="F52" i="2"/>
  <c r="F51" i="2"/>
  <c r="G51" i="2" s="1"/>
  <c r="F50" i="2"/>
  <c r="F49" i="2"/>
  <c r="G49" i="2" s="1"/>
  <c r="G23" i="3"/>
  <c r="F24" i="2"/>
  <c r="G30" i="3"/>
  <c r="H30" i="3" s="1"/>
  <c r="G29" i="3"/>
  <c r="H29" i="3" s="1"/>
  <c r="G28" i="3"/>
  <c r="G27" i="3"/>
  <c r="H27" i="3" s="1"/>
  <c r="G26" i="3"/>
  <c r="G25" i="3"/>
  <c r="G24" i="3"/>
  <c r="H24" i="3"/>
  <c r="H25" i="3"/>
  <c r="H26" i="3"/>
  <c r="H28" i="3"/>
  <c r="H31" i="3"/>
  <c r="G32" i="2"/>
  <c r="F31" i="2"/>
  <c r="G31" i="2" s="1"/>
  <c r="F30" i="2"/>
  <c r="G30" i="2" s="1"/>
  <c r="F29" i="2"/>
  <c r="F28" i="2"/>
  <c r="G28" i="2" s="1"/>
  <c r="F27" i="2"/>
  <c r="F26" i="2"/>
  <c r="F25" i="2"/>
  <c r="G25" i="2"/>
  <c r="G26" i="2"/>
  <c r="G27" i="2"/>
  <c r="G29" i="2"/>
  <c r="H11" i="1"/>
  <c r="H12" i="1"/>
  <c r="H13" i="1"/>
  <c r="H14" i="1"/>
  <c r="G44" i="3"/>
  <c r="G39" i="3"/>
  <c r="G38" i="3"/>
  <c r="G37" i="3"/>
  <c r="H37" i="3" s="1"/>
  <c r="G22" i="3"/>
  <c r="H22" i="3" s="1"/>
  <c r="G21" i="3"/>
  <c r="H21" i="3" s="1"/>
  <c r="G20" i="3"/>
  <c r="H87" i="3" s="1"/>
  <c r="H40" i="3"/>
  <c r="H41" i="3"/>
  <c r="H42" i="3"/>
  <c r="H43" i="3"/>
  <c r="H44" i="3"/>
  <c r="H51" i="3"/>
  <c r="H52" i="3"/>
  <c r="H60" i="3"/>
  <c r="F45" i="2"/>
  <c r="G45" i="2"/>
  <c r="G46" i="2"/>
  <c r="G47" i="2"/>
  <c r="G48" i="2"/>
  <c r="G50" i="2"/>
  <c r="G52" i="2"/>
  <c r="G53" i="2"/>
  <c r="G55" i="2"/>
  <c r="G56" i="2"/>
  <c r="G57" i="2"/>
  <c r="G58" i="2"/>
  <c r="G59" i="2"/>
  <c r="G60" i="2"/>
  <c r="G61" i="2"/>
  <c r="F40" i="2"/>
  <c r="F39" i="2"/>
  <c r="F38" i="2"/>
  <c r="G38" i="2" s="1"/>
  <c r="G40" i="2"/>
  <c r="G41" i="2"/>
  <c r="G42" i="2"/>
  <c r="G43" i="2"/>
  <c r="G44" i="2"/>
  <c r="F23" i="2"/>
  <c r="F22" i="2"/>
  <c r="F21" i="2"/>
  <c r="G16" i="2"/>
  <c r="H6" i="3"/>
  <c r="H7" i="3"/>
  <c r="H8" i="3"/>
  <c r="H9" i="3"/>
  <c r="H10" i="3"/>
  <c r="H11" i="3"/>
  <c r="H12" i="3"/>
  <c r="H14" i="3"/>
  <c r="H15" i="3"/>
  <c r="H16" i="3"/>
  <c r="H17" i="3"/>
  <c r="H18" i="3"/>
  <c r="H19" i="3"/>
  <c r="H23" i="3"/>
  <c r="H32" i="3"/>
  <c r="H33" i="3"/>
  <c r="H34" i="3"/>
  <c r="H35" i="3"/>
  <c r="H36" i="3"/>
  <c r="H38" i="3"/>
  <c r="H39" i="3"/>
  <c r="G6" i="2"/>
  <c r="G7" i="2"/>
  <c r="G8" i="2"/>
  <c r="G9" i="2"/>
  <c r="G10" i="2"/>
  <c r="G11" i="2"/>
  <c r="G12" i="2"/>
  <c r="G13" i="2"/>
  <c r="G15" i="2"/>
  <c r="G17" i="2"/>
  <c r="G18" i="2"/>
  <c r="G19" i="2"/>
  <c r="G20" i="2"/>
  <c r="G21" i="2"/>
  <c r="G22" i="2"/>
  <c r="G23" i="2"/>
  <c r="G24" i="2"/>
  <c r="G33" i="2"/>
  <c r="G34" i="2"/>
  <c r="G35" i="2"/>
  <c r="G36" i="2"/>
  <c r="G37" i="2"/>
  <c r="G39" i="2"/>
  <c r="E10" i="1"/>
  <c r="E11" i="1"/>
  <c r="E12" i="1"/>
  <c r="E13" i="1"/>
  <c r="E14" i="1"/>
  <c r="E15" i="1"/>
  <c r="E9" i="1"/>
  <c r="D16" i="1"/>
  <c r="C5" i="1"/>
  <c r="H20" i="3" l="1"/>
  <c r="E16" i="1"/>
  <c r="G16" i="1"/>
  <c r="H16" i="1" s="1"/>
  <c r="F16" i="1"/>
  <c r="H88" i="3"/>
  <c r="H89" i="3" s="1"/>
</calcChain>
</file>

<file path=xl/sharedStrings.xml><?xml version="1.0" encoding="utf-8"?>
<sst xmlns="http://schemas.openxmlformats.org/spreadsheetml/2006/main" count="879" uniqueCount="315">
  <si>
    <t>Lot</t>
  </si>
  <si>
    <t>Description</t>
  </si>
  <si>
    <t>Appointed Suppliers</t>
  </si>
  <si>
    <t>Contact Name</t>
  </si>
  <si>
    <t>Email Address</t>
  </si>
  <si>
    <t>Telephone Number</t>
  </si>
  <si>
    <t>Electronic Components Associated Products &amp; Service Kits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</si>
  <si>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City Electrical Factors</t>
    </r>
  </si>
  <si>
    <t>Paul Nightingale</t>
  </si>
  <si>
    <t>32TUnato@cef.co.ukU32T</t>
  </si>
  <si>
    <t>01733 402816</t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</si>
  <si>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Farnell Onecall</t>
    </r>
  </si>
  <si>
    <t xml:space="preserve">Michael Reeks </t>
  </si>
  <si>
    <t>32Tmreeks@premierfarnell.com32T</t>
  </si>
  <si>
    <t>07920 419 500</t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</si>
  <si>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Rapid Electronics</t>
    </r>
  </si>
  <si>
    <t>Chris Calver</t>
  </si>
  <si>
    <t>32Tchris.calver@rapidonline.com32T</t>
  </si>
  <si>
    <t>01206 838020</t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</si>
  <si>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Rexel</t>
    </r>
  </si>
  <si>
    <t>Tom Norris</t>
  </si>
  <si>
    <t>32Ttom.Norris@rexel.co.uk32T</t>
  </si>
  <si>
    <t>07741 291484</t>
  </si>
  <si>
    <r>
      <t>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RS Components</t>
    </r>
  </si>
  <si>
    <t>Kudzai Manduvi</t>
  </si>
  <si>
    <t>32TKudzai.manduvi@rs-components.com32T</t>
  </si>
  <si>
    <t>07827 841519</t>
  </si>
  <si>
    <t>Tools &amp;  Fixings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</si>
  <si>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City Electrical Factors</t>
    </r>
  </si>
  <si>
    <t>32Tnato@cef.co.uk32T</t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</si>
  <si>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Farnell Onecall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</si>
  <si>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Rapid Electronics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</si>
  <si>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Rexel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</si>
  <si>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RS Components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</si>
  <si>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Screwfix Direct</t>
    </r>
  </si>
  <si>
    <t>Zoe Harris</t>
  </si>
  <si>
    <t>32TZoe.harris@screwfix.com32T</t>
  </si>
  <si>
    <t>01935 441767</t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</si>
  <si>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YESSS Ltd</t>
    </r>
  </si>
  <si>
    <t>Giles Parker</t>
  </si>
  <si>
    <t>32Tnationalaccounts@yesss.co.uk32T</t>
  </si>
  <si>
    <t>07854 366814</t>
  </si>
  <si>
    <t>Test &amp; Measurement Equipment</t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</si>
  <si>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Lambda Photometrics</t>
    </r>
  </si>
  <si>
    <t>Peter Davenport</t>
  </si>
  <si>
    <t>32TPeter.davenport@lambdaphoto.co.uk32T</t>
  </si>
  <si>
    <t>07792 200061</t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</si>
  <si>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Microlease</t>
    </r>
  </si>
  <si>
    <t>Howard Peat</t>
  </si>
  <si>
    <t>32THoward.peat@microlease.com32T</t>
  </si>
  <si>
    <t>07885 464912</t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</si>
  <si>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SJ Electronics</t>
    </r>
  </si>
  <si>
    <t>Melvin Crane</t>
  </si>
  <si>
    <t>32Tm.crane@sjelectronics.co.uk32T</t>
  </si>
  <si>
    <t>07764 763216</t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</si>
  <si>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Thurlby Thandar</t>
    </r>
  </si>
  <si>
    <t>Gary Crowther</t>
  </si>
  <si>
    <t>32Tgary.crowther@ttid.co.uk32T</t>
  </si>
  <si>
    <t>Batteries</t>
  </si>
  <si>
    <t>1.City Electrical Factors</t>
  </si>
  <si>
    <t>2. Farnell Onecall</t>
  </si>
  <si>
    <t>3.Rapid Electronics</t>
  </si>
  <si>
    <t>4. Rexel</t>
  </si>
  <si>
    <t>5. RS Components</t>
  </si>
  <si>
    <t>6. Allbatteries</t>
  </si>
  <si>
    <t>Rebecca Reade</t>
  </si>
  <si>
    <t>32TRebecca.reade@allbatteries.com32T</t>
  </si>
  <si>
    <t>0121 506 8625</t>
  </si>
  <si>
    <t>7. H-Squared</t>
  </si>
  <si>
    <t>Marissa Stoneham</t>
  </si>
  <si>
    <t>32Tmarissastoneham@h-squared.co.uk32T</t>
  </si>
  <si>
    <t>01462 815115</t>
  </si>
  <si>
    <t>8.Screwfix Direct</t>
  </si>
  <si>
    <t>9.YESSS Electrical</t>
  </si>
  <si>
    <t>Approved Suppliers</t>
  </si>
  <si>
    <t>City Electrical Factors</t>
  </si>
  <si>
    <t>Farnell</t>
  </si>
  <si>
    <t>Rapid Electronics</t>
  </si>
  <si>
    <t>Rexel</t>
  </si>
  <si>
    <t>RS Components</t>
  </si>
  <si>
    <t>Screwfix Direct</t>
  </si>
  <si>
    <t>YESSS Ltd</t>
  </si>
  <si>
    <t>Lambda Photometrics</t>
  </si>
  <si>
    <t>Microlease</t>
  </si>
  <si>
    <t>SJ Electronics</t>
  </si>
  <si>
    <t>Thurlby Thandar</t>
  </si>
  <si>
    <t>Allbatteries</t>
  </si>
  <si>
    <t>H-Squared</t>
  </si>
  <si>
    <t>Mouser</t>
  </si>
  <si>
    <t>Robotshop</t>
  </si>
  <si>
    <t>Pimoroni</t>
  </si>
  <si>
    <t>Non-approved supplier</t>
  </si>
  <si>
    <t>Direct Plastics</t>
  </si>
  <si>
    <t>Smith Metals</t>
  </si>
  <si>
    <t>Team 3</t>
  </si>
  <si>
    <t>Item to purchase</t>
  </si>
  <si>
    <t>Item No</t>
  </si>
  <si>
    <t>Category</t>
  </si>
  <si>
    <t>Quantity</t>
  </si>
  <si>
    <t>Price (exc. VAT)</t>
  </si>
  <si>
    <t>Price (inc. VAT)</t>
  </si>
  <si>
    <t>Item link</t>
  </si>
  <si>
    <t>Proceed (Y/N)</t>
  </si>
  <si>
    <t>Date</t>
  </si>
  <si>
    <t>Remarks/Reason</t>
  </si>
  <si>
    <t>example</t>
  </si>
  <si>
    <t>DURATOOL Threaded Rod M12</t>
  </si>
  <si>
    <t>Motors and actuator</t>
  </si>
  <si>
    <t>https://uk.farnell.com/duratool/rod12/studding-steel-m12/dp/2444309#anchorTechnicalDOCS</t>
  </si>
  <si>
    <t>n</t>
  </si>
  <si>
    <t>28/10/24</t>
  </si>
  <si>
    <t>Lead screw testing</t>
  </si>
  <si>
    <t>RPI5-8GB-SINGLE</t>
  </si>
  <si>
    <t>Controls</t>
  </si>
  <si>
    <t>https://uk.farnell.com/raspberry-pi/rpi5-8gb-single/raspberry-pi-5-model-b-8gb-2-4ghz/dp/4256000?CMP=KNC-GUK-GEN-KWL-PMAX-MAN-L5Pages&amp;gad_source=1&amp;gclid=Cj0KCQjwsoe5BhDiARIsAOXVoUsdPtvgs2Df28s1bXzMRg3SD1BzyUbBLkqmW_oKAF5wZooAyNoNDZAaAhmHEALw_wcB</t>
  </si>
  <si>
    <t>y</t>
  </si>
  <si>
    <t>Raspberry Pi Camera Module 3</t>
  </si>
  <si>
    <t>Sensors</t>
  </si>
  <si>
    <t>https://uk.farnell.com/raspberry-pi/sc0872/rpi-camera-mod-3-standard-lens/dp/4132318</t>
  </si>
  <si>
    <t>RS Pro Timing Belt 6mm, 115.82mm</t>
  </si>
  <si>
    <t>https://uk.rs-online.com/web/p/timing-belts/7785039</t>
  </si>
  <si>
    <t>Timing Belt Pulley 32 Tooth</t>
  </si>
  <si>
    <t>https://uk.rs-online.com/web/p/belt-pulleys/2362817?gb=s</t>
  </si>
  <si>
    <t>Timing Belt Pulley 12 Tooth</t>
  </si>
  <si>
    <t>https://uk.rs-online.com/web/p/belt-pulleys/2362767?gb=s</t>
  </si>
  <si>
    <t>Threaded Rod M10 1m</t>
  </si>
  <si>
    <t>https://uk.farnell.com/duratool/rod10/studding-steel-m10/dp/2444308</t>
  </si>
  <si>
    <t>M10 Hex Nut (50)</t>
  </si>
  <si>
    <t>https://uk.farnell.com/tr-fastenings/m10-hfst-z50/full-nut-steel-bzp-m10-pk50/dp/1419453</t>
  </si>
  <si>
    <t>Train ticket to Amentum</t>
  </si>
  <si>
    <t>Others</t>
  </si>
  <si>
    <t>Visit to Amentum</t>
  </si>
  <si>
    <t>Nylon 66 12mm width rods 1m</t>
  </si>
  <si>
    <t>Chassis</t>
  </si>
  <si>
    <t>https://www.directplastics.co.uk/nylon-6-6-natural-rod-12mm-dia-x-1000mm</t>
  </si>
  <si>
    <t>Nylon 66 5mm width rods 1m</t>
  </si>
  <si>
    <t>https://www.directplastics.co.uk/nylon-6-6-natural-rod-5mm-dia-x-1000mm</t>
  </si>
  <si>
    <t>Adafruit NeoPixel LED Ring</t>
  </si>
  <si>
    <t>https://www.rapidonline.com/catalogue/search?Query=neopixel%2016</t>
  </si>
  <si>
    <t>TF Luna Lidar</t>
  </si>
  <si>
    <t>https://www.aliexpress.com/item/1005007295663136.html?spm=a2g0o.cart.0.0.66b838daTHPtFx&amp;mp=1</t>
  </si>
  <si>
    <t>Threadless Aluminium Alloy Busher</t>
  </si>
  <si>
    <t>Turning mechanism</t>
  </si>
  <si>
    <t>https://www.aliexpress.com/item/1005007460201719.html?spm=a2g0o.cart.0.0.66b838daTHPtFx&amp;mp=1</t>
  </si>
  <si>
    <t>Micro Linear Actuator, 150 mm, 150 N</t>
  </si>
  <si>
    <t>https://www.aliexpress.com/item/1005003526985420.html?spm=a2g0o.cart.0.0.66b838daTHPtFx&amp;mp=1</t>
  </si>
  <si>
    <t>Micro HDMI Cable, 5m</t>
  </si>
  <si>
    <t>https://thepihut.com/products/hdmi-to-micro-hdmi-cable-2m-gold-plated?srsltid=AfmBOopCG-2JkjTx6jz8BYG0luBDOOyu3eYL4gJwHWN2cfPnNfIBmr6l&amp;variant=40818117083331</t>
  </si>
  <si>
    <t>£3.90 delivery fee from PiHut</t>
  </si>
  <si>
    <t>Raspberry Pi 27W USB-C Power Supply</t>
  </si>
  <si>
    <t>https://thepihut.com/products/raspberry-pi-27w-usb-c-power-supply?variant=42531604103363</t>
  </si>
  <si>
    <t>RPi 5 Camera Adapter Cable, 500mm</t>
  </si>
  <si>
    <t>https://thepihut.com/products/camera-adapter-cable-for-raspberry-pi-5?variant=42531560849603</t>
  </si>
  <si>
    <t>https://www.aliexpress.com/item/1005005579542524.html?spm=a2g0o.cart.0.0.573a38daEszjvj&amp;mp=1</t>
  </si>
  <si>
    <t>Price including delivery and import tax</t>
  </si>
  <si>
    <t>M6 Threaded Inserts, 9mm, pack of 20</t>
  </si>
  <si>
    <t>https://www.123-3d.co.uk/123-3D-M6-thread-inserts-9mm-x-9mm-20-pack-i6876-t9745.html </t>
  </si>
  <si>
    <t>GT2 9mm Timing Belt, 2.5m</t>
  </si>
  <si>
    <t>https://www.123-3d.co.uk/123-3D-GT2-9mm-timing-belt-2-5-metres-i6550-t0.html </t>
  </si>
  <si>
    <t>M6 Threaded Rod, 1m</t>
  </si>
  <si>
    <t>https://www.123-3d.co.uk/123-3D-M6-threaded-rod-100cm-i2226-t0.html </t>
  </si>
  <si>
    <t>Grub Screws, M4x8mm, pack of 10</t>
  </si>
  <si>
    <t>https://www.123-3d.co.uk/123-3D-Grub-screws-M4-x-8mm-10-pack-i3103-t0.html </t>
  </si>
  <si>
    <t>M6 Nut, pack of 50</t>
  </si>
  <si>
    <t>https://www.123-3d.co.uk/123-3D-Zinc-plated-hexagon-M6-nut-50-pack-i142-t0.html  </t>
  </si>
  <si>
    <t>M6 Lock Nut, pack of 50</t>
  </si>
  <si>
    <t>https://www.123-3d.co.uk/123-3D-Zinc-plated-M6-lock-nut-50-pack-i144-t0.html </t>
  </si>
  <si>
    <t>GT2 Timing Belt Pulley, 20 teeth, 9mm belt, 8mm bore</t>
  </si>
  <si>
    <t>https://www.123-3d.co.uk/123-3D-GT2-timing-belt-pulley-20-teeth-9mm-belt-8mm-bore-GT2-20T-W9-B8-i2306-t0.html </t>
  </si>
  <si>
    <t>Bevel Gear, 5mm bore, 10 teeth</t>
  </si>
  <si>
    <t>https://uk.rs-online.com/web/p/mitre-bevel-gears/1828012?gb=s</t>
  </si>
  <si>
    <t>3M UV Safety glasses , PC Lens</t>
  </si>
  <si>
    <t>https://uk.rs-online.com/web/p/safety-glasses/1849475?gb=s</t>
  </si>
  <si>
    <t>H&amp;S equipment for build</t>
  </si>
  <si>
    <t>Portwest Grey Polyurethane Cut Resistant Gloves</t>
  </si>
  <si>
    <t>https://uk.rs-online.com/web/p/work-gloves/2372807?gb=s</t>
  </si>
  <si>
    <t>RS PRO M3 Brass Threaded Inserts, 4mm depth, 4.78mm (Pack of 100)</t>
  </si>
  <si>
    <t>https://uk.rs-online.com/web/p/threaded-inserts/0278584?gb=s</t>
  </si>
  <si>
    <t>Polycarbonate sheet 250x250x3mm</t>
  </si>
  <si>
    <t>https://www.directplastics.co.uk/lexan-polycarb-sheet-250-x-250-x-3mm</t>
  </si>
  <si>
    <t>Polycarbonate sheet 100x500x3mm</t>
  </si>
  <si>
    <t>https://www.directplastics.co.uk/lexan-polycarb-sheet-1000-x-500-x-3mm</t>
  </si>
  <si>
    <t>XL4015 DC-DC 5A Adjustable Step Down Power Supply Module</t>
  </si>
  <si>
    <t>https://www.switchelectronics.co.uk/products/xl4015-dc-dc-5a-adjustable-step-down-power-supply-module-4-38v?variant=45334949626165</t>
  </si>
  <si>
    <t>L9110S H-Bridge Dual Channel Motor Driver</t>
  </si>
  <si>
    <t>https://www.switchelectronics.co.uk/products/l9110s-h-bridge-dual-dc-motor-driver-controller-module?variant=45334948151605</t>
  </si>
  <si>
    <t>1.1A PTC Resettable Fuse 30V</t>
  </si>
  <si>
    <t>https://www.switchelectronics.co.uk/products/1-1a-ptc-resettable-fuse-30v-mf-r110-0-99?variant=45454307295541</t>
  </si>
  <si>
    <t>3-Way Single Row PCB Socket 2.54mm</t>
  </si>
  <si>
    <t>https://www.switchelectronics.co.uk/products/3-way-single-row-pcb-socket-2-54mm?variant=45606357074229</t>
  </si>
  <si>
    <t>10-Way 3.81mm PCB Terminal 10A 150V</t>
  </si>
  <si>
    <t>https://www.switchelectronics.co.uk/products/10-way-3-81mm-pcb-terminal-block-green-10a-150v?variant=45967183085877</t>
  </si>
  <si>
    <t>40-Way Double Row PCB Socket 2.54mm</t>
  </si>
  <si>
    <t>https://www.switchelectronics.co.uk/products/40-way-double-row-pcb-socket-2-54mm?variant=45606359925045</t>
  </si>
  <si>
    <t>20-Way Single Row PCB Socker 2.54mm</t>
  </si>
  <si>
    <t>https://www.switchelectronics.co.uk/products/20-way-single-row-pcb-socket-2-54mm?variant=45606357303605</t>
  </si>
  <si>
    <t>Spring Steel 2x40x1000x2 CS95 Carbon Steel</t>
  </si>
  <si>
    <t>https://www.ebay.co.uk/itm/315051934625?_trkparms=amclksrc%3DITM%26aid%3D1110006%26algo%3DHOMESPLICE.SIM%26ao%3D1%26asc%3D279615%2C279337%2C279449%26meid%3D49a3dab85afb4c1c8a0099131b931cdd%26pid%3D101224%26rk%3D4%26rkt%3D5%26sd%3D313437847530%26itm%3D315051934625%26pmt%3D0%26noa%3D1%26pg%3D2332490%26algv%3DDefaultOrganicWebV9BertRefreshRankerWithCassiniEmbRecall&amp;_trksid=p2332490.c101224.m-1</t>
  </si>
  <si>
    <t>£12 delivery fee</t>
  </si>
  <si>
    <t>RS PRO Bevel Gear, 5mm bore, 15 teeth, 1.0 module (pack of 3)</t>
  </si>
  <si>
    <t>https://uk.rs-online.com/web/p/mitre-bevel-gears/1828002?gb=s</t>
  </si>
  <si>
    <t>RS PRO Bevel Gear, 8mm bore, 30 teeth, 1.0 module</t>
  </si>
  <si>
    <t>https://uk.rs-online.com/web/p/mitre-bevel-gears/1827994?gb=s</t>
  </si>
  <si>
    <t>Raspberry Pi 2MB SC0917 Pico H 32-bit</t>
  </si>
  <si>
    <t>https://www.rapidonline.com/raspberry-pi-2mb-sc0917-pico-h-32-bit-soc-singles-75-1230</t>
  </si>
  <si>
    <t>Silicone Mold Making Kit 20A, Translucent, 38oz</t>
  </si>
  <si>
    <t>https://www.amazon.co.uk/gp/product/B0CWV2TLYM/ref=ox_sc_act_title_1?smid=A20DQN62VE7VKX&amp;th=1</t>
  </si>
  <si>
    <t>£4.49 shipping fee</t>
  </si>
  <si>
    <t>BNO055 9DOF Magnetic Field Module</t>
  </si>
  <si>
    <t>https://www.amazon.co.uk/gp/product/B0DKFXSNDX/ref=ox_sc_act_title_2?smid=A2BTFLBJACKCFQ&amp;psc=1</t>
  </si>
  <si>
    <t>VL53L1X Flight Time Sensors Module</t>
  </si>
  <si>
    <t>https://www.amazon.co.uk/gp/product/B0DQXCTFTQ/ref=ox_sc_act_title_3?smid=AWD28J313WSQU&amp;psc=1</t>
  </si>
  <si>
    <t>£4 shipping fee</t>
  </si>
  <si>
    <t>100m Fishing Line, 0.5mm Monofilament Clear Nylon Fishing Line</t>
  </si>
  <si>
    <t>https://www.amazon.co.uk/gp/product/B0BG2P8C16/ref=ox_sc_act_title_4?smid=A1YB9N4NYOGGKS&amp;psc=1</t>
  </si>
  <si>
    <t>https://www.mouser.co.uk/ProductDetail/Benewake/TF-Luna-I2C?qs=DPoM0jnrROUWvdDwJYVpzw%3D%3D</t>
  </si>
  <si>
    <t>Shift Register 8-bit - 74HC595</t>
  </si>
  <si>
    <t xml:space="preserve">https://shop.pimoroni.com/products/shift-register-8-bit-74hc595?variant=27861668167 </t>
  </si>
  <si>
    <t>£3.25 shipping fee</t>
  </si>
  <si>
    <t>Wire-to board Terminal Block, Screwless, 5mm, 2-way</t>
  </si>
  <si>
    <t>https://uk.farnell.com/te-connectivity/2834076-1/tb-wire-to-board-2pos-28-14awg/dp/2610397#anchorTechnicalDOCS</t>
  </si>
  <si>
    <t>TruPower CQ-122N Mini Automotive Fuseholder</t>
  </si>
  <si>
    <t>https://www.rapidonline.com/trupower-cq-122n-mini-automotive-fuseholder-26-2470</t>
  </si>
  <si>
    <t>CamdenBoss 2 way, 10A, Interlocking Terminal Block, 3.81mm pitch</t>
  </si>
  <si>
    <t>https://www.rapidonline.com/camdenboss-ctb0308-2-2-way-10a-interlocking-terminal-block-3-81mm-pitch-21-1655</t>
  </si>
  <si>
    <t>Sealey Automotive Standard Blade Fuse 5A (pack of 50)</t>
  </si>
  <si>
    <t>https://www.rapidonline.com/sealey-sbf550-automotive-standard-blade-fuse-5a-pack-of-50-84-0518</t>
  </si>
  <si>
    <t>ROD6 Duratool M6, 1mm pitch, 1m length</t>
  </si>
  <si>
    <t>https://uk.farnell.com/duratool/rod6/studding-steel-m6/dp/2444306</t>
  </si>
  <si>
    <t>Sealey MBF550 Automotive MINI Blade Fuse 5A (pack of 50)</t>
  </si>
  <si>
    <t>https://www.rapidonline.com/sealey-mbf550-automotive-mini-blade-fuse-5a-pack-of-50-84-0506</t>
  </si>
  <si>
    <t>ACS712 Hall Board Current Sensor Module 5A</t>
  </si>
  <si>
    <t>https://kunkune.co.uk/shop/arduino-sensors/acs712-hall-board-current-sensor-module-5a-20a-30a/?attribute_variant=5A</t>
  </si>
  <si>
    <t>17/3/2025</t>
  </si>
  <si>
    <t>L9110S H-Bridge Dual DC Stepper Motor Controller Board (pack of 5)</t>
  </si>
  <si>
    <t>https://kunkune.co.uk/shop/servo-motors-and-shields/5x-l9110s-h-bridge-dual-dc-stepper-motor-controller-board/</t>
  </si>
  <si>
    <t>4 pcs 50kg Load Cell with HX711 Amplifier</t>
  </si>
  <si>
    <t>https://kunkune.co.uk/shop/arduino-sensors/4pcs-50kg-load-cell-with-hx711-amplifier/</t>
  </si>
  <si>
    <t>HX711 Weight Pressure Sensor</t>
  </si>
  <si>
    <t>https://kunkune.co.uk/shop/arduino-sensors/hx711-weight-pressure-sensor/</t>
  </si>
  <si>
    <t>Polycarbonate Clear 250x250x2mm</t>
  </si>
  <si>
    <t>https://www.directplastics.co.uk/lexan-polycarb-sheet-250-x-250-x-2mm</t>
  </si>
  <si>
    <t>Micro Linear Actuator, 150mm stroke, 150N</t>
  </si>
  <si>
    <t>https://www.aliexpress.com/item/1005005579542524.html?spm=a2g0o.cart.0.0.2d7138daAxE7rB&amp;mp=1&amp;pdp_npi=5%40dis%21GBP%21GBP%2014.29%21GBP%207.43%21%21%21%21%21%40211b815c17422199123476520e9d00%2112000034768107233%21ct%21UK%212794098101%21%218%210</t>
  </si>
  <si>
    <t>Micro Linear Actuator, 100mm stroke, 150N</t>
  </si>
  <si>
    <t>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</t>
  </si>
  <si>
    <t>SER0046 Micro Servo</t>
  </si>
  <si>
    <t>https://uk.farnell.com/dfrobot/ser0046/servo-motor-270deg-1-47n-m-6v/dp/3769942?gross_price=true&amp;CMP=KNC-GUK-GEN-SHOPPING-PLA&amp;gad_source=1&amp;gclid=Cj0KCQjwkZm_BhDrARIsAAEbX1FK2SYS7AQ7BYgMssZTt4wQY_dzzLX46R1KPrPoAz2qn_wxHCbDhW4aAiOeEALw_wcB</t>
  </si>
  <si>
    <t>28/3/2025</t>
  </si>
  <si>
    <t>Raspberry Pi Pico H</t>
  </si>
  <si>
    <t>https://uk.farnell.com/raspberry-pi/raspberry-pi-pico-h/raspberry-pi-board-arm-cortex/dp/3996081</t>
  </si>
  <si>
    <t>Bourns 3690 10kOhm Rotary Potentiometer</t>
  </si>
  <si>
    <t>https://uk.rs-online.com/web/p/potentiometers/1070785?gb=s</t>
  </si>
  <si>
    <t>Adafruit 9-DoF Absolute Orientation IMU BNO055</t>
  </si>
  <si>
    <t>https://www.mouser.co.uk/ProductDetail/Adafruit/4646?qs=W%2FMpXkg%252BdQ4Msqspav40iw%3D%3D</t>
  </si>
  <si>
    <t>Distance Sensor VL53L1X ToF Sensor Breakout</t>
  </si>
  <si>
    <t>https://www.mouser.co.uk/ProductDetail/Pimoroni/PIM373?qs=lc2O%252BfHJPVbu7kI%2FlA0xSg%3D%3D</t>
  </si>
  <si>
    <t>Carbon Fibre Solid Rod 5x500</t>
  </si>
  <si>
    <t>https://www.rapidonline.com/carbon-fibre-solid-rod-5x500mm-50-8872</t>
  </si>
  <si>
    <t>14/04/2025</t>
  </si>
  <si>
    <t>CD74HC4067M96 Multiplexer Switch IC</t>
  </si>
  <si>
    <t>https://www.mouser.co.uk/ProductDetail/Texas-Instruments/CD74HC4067M96?qs=xFfolx0DHx0XT7d9xTTZBA%3D%3D&amp;mgh=1&amp;vip=1&amp;utm_id=20808080842&amp;utm_source=google&amp;utm_medium=cpc&amp;utm_marketing_tactic=emeacorp&amp;gad_source=1&amp;gclid=CjwKCAjw5PK_BhBBEiwAL7GTPSLQzRDsMk02kAtdLwiMnYoRWe-dQGa-nrYvQUyNJKXaYc6TWaCUMxoCgykQAvD_BwE</t>
  </si>
  <si>
    <t xml:space="preserve">Micro Linear Actuator 12VDC, A Type 150mm, 150N 4mm/s </t>
  </si>
  <si>
    <t xml:space="preserve">https://www.aliexpress.com/item/1005005579542524.html?spm=a2g0o.cart.0.0.2d7138daAxE7rB&amp;mp=1&amp;pdp_npi=5%40dis%21GBP%21GBP%2014.29%21GBP%207.43%21%21%21%21%21%40211b815c17422199123476520e9d00%2112000034768107233%21ct%21UK%212794098101%21%218%210 </t>
  </si>
  <si>
    <t>£5.79 shipping fee</t>
  </si>
  <si>
    <t xml:space="preserve">Small Linear Actuator, 12V 75mm stroke, Load 70N </t>
  </si>
  <si>
    <t xml:space="preserve">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 </t>
  </si>
  <si>
    <t xml:space="preserve">VL53L1X ToF Sensor </t>
  </si>
  <si>
    <t xml:space="preserve">https://www.aliexpress.com/item/1005005643165013.html?spm=a2g0o.productlist.main.1.7100zrUNzrUNdJ&amp;algo_pvid=49840392-b71d-4bdc-b800-4c660d9dd7eb&amp;algo_exp_id=49840392-b71d-4bdc-b800-4c660d9dd7eb-0&amp;pdp_ext_f=%7B%22order%22%3A%22294%22%2C%22eval%22%3A%221%22%7D&amp;pdp_npi=4%40dis%21GBP%212.40%210.78%21%21%213.06%211.00%21%40211b65de17446399512237926e52b0%2112000033858408173%21sea%21UK%210%21ABX&amp;curPageLogUid=m9zMbIZZdtnW&amp;utparam-url=scene%3Asearch%7Cquery_from%3A </t>
  </si>
  <si>
    <t xml:space="preserve">BNO055 9DOF Absolute Orientation Breakout Board </t>
  </si>
  <si>
    <t xml:space="preserve">https://www.aliexpress.com/item/1005005499172228.html?spm=a2g0o.productlist.main.3.3a901ccffZ6Orm&amp;algo_pvid=7bc6016d-f218-4821-809f-3826dc11c60d&amp;algo_exp_id=7bc6016d-f218-4821-809f-3826dc11c60d-1&amp;pdp_ext_f=%7B%22order%22%3A%2266%22%2C%22eval%22%3A%221%22%7D&amp;pdp_npi=4%40dis%21GBP%216.59%216.59%21%21%218.38%218.38%21%40211b61a417446400470368319eb7a7%2112000033321745339%21sea%21UK%210%21ABX&amp;curPageLogUid=KC8bDUtx27jc&amp;utparam-url=scene%3Asearch%7Cquery_from%3A </t>
  </si>
  <si>
    <t xml:space="preserve">Miniature Ball Bearing, 6x17x6mm (10 units) </t>
  </si>
  <si>
    <t xml:space="preserve">https://www.aliexpress.com/item/1005007668446060.html?spm=a2g0o.cart.0.0.ab6a38dayEggyD&amp;mp=1&amp;pdp_npi=5%40dis%21GBP%21GBP%203.01%21GBP%203.01%21%21%21%21%21%402103835e17446413105873651ea67f%2112000041725798031%21ct%21UK%212794098101%21%211%210  </t>
  </si>
  <si>
    <t>40 kg Digital Servo High Voltage High Torque Metal Gear 360 Continuous Rotation</t>
  </si>
  <si>
    <t>https://www.amazon.co.uk/DIYmall-Coreless-Continuous-Rotation-Helicopter/dp/B0DNM3Q1MQ/ref=sr_1_51?crid=2EZ6K8MEXAXVY&amp;dib=eyJ2IjoiMSJ9.ce0vEDD1oh6V_MXGPFV3-NQXOA8eYkATrny8r1nClpk0wP747gzic_H9kqsdu046-X3kQDAlatifhyl6UkUpdL_7o_55YMRmtdjB7n5ZArqIcBZKLWr8xyHdXGHWVhI8xzQMf61G-4o-3txT-0HQ9I0lrr8R4swBY1hFNz8AiqseARJyhMv8lO2B3VZcVD3sEFrq-wWbfffXBi0vLOqkKBuhwpvBENOzT2P91exgSRUtbrXbgwMU5bp6cqPOEtpZcNZbLRvnjh83ywxzezdJ1CerirUqFg8OKfJ8x_u1uwU.FC0awUSS3G5gVqyWyX_K8wv_A0c8xGx_WLmx_sZiG4Y&amp;dib_tag=se&amp;keywords=Continuous+Rotation+Servo&amp;qid=1745592442&amp;sprefix=continuous+rotation+servo%2Caps%2C73&amp;sr=8-51</t>
  </si>
  <si>
    <t>28/04/2025</t>
  </si>
  <si>
    <t>Only 2 arrived</t>
  </si>
  <si>
    <t>Polycarbonate Clear 1200x600x2mm</t>
  </si>
  <si>
    <t>https://www.directplastics.co.uk/lexan-polycarb-sheet-1200-x-600-x-2mm</t>
  </si>
  <si>
    <t>Wire-to-Board Terminal Block, 2.54 mm, 8 ways, MP008517</t>
  </si>
  <si>
    <t>https://uk.farnell.com/multicomp-pro/mp008517/tb-wire-to-brd-r-a-8way-18awg/dp/3817464?ost=wire-to-board+terminal+block%2C+2.54+mm%2C+8+ways%2C+26+awg%2C+18+awg%2C+1+mm%C2%B2%2C+screw&amp;cfm=true</t>
  </si>
  <si>
    <t>Wire-to-Board Terminal Block, 2.54 mm, 6 ways, MP008516</t>
  </si>
  <si>
    <t>https://uk.farnell.com/multicomp-pro/mp008516/tb-wire-to-brd-r-a-6way-18awg/dp/3817463?st=2.54%20terminal%20block%20screw</t>
  </si>
  <si>
    <t xml:space="preserve">25T Steering Gear Servo Winch Wheel Drum for 1/10 RC Crawler Car </t>
  </si>
  <si>
    <t>https://www.amazon.co.uk/CENPEK-Steering-Crawler-Traxxsa-Tamiay/dp/B09H73VWZY/ref=sr_1_5?crid=26YTECJASDBVS&amp;dib=eyJ2IjoiMSJ9.Z-TOHsrbb7aNsfNHB8Bm0jg0JuX4SYodIFpuqAmTwUrRpMBVK3GZI9JwpuZrK_48qu0JnX2spx1WVZARv0bhAJLxOzvhCOYPIfebZYZAtU921L1sPAJ-naY1kctRUSF37jt8tlU9yuzRSb4w3LfRqFUBmyLZkWLskZx92skeR3IEZz5X84fp4a9asYiA_AJOXFwC3--_n6YMcBswVrKzsZemg1BnroFTgvTbQawsgN890TchhBBUDKF6Qde1-mxoyXyiynda4OA9bz_gHMyWqG8ZGqZrxOCYbDx-Uo8kwbQ.Cqb4rzdfIo6RFwe6BG-hWv-jdZCtYslbkcl6jn8bW98&amp;dib_tag=se&amp;keywords=25T+spool&amp;qid=1747304929&amp;s=kids&amp;sprefix=25t+spool%2Ctoys%2C114&amp;sr=1-5</t>
  </si>
  <si>
    <t>£4.49 delivery fee</t>
  </si>
  <si>
    <t xml:space="preserve">4Pcs INA219 I2C Interface Bi-Directional DC Current Power Supply Sensor </t>
  </si>
  <si>
    <t xml:space="preserve">https://www.amazon.co.uk/dp/B0CP73P31R?ref=cm_sw_r_cso_cp_apin_dp_9BCV110ZV3K4HAMX6FJ1&amp;ref_=cm_sw_r_cso_cp_apin_dp_9BCV110ZV3K4HAMX6FJ1&amp;social_share=cm_sw_r_cso_cp_apin_dp_9BCV110ZV3K4HAMX6FJ1&amp;previewDoh=1  </t>
  </si>
  <si>
    <t xml:space="preserve"> </t>
  </si>
  <si>
    <t>proceed?</t>
  </si>
  <si>
    <t>Y</t>
  </si>
  <si>
    <t>N</t>
  </si>
  <si>
    <t>Spending tracker</t>
  </si>
  <si>
    <t>Item ID</t>
  </si>
  <si>
    <t>Order date</t>
  </si>
  <si>
    <t>Item cost (exc. VAT)</t>
  </si>
  <si>
    <t>Item cost (inc. VAT)</t>
  </si>
  <si>
    <t>Remarks</t>
  </si>
  <si>
    <t>Order received</t>
  </si>
  <si>
    <t>Order cancelled</t>
  </si>
  <si>
    <t>Did not arrive</t>
  </si>
  <si>
    <t>Total cost (exc. VAT)</t>
  </si>
  <si>
    <t>Total cost (inc. VAT)</t>
  </si>
  <si>
    <t>Budget remaining</t>
  </si>
  <si>
    <t xml:space="preserve">Team 3 Budget </t>
  </si>
  <si>
    <t xml:space="preserve">Balance as of </t>
  </si>
  <si>
    <t>Plan</t>
  </si>
  <si>
    <t>Balance</t>
  </si>
  <si>
    <t>Actual</t>
  </si>
  <si>
    <t>Actual %</t>
  </si>
  <si>
    <t>Contingency</t>
  </si>
  <si>
    <t>Total</t>
  </si>
  <si>
    <t>Purchase</t>
  </si>
  <si>
    <t>Price</t>
  </si>
  <si>
    <t>14/4/25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</si>
</sst>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d/m/yy"/>
    <numFmt numFmtId="166" formatCode="[$£-809]#,##0.00"/>
    <numFmt numFmtId="167" formatCode="d/m/yy;@"/>
    <numFmt numFmtId="168" formatCode="&quot;£&quot;#,##0.00"/>
  </numFmts>
  <fonts count="17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7"/>
      <color theme="1"/>
      <name val="Times New Roman"/>
      <family val="1"/>
    </font>
    <font>
      <sz val="8"/>
      <color theme="1"/>
      <name val="Calibri"/>
      <family val="2"/>
    </font>
    <font>
      <sz val="9"/>
      <color rgb="FF000000"/>
      <name val="Calibri"/>
      <family val="2"/>
    </font>
    <font>
      <sz val="7"/>
      <color rgb="FF000000"/>
      <name val="Times New Roman"/>
      <family val="1"/>
    </font>
    <font>
      <sz val="8"/>
      <color rgb="FF000000"/>
      <name val="Calibri"/>
      <family val="2"/>
    </font>
    <font>
      <u/>
      <sz val="12"/>
      <color theme="10"/>
      <name val="Aptos Narrow"/>
      <family val="2"/>
      <scheme val="minor"/>
    </font>
    <font>
      <sz val="11"/>
      <color rgb="FF242424"/>
      <name val="Aptos Narrow"/>
    </font>
    <font>
      <sz val="12"/>
      <color rgb="FF000000"/>
      <name val="Aptos Narrow"/>
      <scheme val="minor"/>
    </font>
    <font>
      <u/>
      <sz val="12"/>
      <color rgb="FF628D9A"/>
      <name val="Aptos Narrow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8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0" fillId="0" borderId="11" xfId="0" applyBorder="1"/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 indent="2"/>
    </xf>
    <xf numFmtId="0" fontId="12" fillId="0" borderId="14" xfId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 indent="2"/>
    </xf>
    <xf numFmtId="0" fontId="6" fillId="0" borderId="13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9" fillId="0" borderId="14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left" vertical="center" wrapText="1" indent="2"/>
    </xf>
    <xf numFmtId="0" fontId="6" fillId="0" borderId="16" xfId="0" applyFont="1" applyBorder="1" applyAlignment="1">
      <alignment vertical="center" wrapText="1"/>
    </xf>
    <xf numFmtId="0" fontId="12" fillId="0" borderId="16" xfId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 indent="2"/>
    </xf>
    <xf numFmtId="0" fontId="12" fillId="0" borderId="13" xfId="1" applyBorder="1" applyAlignment="1">
      <alignment vertical="center" wrapText="1"/>
    </xf>
    <xf numFmtId="0" fontId="9" fillId="0" borderId="16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  <xf numFmtId="0" fontId="12" fillId="0" borderId="0" xfId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2" fillId="0" borderId="17" xfId="1" applyBorder="1" applyAlignment="1">
      <alignment vertical="center" wrapText="1"/>
    </xf>
    <xf numFmtId="0" fontId="12" fillId="0" borderId="18" xfId="1" applyBorder="1" applyAlignment="1">
      <alignment vertical="center" wrapText="1"/>
    </xf>
    <xf numFmtId="0" fontId="9" fillId="0" borderId="16" xfId="0" applyFont="1" applyBorder="1" applyAlignment="1">
      <alignment horizontal="justify" vertical="center" wrapText="1"/>
    </xf>
    <xf numFmtId="0" fontId="12" fillId="0" borderId="0" xfId="1" applyAlignment="1"/>
    <xf numFmtId="0" fontId="12" fillId="0" borderId="0" xfId="1"/>
    <xf numFmtId="166" fontId="0" fillId="0" borderId="1" xfId="0" applyNumberFormat="1" applyBorder="1" applyAlignment="1">
      <alignment horizontal="center"/>
    </xf>
    <xf numFmtId="0" fontId="13" fillId="0" borderId="0" xfId="0" applyFont="1"/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19" xfId="0" applyBorder="1"/>
    <xf numFmtId="165" fontId="0" fillId="0" borderId="19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1" xfId="0" applyFont="1" applyBorder="1"/>
    <xf numFmtId="168" fontId="0" fillId="0" borderId="1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0" fontId="0" fillId="0" borderId="20" xfId="0" applyBorder="1"/>
    <xf numFmtId="167" fontId="0" fillId="0" borderId="20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5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12" fillId="0" borderId="5" xfId="1" applyBorder="1"/>
    <xf numFmtId="0" fontId="0" fillId="0" borderId="21" xfId="0" applyBorder="1"/>
    <xf numFmtId="167" fontId="0" fillId="0" borderId="21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0" fontId="0" fillId="0" borderId="22" xfId="0" applyBorder="1"/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6" fillId="0" borderId="1" xfId="0" applyFont="1" applyBorder="1"/>
    <xf numFmtId="0" fontId="12" fillId="0" borderId="5" xfId="1" applyBorder="1" applyAlignment="1"/>
    <xf numFmtId="0" fontId="14" fillId="0" borderId="5" xfId="0" applyFont="1" applyBorder="1"/>
    <xf numFmtId="0" fontId="0" fillId="0" borderId="23" xfId="0" applyBorder="1"/>
    <xf numFmtId="168" fontId="0" fillId="0" borderId="0" xfId="0" applyNumberForma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/>
  </cellXfs>
  <cellStyles count="2">
    <cellStyle name="Hyperlink" xfId="1" builtinId="8"/>
    <cellStyle name="Normal" xfId="0" builtinId="0"/>
  </cellStyles>
  <dxfs count="25">
    <dxf>
      <numFmt numFmtId="168" formatCode="&quot;£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d/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&quot;£&quot;#,##0.00"/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168" formatCode="&quot;£&quot;#,##0.00"/>
      <alignment horizontal="center" vertical="bottom" textRotation="0" wrapText="0" indent="0" justifyLastLine="0" shrinkToFit="0" readingOrder="0"/>
    </dxf>
    <dxf>
      <numFmt numFmtId="168" formatCode="&quot;£&quot;#,##0.00"/>
      <alignment horizontal="center" vertical="bottom" textRotation="0" wrapText="0" indent="0" justifyLastLine="0" shrinkToFit="0" readingOrder="0"/>
    </dxf>
    <dxf>
      <numFmt numFmtId="168" formatCode="&quot;£&quot;#,##0.00"/>
      <alignment horizontal="center"/>
    </dxf>
    <dxf>
      <alignment horizontal="center"/>
    </dxf>
    <dxf>
      <numFmt numFmtId="167" formatCode="d/m/yy;@"/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79BA3"/>
        </patternFill>
      </fill>
    </dxf>
    <dxf>
      <numFmt numFmtId="167" formatCode="d/m/yy;@"/>
      <alignment horizontal="center"/>
    </dxf>
    <dxf>
      <alignment horizontal="center"/>
    </dxf>
    <dxf>
      <alignment wrapText="0"/>
    </dxf>
    <dxf>
      <numFmt numFmtId="168" formatCode="&quot;£&quot;#,##0.00"/>
      <alignment horizontal="center"/>
    </dxf>
    <dxf>
      <numFmt numFmtId="168" formatCode="&quot;£&quot;#,##0.00"/>
      <alignment horizontal="center"/>
    </dxf>
    <dxf>
      <alignment horizontal="center"/>
    </dxf>
    <dxf>
      <alignment wrapText="0"/>
    </dxf>
    <dxf>
      <fill>
        <patternFill>
          <bgColor theme="9" tint="0.59996337778862885"/>
        </patternFill>
      </fill>
    </dxf>
    <dxf>
      <fill>
        <patternFill>
          <bgColor rgb="FFF79BA3"/>
        </patternFill>
      </fill>
    </dxf>
  </dxfs>
  <tableStyles count="0" defaultTableStyle="TableStyleMedium2" defaultPivotStyle="PivotStyleLight16"/>
  <colors>
    <mruColors>
      <color rgb="FFF79BA3"/>
      <color rgb="FF628D9A"/>
      <color rgb="FF558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7-4B80-9ADF-51BD7C3C3E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7-4B80-9ADF-51BD7C3C3E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47-4B80-9ADF-51BD7C3C3E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47-4B80-9ADF-51BD7C3C3E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47-4B80-9ADF-51BD7C3C3E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47-4B80-9ADF-51BD7C3C3E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47-4B80-9ADF-51BD7C3C3E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963F16C-1179-4F43-A322-2630B3EC100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644E904B-4CA4-4F67-AB72-26B43081DB0F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47-4B80-9ADF-51BD7C3C3E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D9C193-3D13-4CEB-BFDA-77835C45E8BA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BD28A1F3-F216-4025-A1B2-FC9F8816F98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47-4B80-9ADF-51BD7C3C3E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2D3C18-5C58-40EC-8E9B-449232C10742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EF566D68-C0FA-42B0-989E-13B0D6484DF8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47-4B80-9ADF-51BD7C3C3E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F57D51-6C9E-48D6-9647-D453BE33E8E3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62C50926-67A9-4D07-941B-9C70E75D4B6B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47-4B80-9ADF-51BD7C3C3E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5B3A79-09EA-4AFA-BC16-197EE3C00A2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E5CAF474-31B5-474A-858D-29CA433D9CCC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47-4B80-9ADF-51BD7C3C3E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2CBEEF-46C2-4792-BEBD-195C41937F48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D4D79678-F6C1-4452-9C1D-6B02273A1158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47-4B80-9ADF-51BD7C3C3E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931A63-6764-4B49-863F-4B30D329744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88DF75D-8881-47BF-9D3A-846D094CE8D7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47-4B80-9ADF-51BD7C3C3EAE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Chart!$B$9:$B$15</c:f>
              <c:strCache>
                <c:ptCount val="7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</c:strCache>
            </c:strRef>
          </c:cat>
          <c:val>
            <c:numRef>
              <c:f>Chart!$D$9:$D$15</c:f>
              <c:numCache>
                <c:formatCode>0.0%</c:formatCode>
                <c:ptCount val="7"/>
                <c:pt idx="0">
                  <c:v>0.46</c:v>
                </c:pt>
                <c:pt idx="1">
                  <c:v>0.15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8.5000000000000006E-2</c:v>
                </c:pt>
                <c:pt idx="5">
                  <c:v>6.5000000000000002E-2</c:v>
                </c:pt>
                <c:pt idx="6">
                  <c:v>8.5000000000000006E-2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Chart!$B$9:$B$15</c15:f>
                <c15:dlblRangeCache>
                  <c:ptCount val="7"/>
                  <c:pt idx="0">
                    <c:v>Motors and actuator</c:v>
                  </c:pt>
                  <c:pt idx="1">
                    <c:v>Turning mechanism</c:v>
                  </c:pt>
                  <c:pt idx="2">
                    <c:v>Sensors</c:v>
                  </c:pt>
                  <c:pt idx="3">
                    <c:v>Chassis</c:v>
                  </c:pt>
                  <c:pt idx="4">
                    <c:v>Controls</c:v>
                  </c:pt>
                  <c:pt idx="5">
                    <c:v>Contingency</c:v>
                  </c:pt>
                  <c:pt idx="6">
                    <c:v>Others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494-4C00-9F3E-18505BDC3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Projected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Chart!$B$9:$B$16</c:f>
              <c:strCache>
                <c:ptCount val="8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  <c:pt idx="7">
                  <c:v>Total</c:v>
                </c:pt>
              </c:strCache>
            </c:strRef>
          </c:cat>
          <c:val>
            <c:numRef>
              <c:f>Chart!$E$9:$E$16</c:f>
              <c:numCache>
                <c:formatCode>[$£-809]#,##0.00</c:formatCode>
                <c:ptCount val="8"/>
                <c:pt idx="0">
                  <c:v>759</c:v>
                </c:pt>
                <c:pt idx="1">
                  <c:v>247.5</c:v>
                </c:pt>
                <c:pt idx="2">
                  <c:v>132</c:v>
                </c:pt>
                <c:pt idx="3">
                  <c:v>123.75</c:v>
                </c:pt>
                <c:pt idx="4">
                  <c:v>140.25</c:v>
                </c:pt>
                <c:pt idx="5">
                  <c:v>107.25</c:v>
                </c:pt>
                <c:pt idx="6">
                  <c:v>140.25</c:v>
                </c:pt>
                <c:pt idx="7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6-4341-9AAB-D719E28BE1B2}"/>
            </c:ext>
          </c:extLst>
        </c:ser>
        <c:ser>
          <c:idx val="1"/>
          <c:order val="1"/>
          <c:tx>
            <c:v>Actual</c:v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Chart!$B$9:$B$16</c:f>
              <c:strCache>
                <c:ptCount val="8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  <c:pt idx="7">
                  <c:v>Total</c:v>
                </c:pt>
              </c:strCache>
            </c:strRef>
          </c:cat>
          <c:val>
            <c:numRef>
              <c:f>Chart!$G$9:$G$16</c:f>
              <c:numCache>
                <c:formatCode>[$£-809]#,##0.00</c:formatCode>
                <c:ptCount val="8"/>
                <c:pt idx="0">
                  <c:v>344.09800000000001</c:v>
                </c:pt>
                <c:pt idx="1">
                  <c:v>211.024</c:v>
                </c:pt>
                <c:pt idx="2">
                  <c:v>277.64800000000002</c:v>
                </c:pt>
                <c:pt idx="3">
                  <c:v>197.244</c:v>
                </c:pt>
                <c:pt idx="4">
                  <c:v>100.55600000000001</c:v>
                </c:pt>
                <c:pt idx="5">
                  <c:v>0</c:v>
                </c:pt>
                <c:pt idx="6">
                  <c:v>152.90600000000003</c:v>
                </c:pt>
                <c:pt idx="7">
                  <c:v>1283.4760000000001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6-4341-9AAB-D719E28B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2453511"/>
        <c:axId val="1776709639"/>
      </c:barChart>
      <c:catAx>
        <c:axId val="1762453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9639"/>
        <c:crosses val="autoZero"/>
        <c:auto val="1"/>
        <c:lblAlgn val="ctr"/>
        <c:lblOffset val="100"/>
        <c:noMultiLvlLbl val="0"/>
      </c:catAx>
      <c:valAx>
        <c:axId val="1776709639"/>
        <c:scaling>
          <c:orientation val="minMax"/>
          <c:max val="1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5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1-5545-A5D1-55834B0D9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1-5545-A5D1-55834B0D9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1-5545-A5D1-55834B0D9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1-5545-A5D1-55834B0D9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1-5545-A5D1-55834B0D99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21-5545-A5D1-55834B0D99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21-5545-A5D1-55834B0D9988}"/>
              </c:ext>
            </c:extLst>
          </c:dPt>
          <c:dLbls>
            <c:dLbl>
              <c:idx val="0"/>
              <c:layout>
                <c:manualLayout>
                  <c:x val="-0.13893203287186615"/>
                  <c:y val="8.9464058928117859E-2"/>
                </c:manualLayout>
              </c:layout>
              <c:tx>
                <c:rich>
                  <a:bodyPr/>
                  <a:lstStyle/>
                  <a:p>
                    <a:fld id="{5F663C50-2115-413A-BF62-EE41B9E32614}" type="CELLRANGE">
                      <a:rPr lang="en-US" baseline="0"/>
                      <a:pPr/>
                      <a:t>[]</a:t>
                    </a:fld>
                    <a:r>
                      <a:rPr lang="en-US" baseline="0"/>
                      <a:t>, </a:t>
                    </a:r>
                    <a:fld id="{6D1814AD-F9F0-45CD-B735-0060D42CDA93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21-5545-A5D1-55834B0D99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AA0944-7CA6-4BD3-B069-4F45ADB32A28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70F89DF0-4873-41A9-A4FC-CEB247B731B0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21-5545-A5D1-55834B0D99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63DCC0-DAB1-40E9-9438-660A37012096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772D05B2-1E88-4992-B73D-370E930AB40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21-5545-A5D1-55834B0D99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1FA3A4-EC5B-4D95-95F2-8CA139323194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4F2B041F-F3AC-4F3A-A6F5-32AE1739785B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21-5545-A5D1-55834B0D99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3DF3E9-136E-4B1B-8390-5F666CEE5651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1DB126ED-169E-4653-822A-7EEF45997E1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21-5545-A5D1-55834B0D99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010A6B-6F5F-4691-B709-994A01804A7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AA9036D1-C9DF-45B4-ADE5-B984A87A42E5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21-5545-A5D1-55834B0D99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AEE6B9-86F8-490F-B597-735E7F97510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23C74522-9228-4786-9BB8-45030E2DD960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21-5545-A5D1-55834B0D998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Chart!$B$9:$B$15</c:f>
              <c:strCache>
                <c:ptCount val="7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</c:strCache>
            </c:strRef>
          </c:cat>
          <c:val>
            <c:numRef>
              <c:f>Chart!$H$9:$H$15</c:f>
              <c:numCache>
                <c:formatCode>0.00%</c:formatCode>
                <c:ptCount val="7"/>
                <c:pt idx="0">
                  <c:v>0.20854424242424244</c:v>
                </c:pt>
                <c:pt idx="1">
                  <c:v>0.12789333333333333</c:v>
                </c:pt>
                <c:pt idx="2">
                  <c:v>0.16827151515151517</c:v>
                </c:pt>
                <c:pt idx="3">
                  <c:v>0.11954181818181818</c:v>
                </c:pt>
                <c:pt idx="4">
                  <c:v>6.0943030303030311E-2</c:v>
                </c:pt>
                <c:pt idx="5">
                  <c:v>0</c:v>
                </c:pt>
                <c:pt idx="6">
                  <c:v>9.2670303030303047E-2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Chart!$B$9:$B$15</c15:f>
                <c15:dlblRangeCache>
                  <c:ptCount val="7"/>
                  <c:pt idx="0">
                    <c:v>Motors and actuator</c:v>
                  </c:pt>
                  <c:pt idx="1">
                    <c:v>Turning mechanism</c:v>
                  </c:pt>
                  <c:pt idx="2">
                    <c:v>Sensors</c:v>
                  </c:pt>
                  <c:pt idx="3">
                    <c:v>Chassis</c:v>
                  </c:pt>
                  <c:pt idx="4">
                    <c:v>Controls</c:v>
                  </c:pt>
                  <c:pt idx="5">
                    <c:v>Contingency</c:v>
                  </c:pt>
                  <c:pt idx="6">
                    <c:v>Others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9E1-42B1-A95F-69A325D60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</xdr:row>
      <xdr:rowOff>123825</xdr:rowOff>
    </xdr:from>
    <xdr:to>
      <xdr:col>15</xdr:col>
      <xdr:colOff>657225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2A5E0-2D32-BC06-8ED7-81331AE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695325</xdr:colOff>
      <xdr:row>24</xdr:row>
      <xdr:rowOff>9525</xdr:rowOff>
    </xdr:from>
    <xdr:to>
      <xdr:col>15</xdr:col>
      <xdr:colOff>609600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5A513-27C1-D412-9C09-D1B512323584}"/>
            </a:ext>
            <a:ext uri="{147F2762-F138-4A5C-976F-8EAC2B608ADB}">
              <a16:predDERef xmlns:a16="http://schemas.microsoft.com/office/drawing/2014/main" pred="{B292A5E0-2D32-BC06-8ED7-81331AE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781051</xdr:colOff>
      <xdr:row>1</xdr:row>
      <xdr:rowOff>142875</xdr:rowOff>
    </xdr:from>
    <xdr:to>
      <xdr:col>22</xdr:col>
      <xdr:colOff>304801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51A0D-EB33-20C3-E352-BC405E788FDC}"/>
            </a:ext>
            <a:ext uri="{147F2762-F138-4A5C-976F-8EAC2B608ADB}">
              <a16:predDERef xmlns:a16="http://schemas.microsoft.com/office/drawing/2014/main" pred="{31B5A513-27C1-D412-9C09-D1B51232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3258B8-03AC-DA41-92BD-A66E94195309}" name="Table3" displayName="Table3" ref="B5:K88" totalsRowShown="0">
  <autoFilter ref="B5:K88" xr:uid="{C63258B8-03AC-DA41-92BD-A66E94195309}"/>
  <tableColumns count="10">
    <tableColumn id="1" xr3:uid="{7D752076-EC75-0245-B2B1-DA6333D91817}" name="Item No"/>
    <tableColumn id="2" xr3:uid="{F73FF3FA-8C7A-7140-8CFA-C6D5A24CCB25}" name="Description"/>
    <tableColumn id="10" xr3:uid="{01370AAD-1F33-43AC-8EB5-1145A929428A}" name="Category" dataDxfId="22"/>
    <tableColumn id="3" xr3:uid="{53C73806-A299-7747-AFEB-1F9A388B649A}" name="Quantity" dataDxfId="21"/>
    <tableColumn id="4" xr3:uid="{D69DEA51-4187-694F-B623-1591EF1065CA}" name="Price (exc. VAT)" dataDxfId="20"/>
    <tableColumn id="5" xr3:uid="{3A81E7B7-7F4E-1243-84C8-2681CC04CE79}" name="Price (inc. VAT)" dataDxfId="19">
      <calculatedColumnFormula>Table3[[#This Row],[Price (exc. VAT)]]*1.2</calculatedColumnFormula>
    </tableColumn>
    <tableColumn id="6" xr3:uid="{646991BF-2B19-E14D-88E2-99B784217A52}" name="Item link" dataDxfId="18"/>
    <tableColumn id="7" xr3:uid="{C622E97F-8101-594E-8A99-05FC716F0864}" name="Proceed (Y/N)" dataDxfId="17"/>
    <tableColumn id="8" xr3:uid="{641A2E6A-F92B-CA49-9CC1-7E9E84F2FC24}" name="Date" dataDxfId="16"/>
    <tableColumn id="9" xr3:uid="{C684A591-E11D-CC41-89BD-EE2600B8DE69}" name="Remarks/Reas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988EA-03B9-0A4C-A9D8-DCC3D66B32C5}" name="Table1" displayName="Table1" ref="B5:J85" totalsRowShown="0">
  <autoFilter ref="B5:J85" xr:uid="{07B988EA-03B9-0A4C-A9D8-DCC3D66B32C5}"/>
  <tableColumns count="9">
    <tableColumn id="1" xr3:uid="{6F38F7C6-3586-B74F-A090-6C63A28365A1}" name="Item ID"/>
    <tableColumn id="2" xr3:uid="{4BA3E0A2-15DA-0442-9E2E-8B7CF7650F96}" name="Description"/>
    <tableColumn id="3" xr3:uid="{C5551D05-C8F9-C240-B9A2-07DFB400156C}" name="Category"/>
    <tableColumn id="4" xr3:uid="{646A5D2D-40D5-C743-99EC-A0D775130A7F}" name="Order date" dataDxfId="13"/>
    <tableColumn id="5" xr3:uid="{1E949F17-8A99-FB4C-B87D-35D47D832291}" name="Quantity" dataDxfId="12"/>
    <tableColumn id="6" xr3:uid="{1E4591D9-5E65-F941-9553-CBE39D6147A0}" name="Item cost (exc. VAT)" dataDxfId="11"/>
    <tableColumn id="7" xr3:uid="{9511B79B-9E81-4346-9FDE-6C8D7B8AA89F}" name="Item cost (inc. VAT)" dataDxfId="10">
      <calculatedColumnFormula>Table1[[#This Row],[Item cost (exc. VAT)]]*1.2</calculatedColumnFormula>
    </tableColumn>
    <tableColumn id="9" xr3:uid="{DA1F25CC-1F0A-4EF8-8FB6-586B5D5EC8C7}" name="Remarks" dataDxfId="9"/>
    <tableColumn id="8" xr3:uid="{127764B2-0588-4854-9AA3-5F7C71345AC5}" name="Order received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84BE9-673A-A446-B794-58E8471BEF14}" name="Table2" displayName="Table2" ref="B20:E99" totalsRowShown="0" headerRowDxfId="7" headerRowBorderDxfId="5" tableBorderDxfId="6" totalsRowBorderDxfId="4">
  <autoFilter ref="B20:E99" xr:uid="{80D84BE9-673A-A446-B794-58E8471BEF14}"/>
  <tableColumns count="4">
    <tableColumn id="1" xr3:uid="{D38E0AFA-2033-2D4D-9F93-3E94BB9A12AA}" name="Purchase" dataDxfId="3"/>
    <tableColumn id="2" xr3:uid="{6157F52F-24DC-0D44-ACF1-2E57C00CB9F2}" name="Category" dataDxfId="2"/>
    <tableColumn id="3" xr3:uid="{C1C3CA8F-4663-784A-A045-408A4A35E3E2}" name="Date" dataDxfId="1"/>
    <tableColumn id="4" xr3:uid="{C4D6B143-68F5-0C40-8A46-CA09E22BB615}" name="Pri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reeks@premierfarnell.com" TargetMode="External"/><Relationship Id="rId13" Type="http://schemas.openxmlformats.org/officeDocument/2006/relationships/hyperlink" Target="mailto:Peter.davenport@lambdaphoto.co.uk" TargetMode="External"/><Relationship Id="rId18" Type="http://schemas.openxmlformats.org/officeDocument/2006/relationships/hyperlink" Target="mailto:nato@cef.co.uk" TargetMode="External"/><Relationship Id="rId26" Type="http://schemas.openxmlformats.org/officeDocument/2006/relationships/hyperlink" Target="mailto:Kudzai.manduvi@rs-components.com" TargetMode="External"/><Relationship Id="rId3" Type="http://schemas.openxmlformats.org/officeDocument/2006/relationships/hyperlink" Target="mailto:marissastoneham@h-squared.co.uk" TargetMode="External"/><Relationship Id="rId21" Type="http://schemas.openxmlformats.org/officeDocument/2006/relationships/hyperlink" Target="mailto:Kudzai.manduvi@rs-components.com" TargetMode="External"/><Relationship Id="rId7" Type="http://schemas.openxmlformats.org/officeDocument/2006/relationships/hyperlink" Target="mailto:chris.calver@rapidonline.com" TargetMode="External"/><Relationship Id="rId12" Type="http://schemas.openxmlformats.org/officeDocument/2006/relationships/hyperlink" Target="mailto:Howard.peat@microlease.com" TargetMode="External"/><Relationship Id="rId17" Type="http://schemas.openxmlformats.org/officeDocument/2006/relationships/hyperlink" Target="mailto:mreeks@premierfarnell.com" TargetMode="External"/><Relationship Id="rId25" Type="http://schemas.openxmlformats.org/officeDocument/2006/relationships/hyperlink" Target="mailto:nato@cef.co.uk" TargetMode="External"/><Relationship Id="rId2" Type="http://schemas.openxmlformats.org/officeDocument/2006/relationships/hyperlink" Target="mailto:Zoe.harris@screwfix.com" TargetMode="External"/><Relationship Id="rId16" Type="http://schemas.openxmlformats.org/officeDocument/2006/relationships/hyperlink" Target="mailto:chris.calver@rapidonline.com" TargetMode="External"/><Relationship Id="rId20" Type="http://schemas.openxmlformats.org/officeDocument/2006/relationships/hyperlink" Target="mailto:Zoe.harris@screwfix.com" TargetMode="External"/><Relationship Id="rId29" Type="http://schemas.openxmlformats.org/officeDocument/2006/relationships/hyperlink" Target="mailto:mreeks@premierfarnell.com" TargetMode="External"/><Relationship Id="rId1" Type="http://schemas.openxmlformats.org/officeDocument/2006/relationships/hyperlink" Target="mailto:nationalaccounts@yesss.co.uk" TargetMode="External"/><Relationship Id="rId6" Type="http://schemas.openxmlformats.org/officeDocument/2006/relationships/hyperlink" Target="mailto:tom.Norris@rexel.co.uk" TargetMode="External"/><Relationship Id="rId11" Type="http://schemas.openxmlformats.org/officeDocument/2006/relationships/hyperlink" Target="mailto:m.crane@sjelectronics.co.uk" TargetMode="External"/><Relationship Id="rId24" Type="http://schemas.openxmlformats.org/officeDocument/2006/relationships/hyperlink" Target="mailto:mreeks@premierfarnell.com" TargetMode="External"/><Relationship Id="rId5" Type="http://schemas.openxmlformats.org/officeDocument/2006/relationships/hyperlink" Target="mailto:Kudzai.manduvi@rs-components.com" TargetMode="External"/><Relationship Id="rId15" Type="http://schemas.openxmlformats.org/officeDocument/2006/relationships/hyperlink" Target="mailto:tom.Norris@rexel.co.uk" TargetMode="External"/><Relationship Id="rId23" Type="http://schemas.openxmlformats.org/officeDocument/2006/relationships/hyperlink" Target="mailto:chris.calver@rapidonline.com" TargetMode="External"/><Relationship Id="rId28" Type="http://schemas.openxmlformats.org/officeDocument/2006/relationships/hyperlink" Target="mailto:chris.calver@rapidonline.com" TargetMode="External"/><Relationship Id="rId10" Type="http://schemas.openxmlformats.org/officeDocument/2006/relationships/hyperlink" Target="mailto:gary.crowther@ttid.co.uk" TargetMode="External"/><Relationship Id="rId19" Type="http://schemas.openxmlformats.org/officeDocument/2006/relationships/hyperlink" Target="mailto:nationalaccounts@yesss.co.uk" TargetMode="External"/><Relationship Id="rId4" Type="http://schemas.openxmlformats.org/officeDocument/2006/relationships/hyperlink" Target="mailto:Rebecca.reade@allbatteries.com" TargetMode="External"/><Relationship Id="rId9" Type="http://schemas.openxmlformats.org/officeDocument/2006/relationships/hyperlink" Target="mailto:nato@cef.co.uk" TargetMode="External"/><Relationship Id="rId14" Type="http://schemas.openxmlformats.org/officeDocument/2006/relationships/hyperlink" Target="mailto:Kudzai.manduvi@rs-components.com" TargetMode="External"/><Relationship Id="rId22" Type="http://schemas.openxmlformats.org/officeDocument/2006/relationships/hyperlink" Target="mailto:tom.Norris@rexel.co.uk" TargetMode="External"/><Relationship Id="rId27" Type="http://schemas.openxmlformats.org/officeDocument/2006/relationships/hyperlink" Target="mailto:tom.Norris@rexel.co.uk" TargetMode="External"/><Relationship Id="rId30" Type="http://schemas.openxmlformats.org/officeDocument/2006/relationships/hyperlink" Target="mailto:nato@cef.co.u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pihut.com/products/hdmi-to-micro-hdmi-cable-2m-gold-plated?srsltid=AfmBOopCG-2JkjTx6jz8BYG0luBDOOyu3eYL4gJwHWN2cfPnNfIBmr6l&amp;variant=40818117083331" TargetMode="External"/><Relationship Id="rId18" Type="http://schemas.openxmlformats.org/officeDocument/2006/relationships/hyperlink" Target="https://uk.rs-online.com/web/p/work-gloves/2372807?gb=s" TargetMode="External"/><Relationship Id="rId26" Type="http://schemas.openxmlformats.org/officeDocument/2006/relationships/hyperlink" Target="https://www.switchelectronics.co.uk/products/20-way-single-row-pcb-socket-2-54mm?variant=45606357303605" TargetMode="External"/><Relationship Id="rId39" Type="http://schemas.openxmlformats.org/officeDocument/2006/relationships/hyperlink" Target="https://www.amazon.co.uk/gp/product/B0DKFXSNDX/ref=ox_sc_act_title_2?smid=A2BTFLBJACKCFQ&amp;psc=1" TargetMode="External"/><Relationship Id="rId21" Type="http://schemas.openxmlformats.org/officeDocument/2006/relationships/hyperlink" Target="https://www.switchelectronics.co.uk/products/l9110s-h-bridge-dual-dc-motor-driver-controller-module?variant=45334948151605" TargetMode="External"/><Relationship Id="rId34" Type="http://schemas.openxmlformats.org/officeDocument/2006/relationships/hyperlink" Target="https://www.123-3d.co.uk/123-3D-Grub-screws-M4-x-8mm-10-pack-i3103-t0.html" TargetMode="External"/><Relationship Id="rId42" Type="http://schemas.openxmlformats.org/officeDocument/2006/relationships/hyperlink" Target="https://www.mouser.co.uk/ProductDetail/Benewake/TF-Luna-I2C?qs=DPoM0jnrROUWvdDwJYVpzw%3D%3D" TargetMode="External"/><Relationship Id="rId47" Type="http://schemas.openxmlformats.org/officeDocument/2006/relationships/hyperlink" Target="https://kunkune.co.uk/shop/servo-motors-and-shields/5x-l9110s-h-bridge-dual-dc-stepper-motor-controller-board/" TargetMode="External"/><Relationship Id="rId50" Type="http://schemas.openxmlformats.org/officeDocument/2006/relationships/hyperlink" Target="https://www.directplastics.co.uk/lexan-polycarb-sheet-250-x-250-x-2mm" TargetMode="External"/><Relationship Id="rId55" Type="http://schemas.openxmlformats.org/officeDocument/2006/relationships/hyperlink" Target="https://www.aliexpress.com/item/1005005643165013.html?spm=a2g0o.productlist.main.1.7100zrUNzrUNdJ&amp;algo_pvid=49840392-b71d-4bdc-b800-4c660d9dd7eb&amp;algo_exp_id=49840392-b71d-4bdc-b800-4c660d9dd7eb-0&amp;pdp_ext_f=%7B%22order%22%3A%22294%22%2C%22eval%22%3A%221%22%7D&amp;pdp_npi=4%40dis%21GBP%212.40%210.78%21%21%213.06%211.00%21%40211b65de17446399512237926e52b0%2112000033858408173%21sea%21UK%210%21ABX&amp;curPageLogUid=m9zMbIZZdtnW&amp;utparam-url=scene%3Asearch%7Cquery_from%3A" TargetMode="External"/><Relationship Id="rId63" Type="http://schemas.openxmlformats.org/officeDocument/2006/relationships/hyperlink" Target="https://www.amazon.co.uk/dp/B0CP73P31R?ref=cm_sw_r_cso_cp_apin_dp_9BCV110ZV3K4HAMX6FJ1&amp;ref_=cm_sw_r_cso_cp_apin_dp_9BCV110ZV3K4HAMX6FJ1&amp;social_share=cm_sw_r_cso_cp_apin_dp_9BCV110ZV3K4HAMX6FJ1&amp;previewDoh=1" TargetMode="External"/><Relationship Id="rId7" Type="http://schemas.openxmlformats.org/officeDocument/2006/relationships/hyperlink" Target="https://uk.farnell.com/duratool/rod10/studding-steel-m10/dp/2444308" TargetMode="External"/><Relationship Id="rId2" Type="http://schemas.openxmlformats.org/officeDocument/2006/relationships/hyperlink" Target="https://uk.farnell.com/raspberry-pi/rpi5-8gb-single/raspberry-pi-5-model-b-8gb-2-4ghz/dp/4256000?CMP=KNC-GUK-GEN-KWL-PMAX-MAN-L5Pages&amp;gad_source=1&amp;gclid=Cj0KCQjwsoe5BhDiARIsAOXVoUsdPtvgs2Df28s1bXzMRg3SD1BzyUbBLkqmW_oKAF5wZooAyNoNDZAaAhmHEALw_wcB" TargetMode="External"/><Relationship Id="rId16" Type="http://schemas.openxmlformats.org/officeDocument/2006/relationships/hyperlink" Target="https://www.aliexpress.com/item/1005005579542524.html?spm=a2g0o.cart.0.0.573a38daEszjvj&amp;mp=1" TargetMode="External"/><Relationship Id="rId29" Type="http://schemas.openxmlformats.org/officeDocument/2006/relationships/hyperlink" Target="https://www.123-3d.co.uk/123-3D-GT2-9mm-timing-belt-2-5-metres-i6550-t0.html" TargetMode="External"/><Relationship Id="rId11" Type="http://schemas.openxmlformats.org/officeDocument/2006/relationships/hyperlink" Target="https://www.aliexpress.com/item/1005007295663136.html?spm=a2g0o.cart.0.0.66b838daTHPtFx&amp;mp=1" TargetMode="External"/><Relationship Id="rId24" Type="http://schemas.openxmlformats.org/officeDocument/2006/relationships/hyperlink" Target="https://www.switchelectronics.co.uk/products/10-way-3-81mm-pcb-terminal-block-green-10a-150v?variant=45967183085877" TargetMode="External"/><Relationship Id="rId32" Type="http://schemas.openxmlformats.org/officeDocument/2006/relationships/hyperlink" Target="https://www.123-3d.co.uk/123-3D-Zinc-plated-hexagon-M6-nut-50-pack-i142-t0.html" TargetMode="External"/><Relationship Id="rId37" Type="http://schemas.openxmlformats.org/officeDocument/2006/relationships/hyperlink" Target="https://www.rapidonline.com/raspberry-pi-2mb-sc0917-pico-h-32-bit-soc-singles-75-1230" TargetMode="External"/><Relationship Id="rId40" Type="http://schemas.openxmlformats.org/officeDocument/2006/relationships/hyperlink" Target="https://www.amazon.co.uk/gp/product/B0DQXCTFTQ/ref=ox_sc_act_title_3?smid=AWD28J313WSQU&amp;psc=1" TargetMode="External"/><Relationship Id="rId45" Type="http://schemas.openxmlformats.org/officeDocument/2006/relationships/hyperlink" Target="https://www.rapidonline.com/sealey-mbf550-automotive-mini-blade-fuse-5a-pack-of-50-84-0506" TargetMode="External"/><Relationship Id="rId53" Type="http://schemas.openxmlformats.org/officeDocument/2006/relationships/hyperlink" Target="https://www.aliexpress.com/item/1005005579542524.html?spm=a2g0o.cart.0.0.2d7138daAxE7rB&amp;mp=1&amp;pdp_npi=5%40dis%21GBP%21GBP%2014.29%21GBP%207.43%21%21%21%21%21%40211b815c17422199123476520e9d00%2112000034768107233%21ct%21UK%212794098101%21%218%210" TargetMode="External"/><Relationship Id="rId58" Type="http://schemas.openxmlformats.org/officeDocument/2006/relationships/hyperlink" Target="https://www.aliexpress.com/item/1005007460201719.html?spm=a2g0o.cart.0.0.66b838daTHPtFx&amp;mp=1" TargetMode="External"/><Relationship Id="rId5" Type="http://schemas.openxmlformats.org/officeDocument/2006/relationships/hyperlink" Target="https://uk.rs-online.com/web/p/belt-pulleys/2362817?gb=s" TargetMode="External"/><Relationship Id="rId61" Type="http://schemas.openxmlformats.org/officeDocument/2006/relationships/hyperlink" Target="https://www.directplastics.co.uk/lexan-polycarb-sheet-1200-x-600-x-2mm" TargetMode="External"/><Relationship Id="rId19" Type="http://schemas.openxmlformats.org/officeDocument/2006/relationships/hyperlink" Target="https://uk.rs-online.com/web/p/threaded-inserts/0278584?gb=s" TargetMode="External"/><Relationship Id="rId14" Type="http://schemas.openxmlformats.org/officeDocument/2006/relationships/hyperlink" Target="https://thepihut.com/products/raspberry-pi-27w-usb-c-power-supply?variant=42531604103363" TargetMode="External"/><Relationship Id="rId22" Type="http://schemas.openxmlformats.org/officeDocument/2006/relationships/hyperlink" Target="https://www.switchelectronics.co.uk/products/1-1a-ptc-resettable-fuse-30v-mf-r110-0-99?variant=45454307295541" TargetMode="External"/><Relationship Id="rId27" Type="http://schemas.openxmlformats.org/officeDocument/2006/relationships/hyperlink" Target="https://www.ebay.co.uk/itm/315051934625?_trkparms=amclksrc%3DITM%26aid%3D1110006%26algo%3DHOMESPLICE.SIM%26ao%3D1%26asc%3D279615%2C279337%2C279449%26meid%3D49a3dab85afb4c1c8a0099131b931cdd%26pid%3D101224%26rk%3D4%26rkt%3D5%26sd%3D313437847530%26itm%3D315051934625%26pmt%3D0%26noa%3D1%26pg%3D2332490%26algv%3DDefaultOrganicWebV9BertRefreshRankerWithCassiniEmbRecall&amp;_trksid=p2332490.c101224.m-1" TargetMode="External"/><Relationship Id="rId30" Type="http://schemas.openxmlformats.org/officeDocument/2006/relationships/hyperlink" Target="https://www.123-3d.co.uk/123-3D-M6-threaded-rod-100cm-i2226-t0.html" TargetMode="External"/><Relationship Id="rId35" Type="http://schemas.openxmlformats.org/officeDocument/2006/relationships/hyperlink" Target="https://uk.rs-online.com/web/p/mitre-bevel-gears/1828002?gb=s" TargetMode="External"/><Relationship Id="rId43" Type="http://schemas.openxmlformats.org/officeDocument/2006/relationships/hyperlink" Target="https://shop.pimoroni.com/products/shift-register-8-bit-74hc595?variant=27861668167" TargetMode="External"/><Relationship Id="rId48" Type="http://schemas.openxmlformats.org/officeDocument/2006/relationships/hyperlink" Target="https://kunkune.co.uk/shop/arduino-sensors/4pcs-50kg-load-cell-with-hx711-amplifier/" TargetMode="External"/><Relationship Id="rId56" Type="http://schemas.openxmlformats.org/officeDocument/2006/relationships/hyperlink" Target="https://www.aliexpress.com/item/1005005499172228.html?spm=a2g0o.productlist.main.3.3a901ccffZ6Orm&amp;algo_pvid=7bc6016d-f218-4821-809f-3826dc11c60d&amp;algo_exp_id=7bc6016d-f218-4821-809f-3826dc11c60d-1&amp;pdp_ext_f=%7B%22order%22%3A%2266%22%2C%22eval%22%3A%221%22%7D&amp;pdp_npi=4%40dis%21GBP%216.59%216.59%21%21%218.38%218.38%21%40211b61a417446400470368319eb7a7%2112000033321745339%21sea%21UK%210%21ABX&amp;curPageLogUid=KC8bDUtx27jc&amp;utparam-url=scene%3Asearch%7Cquery_from%3A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uk.farnell.com/tr-fastenings/m10-hfst-z50/full-nut-steel-bzp-m10-pk50/dp/1419453" TargetMode="External"/><Relationship Id="rId51" Type="http://schemas.openxmlformats.org/officeDocument/2006/relationships/hyperlink" Target="https://www.aliexpress.com/item/1005005579542524.html?spm=a2g0o.cart.0.0.2d7138daAxE7rB&amp;mp=1&amp;pdp_npi=5%40dis%21GBP%21GBP%2014.29%21GBP%207.43%21%21%21%21%21%40211b815c17422199123476520e9d00%2112000034768107233%21ct%21UK%212794098101%21%218%210" TargetMode="External"/><Relationship Id="rId3" Type="http://schemas.openxmlformats.org/officeDocument/2006/relationships/hyperlink" Target="https://uk.farnell.com/raspberry-pi/sc0872/rpi-camera-mod-3-standard-lens/dp/4132318" TargetMode="External"/><Relationship Id="rId12" Type="http://schemas.openxmlformats.org/officeDocument/2006/relationships/hyperlink" Target="https://www.aliexpress.com/item/1005003526985420.html?spm=a2g0o.cart.0.0.66b838daTHPtFx&amp;mp=1" TargetMode="External"/><Relationship Id="rId17" Type="http://schemas.openxmlformats.org/officeDocument/2006/relationships/hyperlink" Target="https://uk.rs-online.com/web/p/safety-glasses/1849475?gb=s" TargetMode="External"/><Relationship Id="rId25" Type="http://schemas.openxmlformats.org/officeDocument/2006/relationships/hyperlink" Target="https://www.switchelectronics.co.uk/products/40-way-double-row-pcb-socket-2-54mm?variant=45606359925045" TargetMode="External"/><Relationship Id="rId33" Type="http://schemas.openxmlformats.org/officeDocument/2006/relationships/hyperlink" Target="https://www.123-3d.co.uk/123-3D-Zinc-plated-M6-lock-nut-50-pack-i144-t0.html" TargetMode="External"/><Relationship Id="rId38" Type="http://schemas.openxmlformats.org/officeDocument/2006/relationships/hyperlink" Target="https://www.amazon.co.uk/gp/product/B0CWV2TLYM/ref=ox_sc_act_title_1?smid=A20DQN62VE7VKX&amp;th=1" TargetMode="External"/><Relationship Id="rId46" Type="http://schemas.openxmlformats.org/officeDocument/2006/relationships/hyperlink" Target="https://kunkune.co.uk/shop/arduino-sensors/acs712-hall-board-current-sensor-module-5a-20a-30a/?attribute_variant=5A" TargetMode="External"/><Relationship Id="rId59" Type="http://schemas.openxmlformats.org/officeDocument/2006/relationships/hyperlink" Target="https://uk.rs-online.com/web/p/mitre-bevel-gears/1828012?gb=s" TargetMode="External"/><Relationship Id="rId20" Type="http://schemas.openxmlformats.org/officeDocument/2006/relationships/hyperlink" Target="https://www.switchelectronics.co.uk/products/xl4015-dc-dc-5a-adjustable-step-down-power-supply-module-4-38v?variant=45334949626165" TargetMode="External"/><Relationship Id="rId41" Type="http://schemas.openxmlformats.org/officeDocument/2006/relationships/hyperlink" Target="https://www.amazon.co.uk/gp/product/B0BG2P8C16/ref=ox_sc_act_title_4?smid=A1YB9N4NYOGGKS&amp;psc=1" TargetMode="External"/><Relationship Id="rId54" Type="http://schemas.openxmlformats.org/officeDocument/2006/relationships/hyperlink" Target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" TargetMode="External"/><Relationship Id="rId62" Type="http://schemas.openxmlformats.org/officeDocument/2006/relationships/hyperlink" Target="https://www.amazon.co.uk/CENPEK-Steering-Crawler-Traxxsa-Tamiay/dp/B09H73VWZY/ref=sr_1_5?crid=26YTECJASDBVS&amp;dib=eyJ2IjoiMSJ9.Z-TOHsrbb7aNsfNHB8Bm0jg0JuX4SYodIFpuqAmTwUrRpMBVK3GZI9JwpuZrK_48qu0JnX2spx1WVZARv0bhAJLxOzvhCOYPIfebZYZAtU921L1sPAJ-naY1kctRUSF37jt8tlU9yuzRSb4w3LfRqFUBmyLZkWLskZx92skeR3IEZz5X84fp4a9asYiA_AJOXFwC3--_n6YMcBswVrKzsZemg1BnroFTgvTbQawsgN890TchhBBUDKF6Qde1-mxoyXyiynda4OA9bz_gHMyWqG8ZGqZrxOCYbDx-Uo8kwbQ.Cqb4rzdfIo6RFwe6BG-hWv-jdZCtYslbkcl6jn8bW98&amp;dib_tag=se&amp;keywords=25T+spool&amp;qid=1747304929&amp;s=kids&amp;sprefix=25t+spool%2Ctoys%2C114&amp;sr=1-5" TargetMode="External"/><Relationship Id="rId1" Type="http://schemas.openxmlformats.org/officeDocument/2006/relationships/hyperlink" Target="https://uk.farnell.com/duratool/rod12/studding-steel-m12/dp/2444309" TargetMode="External"/><Relationship Id="rId6" Type="http://schemas.openxmlformats.org/officeDocument/2006/relationships/hyperlink" Target="https://uk.rs-online.com/web/p/belt-pulleys/2362767?gb=s" TargetMode="External"/><Relationship Id="rId15" Type="http://schemas.openxmlformats.org/officeDocument/2006/relationships/hyperlink" Target="https://thepihut.com/products/camera-adapter-cable-for-raspberry-pi-5?variant=42531560849603" TargetMode="External"/><Relationship Id="rId23" Type="http://schemas.openxmlformats.org/officeDocument/2006/relationships/hyperlink" Target="https://www.switchelectronics.co.uk/products/3-way-single-row-pcb-socket-2-54mm?variant=45606357074229" TargetMode="External"/><Relationship Id="rId28" Type="http://schemas.openxmlformats.org/officeDocument/2006/relationships/hyperlink" Target="https://www.123-3d.co.uk/123-3D-M6-thread-inserts-9mm-x-9mm-20-pack-i6876-t9745.html" TargetMode="External"/><Relationship Id="rId36" Type="http://schemas.openxmlformats.org/officeDocument/2006/relationships/hyperlink" Target="https://uk.rs-online.com/web/p/mitre-bevel-gears/1827994?gb=s" TargetMode="External"/><Relationship Id="rId49" Type="http://schemas.openxmlformats.org/officeDocument/2006/relationships/hyperlink" Target="https://kunkune.co.uk/shop/arduino-sensors/hx711-weight-pressure-sensor/" TargetMode="External"/><Relationship Id="rId57" Type="http://schemas.openxmlformats.org/officeDocument/2006/relationships/hyperlink" Target="https://www.aliexpress.com/item/1005007668446060.html?spm=a2g0o.cart.0.0.ab6a38dayEggyD&amp;mp=1&amp;pdp_npi=5%40dis%21GBP%21GBP%203.01%21GBP%203.01%21%21%21%21%21%402103835e17446413105873651ea67f%2112000041725798031%21ct%21UK%212794098101%21%211%210" TargetMode="External"/><Relationship Id="rId10" Type="http://schemas.openxmlformats.org/officeDocument/2006/relationships/hyperlink" Target="https://www.directplastics.co.uk/nylon-6-6-natural-rod-5mm-dia-x-1000mm" TargetMode="External"/><Relationship Id="rId31" Type="http://schemas.openxmlformats.org/officeDocument/2006/relationships/hyperlink" Target="https://www.123-3d.co.uk/123-3D-GT2-timing-belt-pulley-20-teeth-9mm-belt-8mm-bore-GT2-20T-W9-B8-i2306-t0.html" TargetMode="External"/><Relationship Id="rId44" Type="http://schemas.openxmlformats.org/officeDocument/2006/relationships/hyperlink" Target="https://uk.farnell.com/duratool/rod6/studding-steel-m6/dp/2444306" TargetMode="External"/><Relationship Id="rId52" Type="http://schemas.openxmlformats.org/officeDocument/2006/relationships/hyperlink" Target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" TargetMode="External"/><Relationship Id="rId60" Type="http://schemas.openxmlformats.org/officeDocument/2006/relationships/hyperlink" Target="https://www.amazon.co.uk/DIYmall-Coreless-Continuous-Rotation-Helicopter/dp/B0DNM3Q1MQ/ref=sr_1_51?crid=2EZ6K8MEXAXVY&amp;dib=eyJ2IjoiMSJ9.ce0vEDD1oh6V_MXGPFV3-NQXOA8eYkATrny8r1nClpk0wP747gzic_H9kqsdu046-X3kQDAlatifhyl6UkUpdL_7o_55YMRmtdjB7n5ZArqIcBZKLWr8xyHdXGHWVhI8xzQMf61G-4o-3txT-0HQ9I0lrr8R4swBY1hFNz8AiqseARJyhMv8lO2B3VZcVD3sEFrq-wWbfffXBi0vLOqkKBuhwpvBENOzT2P91exgSRUtbrXbgwMU5bp6cqPOEtpZcNZbLRvnjh83ywxzezdJ1CerirUqFg8OKfJ8x_u1uwU.FC0awUSS3G5gVqyWyX_K8wv_A0c8xGx_WLmx_sZiG4Y&amp;dib_tag=se&amp;keywords=Continuous+Rotation+Servo&amp;qid=1745592442&amp;sprefix=continuous+rotation+servo%2Caps%2C73&amp;sr=8-51" TargetMode="External"/><Relationship Id="rId4" Type="http://schemas.openxmlformats.org/officeDocument/2006/relationships/hyperlink" Target="https://uk.rs-online.com/web/p/timing-belts/7785039" TargetMode="External"/><Relationship Id="rId9" Type="http://schemas.openxmlformats.org/officeDocument/2006/relationships/hyperlink" Target="https://www.rapidonline.com/catalogue/search?Query=neopixel%201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26DD-8C96-A242-A73D-3414530D2B77}">
  <dimension ref="B2:G57"/>
  <sheetViews>
    <sheetView zoomScale="90" workbookViewId="0">
      <selection activeCell="L14" sqref="L14"/>
    </sheetView>
  </sheetViews>
  <sheetFormatPr defaultColWidth="11" defaultRowHeight="15.95"/>
  <cols>
    <col min="6" max="6" width="31.125" customWidth="1"/>
    <col min="7" max="7" width="25.875" customWidth="1"/>
  </cols>
  <sheetData>
    <row r="2" spans="2:7" ht="17.100000000000001" thickBot="1"/>
    <row r="3" spans="2:7" ht="33" thickBot="1">
      <c r="B3" s="19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</row>
    <row r="4" spans="2:7" ht="39" customHeight="1">
      <c r="B4" s="92">
        <v>1</v>
      </c>
      <c r="C4" s="89" t="s">
        <v>6</v>
      </c>
      <c r="D4" s="34" t="s">
        <v>7</v>
      </c>
      <c r="E4" s="35" t="s">
        <v>8</v>
      </c>
      <c r="F4" s="36" t="s">
        <v>9</v>
      </c>
      <c r="G4" s="37" t="s">
        <v>10</v>
      </c>
    </row>
    <row r="5" spans="2:7" ht="26.1">
      <c r="B5" s="93"/>
      <c r="C5" s="90"/>
      <c r="D5" s="23" t="s">
        <v>11</v>
      </c>
      <c r="E5" s="22" t="s">
        <v>12</v>
      </c>
      <c r="F5" s="24" t="s">
        <v>13</v>
      </c>
      <c r="G5" s="25" t="s">
        <v>14</v>
      </c>
    </row>
    <row r="6" spans="2:7" ht="33.950000000000003">
      <c r="B6" s="93"/>
      <c r="C6" s="90"/>
      <c r="D6" s="23" t="s">
        <v>15</v>
      </c>
      <c r="E6" s="22" t="s">
        <v>16</v>
      </c>
      <c r="F6" s="24" t="s">
        <v>17</v>
      </c>
      <c r="G6" s="25" t="s">
        <v>18</v>
      </c>
    </row>
    <row r="7" spans="2:7" ht="17.100000000000001">
      <c r="B7" s="93"/>
      <c r="C7" s="90"/>
      <c r="D7" s="23" t="s">
        <v>19</v>
      </c>
      <c r="E7" s="22" t="s">
        <v>20</v>
      </c>
      <c r="F7" s="24" t="s">
        <v>21</v>
      </c>
      <c r="G7" s="25" t="s">
        <v>22</v>
      </c>
    </row>
    <row r="8" spans="2:7" ht="39.950000000000003" thickBot="1">
      <c r="B8" s="94"/>
      <c r="C8" s="91"/>
      <c r="D8" s="38" t="s">
        <v>23</v>
      </c>
      <c r="E8" s="29" t="s">
        <v>24</v>
      </c>
      <c r="F8" s="39" t="s">
        <v>25</v>
      </c>
      <c r="G8" s="26" t="s">
        <v>26</v>
      </c>
    </row>
    <row r="9" spans="2:7" ht="39">
      <c r="B9" s="86">
        <v>2</v>
      </c>
      <c r="C9" s="86" t="s">
        <v>27</v>
      </c>
      <c r="D9" s="40" t="s">
        <v>28</v>
      </c>
      <c r="E9" s="35" t="s">
        <v>8</v>
      </c>
      <c r="F9" s="36" t="s">
        <v>29</v>
      </c>
      <c r="G9" s="37" t="s">
        <v>10</v>
      </c>
    </row>
    <row r="10" spans="2:7" ht="26.1">
      <c r="B10" s="87"/>
      <c r="C10" s="87"/>
      <c r="D10" s="28" t="s">
        <v>30</v>
      </c>
      <c r="E10" s="22" t="s">
        <v>12</v>
      </c>
      <c r="F10" s="24" t="s">
        <v>13</v>
      </c>
      <c r="G10" s="25" t="s">
        <v>14</v>
      </c>
    </row>
    <row r="11" spans="2:7" ht="33.950000000000003">
      <c r="B11" s="87"/>
      <c r="C11" s="87"/>
      <c r="D11" s="28" t="s">
        <v>31</v>
      </c>
      <c r="E11" s="22" t="s">
        <v>16</v>
      </c>
      <c r="F11" s="24" t="s">
        <v>17</v>
      </c>
      <c r="G11" s="25" t="s">
        <v>18</v>
      </c>
    </row>
    <row r="12" spans="2:7" ht="17.100000000000001">
      <c r="B12" s="87"/>
      <c r="C12" s="87"/>
      <c r="D12" s="28" t="s">
        <v>32</v>
      </c>
      <c r="E12" s="22" t="s">
        <v>20</v>
      </c>
      <c r="F12" s="24" t="s">
        <v>21</v>
      </c>
      <c r="G12" s="25" t="s">
        <v>22</v>
      </c>
    </row>
    <row r="13" spans="2:7" ht="39">
      <c r="B13" s="87"/>
      <c r="C13" s="87"/>
      <c r="D13" s="28" t="s">
        <v>33</v>
      </c>
      <c r="E13" s="22" t="s">
        <v>24</v>
      </c>
      <c r="F13" s="24" t="s">
        <v>25</v>
      </c>
      <c r="G13" s="25" t="s">
        <v>26</v>
      </c>
    </row>
    <row r="14" spans="2:7" ht="26.1">
      <c r="B14" s="87"/>
      <c r="C14" s="87"/>
      <c r="D14" s="28" t="s">
        <v>34</v>
      </c>
      <c r="E14" s="22" t="s">
        <v>35</v>
      </c>
      <c r="F14" s="24" t="s">
        <v>36</v>
      </c>
      <c r="G14" s="31" t="s">
        <v>37</v>
      </c>
    </row>
    <row r="15" spans="2:7" ht="35.1" thickBot="1">
      <c r="B15" s="88"/>
      <c r="C15" s="88"/>
      <c r="D15" s="41" t="s">
        <v>38</v>
      </c>
      <c r="E15" s="29" t="s">
        <v>39</v>
      </c>
      <c r="F15" s="39" t="s">
        <v>40</v>
      </c>
      <c r="G15" s="32" t="s">
        <v>41</v>
      </c>
    </row>
    <row r="16" spans="2:7" ht="39">
      <c r="B16" s="86">
        <v>3</v>
      </c>
      <c r="C16" s="86" t="s">
        <v>42</v>
      </c>
      <c r="D16" s="40" t="s">
        <v>28</v>
      </c>
      <c r="E16" s="35" t="s">
        <v>8</v>
      </c>
      <c r="F16" s="46" t="s">
        <v>29</v>
      </c>
      <c r="G16" s="43" t="s">
        <v>10</v>
      </c>
    </row>
    <row r="17" spans="2:7" ht="26.1">
      <c r="B17" s="87"/>
      <c r="C17" s="87"/>
      <c r="D17" s="28" t="s">
        <v>30</v>
      </c>
      <c r="E17" s="22" t="s">
        <v>12</v>
      </c>
      <c r="F17" s="42" t="s">
        <v>13</v>
      </c>
      <c r="G17" s="44" t="s">
        <v>14</v>
      </c>
    </row>
    <row r="18" spans="2:7" ht="33.950000000000003">
      <c r="B18" s="87"/>
      <c r="C18" s="87"/>
      <c r="D18" s="28" t="s">
        <v>31</v>
      </c>
      <c r="E18" s="22" t="s">
        <v>16</v>
      </c>
      <c r="F18" s="42" t="s">
        <v>17</v>
      </c>
      <c r="G18" s="44" t="s">
        <v>18</v>
      </c>
    </row>
    <row r="19" spans="2:7" ht="17.100000000000001">
      <c r="B19" s="87"/>
      <c r="C19" s="87"/>
      <c r="D19" s="28" t="s">
        <v>32</v>
      </c>
      <c r="E19" s="27" t="s">
        <v>20</v>
      </c>
      <c r="F19" s="42" t="s">
        <v>21</v>
      </c>
      <c r="G19" s="44" t="s">
        <v>22</v>
      </c>
    </row>
    <row r="20" spans="2:7" ht="39">
      <c r="B20" s="87"/>
      <c r="C20" s="87"/>
      <c r="D20" s="28" t="s">
        <v>33</v>
      </c>
      <c r="E20" s="22" t="s">
        <v>24</v>
      </c>
      <c r="F20" s="42" t="s">
        <v>25</v>
      </c>
      <c r="G20" s="44" t="s">
        <v>26</v>
      </c>
    </row>
    <row r="21" spans="2:7" ht="39">
      <c r="B21" s="87"/>
      <c r="C21" s="87"/>
      <c r="D21" s="28" t="s">
        <v>43</v>
      </c>
      <c r="E21" s="27" t="s">
        <v>44</v>
      </c>
      <c r="F21" s="42" t="s">
        <v>45</v>
      </c>
      <c r="G21" s="45" t="s">
        <v>46</v>
      </c>
    </row>
    <row r="22" spans="2:7" ht="33.950000000000003">
      <c r="B22" s="87"/>
      <c r="C22" s="87"/>
      <c r="D22" s="28" t="s">
        <v>47</v>
      </c>
      <c r="E22" s="27" t="s">
        <v>48</v>
      </c>
      <c r="F22" s="42" t="s">
        <v>49</v>
      </c>
      <c r="G22" s="45" t="s">
        <v>50</v>
      </c>
    </row>
    <row r="23" spans="2:7" ht="26.1">
      <c r="B23" s="87"/>
      <c r="C23" s="87"/>
      <c r="D23" s="28" t="s">
        <v>51</v>
      </c>
      <c r="E23" s="27" t="s">
        <v>52</v>
      </c>
      <c r="F23" s="42" t="s">
        <v>53</v>
      </c>
      <c r="G23" s="45" t="s">
        <v>54</v>
      </c>
    </row>
    <row r="24" spans="2:7" ht="27" thickBot="1">
      <c r="B24" s="88"/>
      <c r="C24" s="88"/>
      <c r="D24" s="41" t="s">
        <v>55</v>
      </c>
      <c r="E24" s="30" t="s">
        <v>56</v>
      </c>
      <c r="F24" s="47" t="s">
        <v>57</v>
      </c>
      <c r="G24" s="21"/>
    </row>
    <row r="25" spans="2:7" ht="26.1">
      <c r="B25" s="86">
        <v>4</v>
      </c>
      <c r="C25" s="86" t="s">
        <v>58</v>
      </c>
      <c r="D25" s="48" t="s">
        <v>59</v>
      </c>
      <c r="E25" s="35" t="s">
        <v>8</v>
      </c>
      <c r="F25" s="36" t="s">
        <v>29</v>
      </c>
      <c r="G25" s="37" t="s">
        <v>10</v>
      </c>
    </row>
    <row r="26" spans="2:7" ht="26.1">
      <c r="B26" s="87"/>
      <c r="C26" s="87"/>
      <c r="D26" s="33" t="s">
        <v>60</v>
      </c>
      <c r="E26" s="22" t="s">
        <v>12</v>
      </c>
      <c r="F26" s="24" t="s">
        <v>13</v>
      </c>
      <c r="G26" s="25" t="s">
        <v>14</v>
      </c>
    </row>
    <row r="27" spans="2:7" ht="33.950000000000003">
      <c r="B27" s="87"/>
      <c r="C27" s="87"/>
      <c r="D27" s="33" t="s">
        <v>61</v>
      </c>
      <c r="E27" s="22" t="s">
        <v>16</v>
      </c>
      <c r="F27" s="24" t="s">
        <v>17</v>
      </c>
      <c r="G27" s="25" t="s">
        <v>18</v>
      </c>
    </row>
    <row r="28" spans="2:7" ht="17.100000000000001">
      <c r="B28" s="87"/>
      <c r="C28" s="87"/>
      <c r="D28" s="27" t="s">
        <v>62</v>
      </c>
      <c r="E28" s="22" t="s">
        <v>20</v>
      </c>
      <c r="F28" s="24" t="s">
        <v>21</v>
      </c>
      <c r="G28" s="25" t="s">
        <v>22</v>
      </c>
    </row>
    <row r="29" spans="2:7" ht="33.950000000000003">
      <c r="B29" s="87"/>
      <c r="C29" s="87"/>
      <c r="D29" s="27" t="s">
        <v>63</v>
      </c>
      <c r="E29" s="22" t="s">
        <v>24</v>
      </c>
      <c r="F29" s="24" t="s">
        <v>25</v>
      </c>
      <c r="G29" s="25" t="s">
        <v>26</v>
      </c>
    </row>
    <row r="30" spans="2:7" ht="33.950000000000003">
      <c r="B30" s="87"/>
      <c r="C30" s="87"/>
      <c r="D30" s="27" t="s">
        <v>64</v>
      </c>
      <c r="E30" s="22" t="s">
        <v>65</v>
      </c>
      <c r="F30" s="24" t="s">
        <v>66</v>
      </c>
      <c r="G30" s="31" t="s">
        <v>67</v>
      </c>
    </row>
    <row r="31" spans="2:7" ht="33.950000000000003">
      <c r="B31" s="87"/>
      <c r="C31" s="87"/>
      <c r="D31" s="27" t="s">
        <v>68</v>
      </c>
      <c r="E31" s="22" t="s">
        <v>69</v>
      </c>
      <c r="F31" s="24" t="s">
        <v>70</v>
      </c>
      <c r="G31" s="31" t="s">
        <v>71</v>
      </c>
    </row>
    <row r="32" spans="2:7" ht="26.1">
      <c r="B32" s="87"/>
      <c r="C32" s="87"/>
      <c r="D32" s="27" t="s">
        <v>72</v>
      </c>
      <c r="E32" s="22" t="s">
        <v>35</v>
      </c>
      <c r="F32" s="24" t="s">
        <v>36</v>
      </c>
      <c r="G32" s="31" t="s">
        <v>37</v>
      </c>
    </row>
    <row r="33" spans="2:7" ht="35.1" thickBot="1">
      <c r="B33" s="88"/>
      <c r="C33" s="88"/>
      <c r="D33" s="30" t="s">
        <v>73</v>
      </c>
      <c r="E33" s="29" t="s">
        <v>39</v>
      </c>
      <c r="F33" s="39" t="s">
        <v>40</v>
      </c>
      <c r="G33" s="32" t="s">
        <v>41</v>
      </c>
    </row>
    <row r="38" spans="2:7">
      <c r="B38" t="s">
        <v>74</v>
      </c>
    </row>
    <row r="39" spans="2:7">
      <c r="B39" t="s">
        <v>75</v>
      </c>
    </row>
    <row r="40" spans="2:7">
      <c r="B40" t="s">
        <v>76</v>
      </c>
    </row>
    <row r="41" spans="2:7">
      <c r="B41" t="s">
        <v>77</v>
      </c>
    </row>
    <row r="42" spans="2:7">
      <c r="B42" t="s">
        <v>78</v>
      </c>
    </row>
    <row r="43" spans="2:7">
      <c r="B43" t="s">
        <v>79</v>
      </c>
    </row>
    <row r="44" spans="2:7">
      <c r="B44" t="s">
        <v>80</v>
      </c>
    </row>
    <row r="45" spans="2:7">
      <c r="B45" t="s">
        <v>81</v>
      </c>
    </row>
    <row r="46" spans="2:7">
      <c r="B46" t="s">
        <v>82</v>
      </c>
    </row>
    <row r="47" spans="2:7">
      <c r="B47" t="s">
        <v>83</v>
      </c>
    </row>
    <row r="48" spans="2:7">
      <c r="B48" t="s">
        <v>84</v>
      </c>
    </row>
    <row r="49" spans="2:2">
      <c r="B49" t="s">
        <v>85</v>
      </c>
    </row>
    <row r="50" spans="2:2">
      <c r="B50" t="s">
        <v>86</v>
      </c>
    </row>
    <row r="51" spans="2:2">
      <c r="B51" t="s">
        <v>87</v>
      </c>
    </row>
    <row r="52" spans="2:2">
      <c r="B52" t="s">
        <v>88</v>
      </c>
    </row>
    <row r="53" spans="2:2">
      <c r="B53" t="s">
        <v>89</v>
      </c>
    </row>
    <row r="54" spans="2:2">
      <c r="B54" t="s">
        <v>90</v>
      </c>
    </row>
    <row r="55" spans="2:2">
      <c r="B55" t="s">
        <v>91</v>
      </c>
    </row>
    <row r="56" spans="2:2">
      <c r="B56" t="s">
        <v>92</v>
      </c>
    </row>
    <row r="57" spans="2:2">
      <c r="B57" t="s">
        <v>93</v>
      </c>
    </row>
  </sheetData>
  <mergeCells count="8">
    <mergeCell ref="B16:B24"/>
    <mergeCell ref="B25:B33"/>
    <mergeCell ref="C16:C24"/>
    <mergeCell ref="C25:C33"/>
    <mergeCell ref="C4:C8"/>
    <mergeCell ref="B4:B8"/>
    <mergeCell ref="B9:B15"/>
    <mergeCell ref="C9:C15"/>
  </mergeCells>
  <hyperlinks>
    <hyperlink ref="F33" r:id="rId1" display="mailto:nationalaccounts@yesss.co.uk" xr:uid="{669C57CD-8F0C-ED46-AC38-57F87497527F}"/>
    <hyperlink ref="F32" r:id="rId2" display="mailto:Zoe.harris@screwfix.com" xr:uid="{64CD1BDE-47F3-0147-91A4-EE960E5130C4}"/>
    <hyperlink ref="F31" r:id="rId3" display="mailto:marissastoneham@h-squared.co.uk" xr:uid="{43AD0E16-ADE2-1447-B596-5D20F1F60936}"/>
    <hyperlink ref="F30" r:id="rId4" display="mailto:Rebecca.reade@allbatteries.com" xr:uid="{FFF027BE-C4EB-5745-9D5B-76B87F444161}"/>
    <hyperlink ref="F29" r:id="rId5" display="mailto:Kudzai.manduvi@rs-components.com" xr:uid="{7459C2F1-8BB1-3F45-9FD2-7F9D6669382F}"/>
    <hyperlink ref="F28" r:id="rId6" display="mailto:tom.Norris@rexel.co.uk" xr:uid="{FAA5ADB4-D790-DE49-827D-B9E67ABBD87E}"/>
    <hyperlink ref="F27" r:id="rId7" display="mailto:chris.calver@rapidonline.com" xr:uid="{9178F214-42BD-3642-90C5-4A57EE19693D}"/>
    <hyperlink ref="F26" r:id="rId8" display="mailto:mreeks@premierfarnell.com" xr:uid="{5741FD8D-C8CB-9948-B683-ED85BB8AB398}"/>
    <hyperlink ref="F25" r:id="rId9" display="mailto:nato@cef.co.uk" xr:uid="{EF7FBE43-5A23-3246-A15C-CDB242E16467}"/>
    <hyperlink ref="F24" r:id="rId10" display="mailto:gary.crowther@ttid.co.uk" xr:uid="{0CA87479-4558-4F4C-A709-0C698BA5E574}"/>
    <hyperlink ref="F23" r:id="rId11" display="mailto:m.crane@sjelectronics.co.uk" xr:uid="{926D9BBE-4484-9942-8EC6-9DE497FD7EB6}"/>
    <hyperlink ref="F22" r:id="rId12" display="mailto:Howard.peat@microlease.com" xr:uid="{4F662A3E-4F90-C047-8A2C-2F94A35EB8D8}"/>
    <hyperlink ref="F21" r:id="rId13" display="mailto:Peter.davenport@lambdaphoto.co.uk" xr:uid="{D746B25C-F7FC-BC4E-A650-05117E94E488}"/>
    <hyperlink ref="F20" r:id="rId14" display="mailto:Kudzai.manduvi@rs-components.com" xr:uid="{C31BF5B6-0989-E74A-A0BE-C6B708757115}"/>
    <hyperlink ref="F19" r:id="rId15" display="mailto:tom.Norris@rexel.co.uk" xr:uid="{EE956343-0D0F-C34B-A037-7DDD8772B9E6}"/>
    <hyperlink ref="F18" r:id="rId16" display="mailto:chris.calver@rapidonline.com" xr:uid="{B3B267E3-5795-0D4C-BB73-F6EA97A2B572}"/>
    <hyperlink ref="F17" r:id="rId17" display="mailto:mreeks@premierfarnell.com" xr:uid="{FBC4EA57-8A48-4B41-A348-985F24BBB807}"/>
    <hyperlink ref="F16" r:id="rId18" display="mailto:nato@cef.co.uk" xr:uid="{259BD5C9-0016-154B-BEF5-13B4F24DC7EF}"/>
    <hyperlink ref="F15" r:id="rId19" display="mailto:nationalaccounts@yesss.co.uk" xr:uid="{2320D510-0550-9245-8889-024BCA274AFD}"/>
    <hyperlink ref="F14" r:id="rId20" display="mailto:Zoe.harris@screwfix.com" xr:uid="{32EEF58E-7BAF-0541-8FFE-DAF7CFA9BE83}"/>
    <hyperlink ref="F13" r:id="rId21" display="mailto:Kudzai.manduvi@rs-components.com" xr:uid="{A4ABDB8C-16CC-B64C-A0D7-74626B015CB8}"/>
    <hyperlink ref="F12" r:id="rId22" display="mailto:tom.Norris@rexel.co.uk" xr:uid="{5465BF8D-189B-EB44-BCFF-3AFC80F1F6EC}"/>
    <hyperlink ref="F11" r:id="rId23" display="mailto:chris.calver@rapidonline.com" xr:uid="{EFA9EEC5-C0B7-0443-B893-4BBCB61911E5}"/>
    <hyperlink ref="F10" r:id="rId24" display="mailto:mreeks@premierfarnell.com" xr:uid="{89B19A43-28F3-674E-8E1F-9BD5AED68802}"/>
    <hyperlink ref="F9" r:id="rId25" display="mailto:nato@cef.co.uk" xr:uid="{8555F4CE-D581-6541-865F-8B576913497C}"/>
    <hyperlink ref="F8" r:id="rId26" display="mailto:Kudzai.manduvi@rs-components.com" xr:uid="{EF4CBA87-C999-5746-8872-9F6D93269AC8}"/>
    <hyperlink ref="F7" r:id="rId27" display="mailto:tom.Norris@rexel.co.uk" xr:uid="{E816B95E-FE17-DE4B-85D3-F96E3C11488F}"/>
    <hyperlink ref="F6" r:id="rId28" display="mailto:chris.calver@rapidonline.com" xr:uid="{FE089679-9F00-5D43-B4C7-C297D642A3F7}"/>
    <hyperlink ref="F5" r:id="rId29" display="mailto:mreeks@premierfarnell.com" xr:uid="{0EE08DD8-11A3-B941-A8BA-94B8CA738C00}"/>
    <hyperlink ref="F4" r:id="rId30" display="mailto:nato@cef.co.uk" xr:uid="{59342E09-4AF8-4C46-AB51-817DA709F2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0281-73FD-C04C-A391-27487667933D}">
  <dimension ref="B2:K88"/>
  <sheetViews>
    <sheetView topLeftCell="C63" workbookViewId="0">
      <selection activeCell="K81" sqref="K81"/>
    </sheetView>
  </sheetViews>
  <sheetFormatPr defaultColWidth="11" defaultRowHeight="15.95"/>
  <cols>
    <col min="3" max="3" width="58.5" customWidth="1"/>
    <col min="4" max="4" width="12.625" customWidth="1"/>
    <col min="5" max="5" width="17.625" customWidth="1"/>
    <col min="6" max="6" width="18.125" customWidth="1"/>
    <col min="7" max="7" width="14.625" customWidth="1"/>
    <col min="8" max="8" width="22.125" customWidth="1"/>
    <col min="9" max="9" width="15.125" customWidth="1"/>
    <col min="10" max="10" width="13.125" customWidth="1"/>
    <col min="11" max="11" width="27.375" customWidth="1"/>
  </cols>
  <sheetData>
    <row r="2" spans="2:11" ht="24">
      <c r="B2" s="1" t="s">
        <v>94</v>
      </c>
    </row>
    <row r="4" spans="2:11" ht="21.95">
      <c r="B4" s="13" t="s">
        <v>95</v>
      </c>
    </row>
    <row r="5" spans="2:11">
      <c r="B5" t="s">
        <v>96</v>
      </c>
      <c r="C5" t="s">
        <v>1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</row>
    <row r="6" spans="2:11">
      <c r="B6" t="s">
        <v>105</v>
      </c>
      <c r="C6" t="s">
        <v>106</v>
      </c>
      <c r="D6" t="s">
        <v>107</v>
      </c>
      <c r="E6" s="4">
        <v>1</v>
      </c>
      <c r="F6" s="58">
        <v>6.97</v>
      </c>
      <c r="G6" s="58">
        <f>Table3[[#This Row],[Price (exc. VAT)]]*1.2</f>
        <v>8.363999999999999</v>
      </c>
      <c r="H6" s="49" t="s">
        <v>108</v>
      </c>
      <c r="I6" s="4" t="s">
        <v>109</v>
      </c>
      <c r="J6" s="53" t="s">
        <v>110</v>
      </c>
      <c r="K6" t="s">
        <v>111</v>
      </c>
    </row>
    <row r="7" spans="2:11">
      <c r="B7">
        <v>1</v>
      </c>
      <c r="C7" t="s">
        <v>112</v>
      </c>
      <c r="D7" t="s">
        <v>113</v>
      </c>
      <c r="E7" s="4">
        <v>1</v>
      </c>
      <c r="F7" s="58">
        <v>61.07</v>
      </c>
      <c r="G7" s="58">
        <f>Table3[[#This Row],[Price (exc. VAT)]]*1.2</f>
        <v>73.283999999999992</v>
      </c>
      <c r="H7" s="50" t="s">
        <v>114</v>
      </c>
      <c r="I7" s="4" t="s">
        <v>115</v>
      </c>
      <c r="J7" s="53">
        <v>45484</v>
      </c>
    </row>
    <row r="8" spans="2:11">
      <c r="B8">
        <v>2</v>
      </c>
      <c r="C8" t="s">
        <v>116</v>
      </c>
      <c r="D8" t="s">
        <v>117</v>
      </c>
      <c r="E8" s="4">
        <v>1</v>
      </c>
      <c r="F8" s="58">
        <v>19.23</v>
      </c>
      <c r="G8" s="58">
        <f>Table3[[#This Row],[Price (exc. VAT)]]*1.2</f>
        <v>23.076000000000001</v>
      </c>
      <c r="H8" s="50" t="s">
        <v>118</v>
      </c>
      <c r="I8" s="4" t="s">
        <v>115</v>
      </c>
      <c r="J8" s="53">
        <v>45484</v>
      </c>
    </row>
    <row r="9" spans="2:11">
      <c r="B9">
        <v>3</v>
      </c>
      <c r="C9" t="s">
        <v>119</v>
      </c>
      <c r="D9" t="s">
        <v>107</v>
      </c>
      <c r="E9" s="4">
        <v>1</v>
      </c>
      <c r="F9" s="58">
        <v>1.62</v>
      </c>
      <c r="G9" s="58">
        <f>Table3[[#This Row],[Price (exc. VAT)]]*1.2</f>
        <v>1.944</v>
      </c>
      <c r="H9" s="50" t="s">
        <v>120</v>
      </c>
      <c r="I9" s="4" t="s">
        <v>115</v>
      </c>
      <c r="J9" s="53">
        <v>45515</v>
      </c>
    </row>
    <row r="10" spans="2:11">
      <c r="B10">
        <v>4</v>
      </c>
      <c r="C10" t="s">
        <v>121</v>
      </c>
      <c r="D10" t="s">
        <v>107</v>
      </c>
      <c r="E10" s="4">
        <v>1</v>
      </c>
      <c r="F10" s="58">
        <v>5.0999999999999996</v>
      </c>
      <c r="G10" s="58">
        <f>Table3[[#This Row],[Price (exc. VAT)]]*1.2</f>
        <v>6.1199999999999992</v>
      </c>
      <c r="H10" s="50" t="s">
        <v>122</v>
      </c>
      <c r="I10" s="4" t="s">
        <v>115</v>
      </c>
      <c r="J10" s="53">
        <v>45515</v>
      </c>
    </row>
    <row r="11" spans="2:11">
      <c r="B11">
        <v>5</v>
      </c>
      <c r="C11" t="s">
        <v>123</v>
      </c>
      <c r="D11" t="s">
        <v>107</v>
      </c>
      <c r="E11" s="4">
        <v>1</v>
      </c>
      <c r="F11" s="58">
        <v>3.4</v>
      </c>
      <c r="G11" s="58">
        <f>Table3[[#This Row],[Price (exc. VAT)]]*1.2</f>
        <v>4.08</v>
      </c>
      <c r="H11" s="50" t="s">
        <v>124</v>
      </c>
      <c r="I11" s="4" t="s">
        <v>115</v>
      </c>
      <c r="J11" s="53">
        <v>45515</v>
      </c>
    </row>
    <row r="12" spans="2:11">
      <c r="B12">
        <v>6</v>
      </c>
      <c r="C12" t="s">
        <v>125</v>
      </c>
      <c r="D12" t="s">
        <v>107</v>
      </c>
      <c r="E12" s="4">
        <v>1</v>
      </c>
      <c r="F12" s="58">
        <v>6.15</v>
      </c>
      <c r="G12" s="58">
        <f>Table3[[#This Row],[Price (exc. VAT)]]*1.2</f>
        <v>7.38</v>
      </c>
      <c r="H12" s="50" t="s">
        <v>126</v>
      </c>
      <c r="I12" s="4" t="s">
        <v>115</v>
      </c>
      <c r="J12" s="53">
        <v>45515</v>
      </c>
    </row>
    <row r="13" spans="2:11">
      <c r="B13">
        <v>7</v>
      </c>
      <c r="C13" t="s">
        <v>127</v>
      </c>
      <c r="D13" t="s">
        <v>107</v>
      </c>
      <c r="E13" s="4">
        <v>1</v>
      </c>
      <c r="F13" s="58">
        <v>5.66</v>
      </c>
      <c r="G13" s="58">
        <f>Table3[[#This Row],[Price (exc. VAT)]]*1.2</f>
        <v>6.7919999999999998</v>
      </c>
      <c r="H13" s="50" t="s">
        <v>128</v>
      </c>
      <c r="I13" s="4" t="s">
        <v>115</v>
      </c>
      <c r="J13" s="53">
        <v>45515</v>
      </c>
    </row>
    <row r="14" spans="2:11">
      <c r="B14">
        <v>8</v>
      </c>
      <c r="C14" t="s">
        <v>129</v>
      </c>
      <c r="D14" t="s">
        <v>130</v>
      </c>
      <c r="E14" s="4">
        <v>1</v>
      </c>
      <c r="F14" s="58">
        <v>40.799999999999997</v>
      </c>
      <c r="G14" s="58">
        <v>40.799999999999997</v>
      </c>
      <c r="I14" s="4" t="s">
        <v>115</v>
      </c>
      <c r="J14" s="53">
        <v>45515</v>
      </c>
      <c r="K14" t="s">
        <v>131</v>
      </c>
    </row>
    <row r="15" spans="2:11">
      <c r="B15">
        <v>9</v>
      </c>
      <c r="C15" t="s">
        <v>132</v>
      </c>
      <c r="D15" t="s">
        <v>133</v>
      </c>
      <c r="E15" s="4">
        <v>1</v>
      </c>
      <c r="F15" s="58">
        <v>5.83</v>
      </c>
      <c r="G15" s="58">
        <f>Table3[[#This Row],[Price (exc. VAT)]]*1.2</f>
        <v>6.9959999999999996</v>
      </c>
      <c r="H15" s="52" t="s">
        <v>134</v>
      </c>
      <c r="I15" s="4" t="s">
        <v>115</v>
      </c>
      <c r="J15" s="53">
        <v>45454</v>
      </c>
    </row>
    <row r="16" spans="2:11">
      <c r="B16">
        <v>10</v>
      </c>
      <c r="C16" t="s">
        <v>135</v>
      </c>
      <c r="D16" t="s">
        <v>133</v>
      </c>
      <c r="E16" s="4">
        <v>1</v>
      </c>
      <c r="F16" s="58">
        <v>1.7</v>
      </c>
      <c r="G16" s="58">
        <f>Table3[[#This Row],[Price (exc. VAT)]]*1.2</f>
        <v>2.04</v>
      </c>
      <c r="H16" s="49" t="s">
        <v>136</v>
      </c>
      <c r="I16" s="4" t="s">
        <v>115</v>
      </c>
      <c r="J16" s="53">
        <v>45454</v>
      </c>
    </row>
    <row r="17" spans="2:11">
      <c r="B17">
        <v>11</v>
      </c>
      <c r="C17" t="s">
        <v>137</v>
      </c>
      <c r="D17" t="s">
        <v>117</v>
      </c>
      <c r="E17" s="4">
        <v>1</v>
      </c>
      <c r="F17" s="58">
        <v>10.78</v>
      </c>
      <c r="G17" s="58">
        <f>Table3[[#This Row],[Price (exc. VAT)]]*1.2</f>
        <v>12.935999999999998</v>
      </c>
      <c r="H17" s="50" t="s">
        <v>138</v>
      </c>
      <c r="I17" s="4" t="s">
        <v>115</v>
      </c>
      <c r="J17" s="53">
        <v>45455</v>
      </c>
    </row>
    <row r="18" spans="2:11">
      <c r="B18">
        <v>12</v>
      </c>
      <c r="C18" t="s">
        <v>139</v>
      </c>
      <c r="D18" t="s">
        <v>117</v>
      </c>
      <c r="E18" s="4">
        <v>1</v>
      </c>
      <c r="F18" s="58">
        <v>12.14</v>
      </c>
      <c r="G18" s="58">
        <f>Table3[[#This Row],[Price (exc. VAT)]]*1.2</f>
        <v>14.568</v>
      </c>
      <c r="H18" s="49" t="s">
        <v>140</v>
      </c>
      <c r="I18" s="4" t="s">
        <v>115</v>
      </c>
      <c r="J18" s="53">
        <v>45485</v>
      </c>
    </row>
    <row r="19" spans="2:11">
      <c r="B19">
        <v>13</v>
      </c>
      <c r="C19" t="s">
        <v>141</v>
      </c>
      <c r="D19" t="s">
        <v>142</v>
      </c>
      <c r="E19" s="4">
        <v>1</v>
      </c>
      <c r="F19" s="58">
        <v>0.8</v>
      </c>
      <c r="G19" s="58">
        <f>Table3[[#This Row],[Price (exc. VAT)]]*1.2</f>
        <v>0.96</v>
      </c>
      <c r="H19" s="50" t="s">
        <v>143</v>
      </c>
      <c r="I19" s="4" t="s">
        <v>115</v>
      </c>
      <c r="J19" s="53">
        <v>45485</v>
      </c>
    </row>
    <row r="20" spans="2:11">
      <c r="B20">
        <v>14</v>
      </c>
      <c r="C20" t="s">
        <v>144</v>
      </c>
      <c r="D20" t="s">
        <v>107</v>
      </c>
      <c r="E20" s="4">
        <v>1</v>
      </c>
      <c r="F20" s="58">
        <v>12.07</v>
      </c>
      <c r="G20" s="58">
        <f>Table3[[#This Row],[Price (exc. VAT)]]*1.2</f>
        <v>14.484</v>
      </c>
      <c r="H20" s="50" t="s">
        <v>145</v>
      </c>
      <c r="I20" s="4" t="s">
        <v>115</v>
      </c>
      <c r="J20" s="53">
        <v>45485</v>
      </c>
    </row>
    <row r="21" spans="2:11">
      <c r="B21">
        <v>15</v>
      </c>
      <c r="C21" t="s">
        <v>146</v>
      </c>
      <c r="D21" t="s">
        <v>117</v>
      </c>
      <c r="E21" s="4">
        <v>1</v>
      </c>
      <c r="F21" s="58">
        <f>6.8/1.2</f>
        <v>5.666666666666667</v>
      </c>
      <c r="G21" s="58">
        <f>Table3[[#This Row],[Price (exc. VAT)]]*1.2</f>
        <v>6.8</v>
      </c>
      <c r="H21" s="50" t="s">
        <v>147</v>
      </c>
      <c r="I21" s="4" t="s">
        <v>115</v>
      </c>
      <c r="J21" s="53">
        <v>45688</v>
      </c>
      <c r="K21" t="s">
        <v>148</v>
      </c>
    </row>
    <row r="22" spans="2:11">
      <c r="B22">
        <v>16</v>
      </c>
      <c r="C22" t="s">
        <v>149</v>
      </c>
      <c r="D22" t="s">
        <v>130</v>
      </c>
      <c r="E22" s="4">
        <v>1</v>
      </c>
      <c r="F22" s="58">
        <f>11.4/1.2</f>
        <v>9.5</v>
      </c>
      <c r="G22" s="58">
        <f>Table3[[#This Row],[Price (exc. VAT)]]*1.2</f>
        <v>11.4</v>
      </c>
      <c r="H22" s="50" t="s">
        <v>150</v>
      </c>
      <c r="I22" s="4" t="s">
        <v>115</v>
      </c>
      <c r="J22" s="53">
        <v>45688</v>
      </c>
    </row>
    <row r="23" spans="2:11">
      <c r="B23">
        <v>17</v>
      </c>
      <c r="C23" t="s">
        <v>151</v>
      </c>
      <c r="D23" t="s">
        <v>117</v>
      </c>
      <c r="E23" s="4">
        <v>1</v>
      </c>
      <c r="F23" s="58">
        <f>2.7/1.2</f>
        <v>2.2500000000000004</v>
      </c>
      <c r="G23" s="58">
        <f>Table3[[#This Row],[Price (exc. VAT)]]*1.2</f>
        <v>2.7000000000000006</v>
      </c>
      <c r="H23" s="50" t="s">
        <v>152</v>
      </c>
      <c r="I23" s="4" t="s">
        <v>115</v>
      </c>
      <c r="J23" s="53">
        <v>45688</v>
      </c>
    </row>
    <row r="24" spans="2:11" ht="15.75">
      <c r="B24">
        <v>18</v>
      </c>
      <c r="C24" t="s">
        <v>144</v>
      </c>
      <c r="D24" t="s">
        <v>107</v>
      </c>
      <c r="E24" s="4">
        <v>8</v>
      </c>
      <c r="F24" s="58">
        <f>102.46/1.2</f>
        <v>85.383333333333326</v>
      </c>
      <c r="G24" s="58">
        <f>Table3[[#This Row],[Price (exc. VAT)]]*1.2</f>
        <v>102.46</v>
      </c>
      <c r="H24" s="50" t="s">
        <v>153</v>
      </c>
      <c r="I24" s="4" t="s">
        <v>115</v>
      </c>
      <c r="J24" s="53">
        <v>45688</v>
      </c>
      <c r="K24" t="s">
        <v>154</v>
      </c>
    </row>
    <row r="25" spans="2:11">
      <c r="B25">
        <v>19</v>
      </c>
      <c r="C25" t="s">
        <v>155</v>
      </c>
      <c r="D25" t="s">
        <v>133</v>
      </c>
      <c r="E25" s="4">
        <v>1</v>
      </c>
      <c r="F25" s="58">
        <f>7.95/1.2</f>
        <v>6.625</v>
      </c>
      <c r="G25" s="58">
        <f>Table3[[#This Row],[Price (exc. VAT)]]*1.2</f>
        <v>7.9499999999999993</v>
      </c>
      <c r="H25" s="50" t="s">
        <v>156</v>
      </c>
      <c r="I25" s="4" t="s">
        <v>115</v>
      </c>
      <c r="J25" s="53">
        <v>45688</v>
      </c>
    </row>
    <row r="26" spans="2:11">
      <c r="B26">
        <v>20</v>
      </c>
      <c r="C26" t="s">
        <v>157</v>
      </c>
      <c r="D26" t="s">
        <v>133</v>
      </c>
      <c r="E26" s="4">
        <v>1</v>
      </c>
      <c r="F26" s="58">
        <f>16.75/1.2</f>
        <v>13.958333333333334</v>
      </c>
      <c r="G26" s="58">
        <f>Table3[[#This Row],[Price (exc. VAT)]]*1.2</f>
        <v>16.75</v>
      </c>
      <c r="H26" s="50" t="s">
        <v>158</v>
      </c>
      <c r="I26" s="4" t="s">
        <v>115</v>
      </c>
      <c r="J26" s="53">
        <v>45688</v>
      </c>
    </row>
    <row r="27" spans="2:11">
      <c r="B27">
        <v>21</v>
      </c>
      <c r="C27" t="s">
        <v>159</v>
      </c>
      <c r="D27" t="s">
        <v>133</v>
      </c>
      <c r="E27" s="4">
        <v>1</v>
      </c>
      <c r="F27" s="58">
        <f>5.5/1.2</f>
        <v>4.5833333333333339</v>
      </c>
      <c r="G27" s="58">
        <f>Table3[[#This Row],[Price (exc. VAT)]]*1.2</f>
        <v>5.5000000000000009</v>
      </c>
      <c r="H27" s="50" t="s">
        <v>160</v>
      </c>
      <c r="I27" s="4" t="s">
        <v>115</v>
      </c>
      <c r="J27" s="53">
        <v>45688</v>
      </c>
    </row>
    <row r="28" spans="2:11">
      <c r="B28">
        <v>22</v>
      </c>
      <c r="C28" t="s">
        <v>161</v>
      </c>
      <c r="D28" t="s">
        <v>133</v>
      </c>
      <c r="E28" s="4">
        <v>2</v>
      </c>
      <c r="F28" s="58">
        <f>4.5/1.2</f>
        <v>3.75</v>
      </c>
      <c r="G28" s="58">
        <f>Table3[[#This Row],[Price (exc. VAT)]]*1.2</f>
        <v>4.5</v>
      </c>
      <c r="H28" s="50" t="s">
        <v>162</v>
      </c>
      <c r="I28" s="4" t="s">
        <v>115</v>
      </c>
      <c r="J28" s="53">
        <v>45688</v>
      </c>
    </row>
    <row r="29" spans="2:11">
      <c r="B29">
        <v>23</v>
      </c>
      <c r="C29" t="s">
        <v>163</v>
      </c>
      <c r="D29" t="s">
        <v>133</v>
      </c>
      <c r="E29" s="4">
        <v>1</v>
      </c>
      <c r="F29" s="58">
        <f>3.3/1.2</f>
        <v>2.75</v>
      </c>
      <c r="G29" s="58">
        <f>Table3[[#This Row],[Price (exc. VAT)]]*1.2</f>
        <v>3.3</v>
      </c>
      <c r="H29" s="50" t="s">
        <v>164</v>
      </c>
      <c r="I29" s="4" t="s">
        <v>115</v>
      </c>
      <c r="J29" s="53">
        <v>45688</v>
      </c>
    </row>
    <row r="30" spans="2:11">
      <c r="B30">
        <v>24</v>
      </c>
      <c r="C30" t="s">
        <v>165</v>
      </c>
      <c r="D30" t="s">
        <v>133</v>
      </c>
      <c r="E30" s="4">
        <v>1</v>
      </c>
      <c r="F30" s="58">
        <f>3.7/1.2</f>
        <v>3.0833333333333335</v>
      </c>
      <c r="G30" s="58">
        <f>Table3[[#This Row],[Price (exc. VAT)]]*1.2</f>
        <v>3.7</v>
      </c>
      <c r="H30" s="50" t="s">
        <v>166</v>
      </c>
      <c r="I30" s="4" t="s">
        <v>115</v>
      </c>
      <c r="J30" s="53">
        <v>45688</v>
      </c>
    </row>
    <row r="31" spans="2:11">
      <c r="B31">
        <v>25</v>
      </c>
      <c r="C31" t="s">
        <v>167</v>
      </c>
      <c r="D31" t="s">
        <v>133</v>
      </c>
      <c r="E31" s="4">
        <v>7</v>
      </c>
      <c r="F31" s="58">
        <f>36.75/1.2</f>
        <v>30.625</v>
      </c>
      <c r="G31" s="58">
        <f>Table3[[#This Row],[Price (exc. VAT)]]*1.2</f>
        <v>36.75</v>
      </c>
      <c r="H31" s="50" t="s">
        <v>168</v>
      </c>
      <c r="I31" s="4" t="s">
        <v>115</v>
      </c>
      <c r="J31" s="53">
        <v>45688</v>
      </c>
    </row>
    <row r="32" spans="2:11">
      <c r="B32">
        <v>26</v>
      </c>
      <c r="C32" t="s">
        <v>169</v>
      </c>
      <c r="D32" t="s">
        <v>133</v>
      </c>
      <c r="E32" s="4">
        <v>1</v>
      </c>
      <c r="F32" s="58">
        <v>5.31</v>
      </c>
      <c r="G32" s="58">
        <f>Table3[[#This Row],[Price (exc. VAT)]]*1.2</f>
        <v>6.371999999999999</v>
      </c>
      <c r="H32" s="72" t="s">
        <v>170</v>
      </c>
      <c r="I32" s="4" t="s">
        <v>115</v>
      </c>
      <c r="J32" s="53">
        <v>45688</v>
      </c>
    </row>
    <row r="33" spans="2:11">
      <c r="B33">
        <v>27</v>
      </c>
      <c r="C33" t="s">
        <v>171</v>
      </c>
      <c r="D33" t="s">
        <v>142</v>
      </c>
      <c r="E33" s="4">
        <v>2</v>
      </c>
      <c r="F33" s="58">
        <v>4.32</v>
      </c>
      <c r="G33" s="58">
        <f>Table3[[#This Row],[Price (exc. VAT)]]*1.2</f>
        <v>5.1840000000000002</v>
      </c>
      <c r="H33" s="50" t="s">
        <v>172</v>
      </c>
      <c r="I33" s="4" t="s">
        <v>115</v>
      </c>
      <c r="J33" s="53">
        <v>45699</v>
      </c>
      <c r="K33" t="s">
        <v>173</v>
      </c>
    </row>
    <row r="34" spans="2:11">
      <c r="B34">
        <v>28</v>
      </c>
      <c r="C34" t="s">
        <v>174</v>
      </c>
      <c r="D34" t="s">
        <v>142</v>
      </c>
      <c r="E34" s="4">
        <v>2</v>
      </c>
      <c r="F34" s="58">
        <v>8</v>
      </c>
      <c r="G34" s="58">
        <f>Table3[[#This Row],[Price (exc. VAT)]]*1.2</f>
        <v>9.6</v>
      </c>
      <c r="H34" s="50" t="s">
        <v>175</v>
      </c>
      <c r="I34" s="4" t="s">
        <v>115</v>
      </c>
      <c r="J34" s="53">
        <v>45699</v>
      </c>
      <c r="K34" t="s">
        <v>173</v>
      </c>
    </row>
    <row r="35" spans="2:11">
      <c r="B35">
        <v>29</v>
      </c>
      <c r="C35" t="s">
        <v>176</v>
      </c>
      <c r="D35" t="s">
        <v>142</v>
      </c>
      <c r="E35" s="4">
        <v>1</v>
      </c>
      <c r="F35" s="58">
        <v>16.670000000000002</v>
      </c>
      <c r="G35" s="58">
        <f>Table3[[#This Row],[Price (exc. VAT)]]*1.2</f>
        <v>20.004000000000001</v>
      </c>
      <c r="H35" s="50" t="s">
        <v>177</v>
      </c>
      <c r="I35" s="4" t="s">
        <v>115</v>
      </c>
      <c r="J35" s="53">
        <v>45699</v>
      </c>
    </row>
    <row r="36" spans="2:11">
      <c r="B36">
        <v>30</v>
      </c>
      <c r="C36" t="s">
        <v>178</v>
      </c>
      <c r="D36" t="s">
        <v>133</v>
      </c>
      <c r="E36" s="4">
        <v>3</v>
      </c>
      <c r="F36" s="58">
        <v>9.9</v>
      </c>
      <c r="G36" s="58">
        <f>Table3[[#This Row],[Price (exc. VAT)]]*1.2</f>
        <v>11.88</v>
      </c>
      <c r="H36" s="59" t="s">
        <v>179</v>
      </c>
      <c r="I36" s="4" t="s">
        <v>115</v>
      </c>
      <c r="J36" s="53">
        <v>45699</v>
      </c>
    </row>
    <row r="37" spans="2:11">
      <c r="B37">
        <v>31</v>
      </c>
      <c r="C37" t="s">
        <v>180</v>
      </c>
      <c r="D37" t="s">
        <v>142</v>
      </c>
      <c r="E37" s="4">
        <v>1</v>
      </c>
      <c r="F37" s="58">
        <v>21.78</v>
      </c>
      <c r="G37" s="58">
        <f>Table3[[#This Row],[Price (exc. VAT)]]*1.2</f>
        <v>26.135999999999999</v>
      </c>
      <c r="H37" s="59" t="s">
        <v>181</v>
      </c>
      <c r="I37" s="4" t="s">
        <v>115</v>
      </c>
      <c r="J37" s="53">
        <v>45699</v>
      </c>
    </row>
    <row r="38" spans="2:11">
      <c r="B38">
        <v>32</v>
      </c>
      <c r="C38" t="s">
        <v>182</v>
      </c>
      <c r="D38" t="s">
        <v>130</v>
      </c>
      <c r="E38" s="4">
        <v>5</v>
      </c>
      <c r="F38" s="58">
        <f>15.35/1.2</f>
        <v>12.791666666666666</v>
      </c>
      <c r="G38" s="58">
        <f>Table3[[#This Row],[Price (exc. VAT)]]*1.2</f>
        <v>15.349999999999998</v>
      </c>
      <c r="H38" s="50" t="s">
        <v>183</v>
      </c>
      <c r="I38" s="4" t="s">
        <v>115</v>
      </c>
      <c r="J38" s="53">
        <v>45699</v>
      </c>
    </row>
    <row r="39" spans="2:11">
      <c r="B39">
        <v>33</v>
      </c>
      <c r="C39" t="s">
        <v>184</v>
      </c>
      <c r="D39" t="s">
        <v>130</v>
      </c>
      <c r="E39" s="4">
        <v>8</v>
      </c>
      <c r="F39" s="58">
        <f>10.64/1.2</f>
        <v>8.8666666666666671</v>
      </c>
      <c r="G39" s="58">
        <f>Table3[[#This Row],[Price (exc. VAT)]]*1.2</f>
        <v>10.64</v>
      </c>
      <c r="H39" s="50" t="s">
        <v>185</v>
      </c>
      <c r="I39" s="4" t="s">
        <v>115</v>
      </c>
      <c r="J39" s="53">
        <v>45699</v>
      </c>
    </row>
    <row r="40" spans="2:11">
      <c r="B40">
        <v>34</v>
      </c>
      <c r="C40" t="s">
        <v>186</v>
      </c>
      <c r="D40" t="s">
        <v>130</v>
      </c>
      <c r="E40" s="4">
        <v>8</v>
      </c>
      <c r="F40" s="58">
        <f>5.04/1.2</f>
        <v>4.2</v>
      </c>
      <c r="G40" s="58">
        <f>Table3[[#This Row],[Price (exc. VAT)]]*1.2</f>
        <v>5.04</v>
      </c>
      <c r="H40" s="50" t="s">
        <v>187</v>
      </c>
      <c r="I40" s="4" t="s">
        <v>115</v>
      </c>
      <c r="J40" s="53">
        <v>45699</v>
      </c>
    </row>
    <row r="41" spans="2:11">
      <c r="B41">
        <v>35</v>
      </c>
      <c r="C41" t="s">
        <v>188</v>
      </c>
      <c r="D41" t="s">
        <v>130</v>
      </c>
      <c r="E41" s="4">
        <v>16</v>
      </c>
      <c r="F41" s="58">
        <v>2.93</v>
      </c>
      <c r="G41" s="58">
        <f>Table3[[#This Row],[Price (exc. VAT)]]*1.2</f>
        <v>3.516</v>
      </c>
      <c r="H41" s="50" t="s">
        <v>189</v>
      </c>
      <c r="I41" s="4" t="s">
        <v>115</v>
      </c>
      <c r="J41" s="53">
        <v>45699</v>
      </c>
    </row>
    <row r="42" spans="2:11">
      <c r="B42">
        <v>36</v>
      </c>
      <c r="C42" t="s">
        <v>190</v>
      </c>
      <c r="D42" t="s">
        <v>130</v>
      </c>
      <c r="E42" s="4">
        <v>12</v>
      </c>
      <c r="F42" s="58">
        <v>10.8</v>
      </c>
      <c r="G42" s="58">
        <f>Table3[[#This Row],[Price (exc. VAT)]]*1.2</f>
        <v>12.96</v>
      </c>
      <c r="H42" s="50" t="s">
        <v>191</v>
      </c>
      <c r="I42" s="4" t="s">
        <v>115</v>
      </c>
      <c r="J42" s="53">
        <v>45699</v>
      </c>
    </row>
    <row r="43" spans="2:11">
      <c r="B43">
        <v>37</v>
      </c>
      <c r="C43" t="s">
        <v>192</v>
      </c>
      <c r="D43" t="s">
        <v>130</v>
      </c>
      <c r="E43" s="4">
        <v>2</v>
      </c>
      <c r="F43" s="58">
        <v>0.93</v>
      </c>
      <c r="G43" s="58">
        <f>Table3[[#This Row],[Price (exc. VAT)]]*1.2</f>
        <v>1.1160000000000001</v>
      </c>
      <c r="H43" s="50" t="s">
        <v>193</v>
      </c>
      <c r="I43" s="4" t="s">
        <v>115</v>
      </c>
      <c r="J43" s="53">
        <v>45699</v>
      </c>
    </row>
    <row r="44" spans="2:11">
      <c r="B44">
        <v>38</v>
      </c>
      <c r="C44" t="s">
        <v>194</v>
      </c>
      <c r="D44" t="s">
        <v>130</v>
      </c>
      <c r="E44" s="4">
        <v>5</v>
      </c>
      <c r="F44" s="58">
        <v>2.15</v>
      </c>
      <c r="G44" s="58">
        <f>Table3[[#This Row],[Price (exc. VAT)]]*1.2</f>
        <v>2.5799999999999996</v>
      </c>
      <c r="H44" s="50" t="s">
        <v>195</v>
      </c>
      <c r="I44" s="4" t="s">
        <v>115</v>
      </c>
      <c r="J44" s="53">
        <v>45699</v>
      </c>
    </row>
    <row r="45" spans="2:11">
      <c r="B45">
        <v>39</v>
      </c>
      <c r="C45" t="s">
        <v>196</v>
      </c>
      <c r="D45" t="s">
        <v>142</v>
      </c>
      <c r="E45" s="4">
        <v>1</v>
      </c>
      <c r="F45" s="58">
        <f>26/1.2</f>
        <v>21.666666666666668</v>
      </c>
      <c r="G45" s="58">
        <f>Table3[[#This Row],[Price (exc. VAT)]]*1.2</f>
        <v>26</v>
      </c>
      <c r="H45" s="50" t="s">
        <v>197</v>
      </c>
      <c r="I45" s="4" t="s">
        <v>115</v>
      </c>
      <c r="J45" s="53">
        <v>45699</v>
      </c>
      <c r="K45" t="s">
        <v>198</v>
      </c>
    </row>
    <row r="46" spans="2:11">
      <c r="B46">
        <v>40</v>
      </c>
      <c r="C46" t="s">
        <v>199</v>
      </c>
      <c r="D46" t="s">
        <v>133</v>
      </c>
      <c r="E46" s="4">
        <v>1</v>
      </c>
      <c r="F46" s="58">
        <v>6.36</v>
      </c>
      <c r="G46" s="58">
        <f>Table3[[#This Row],[Price (exc. VAT)]]*1.2</f>
        <v>7.6319999999999997</v>
      </c>
      <c r="H46" s="50" t="s">
        <v>200</v>
      </c>
      <c r="I46" s="4" t="s">
        <v>115</v>
      </c>
      <c r="J46" s="53">
        <v>45709</v>
      </c>
    </row>
    <row r="47" spans="2:11">
      <c r="B47">
        <v>41</v>
      </c>
      <c r="C47" t="s">
        <v>201</v>
      </c>
      <c r="D47" t="s">
        <v>133</v>
      </c>
      <c r="E47" s="4">
        <v>1</v>
      </c>
      <c r="F47" s="58">
        <v>5.81</v>
      </c>
      <c r="G47" s="58">
        <f>Table3[[#This Row],[Price (exc. VAT)]]*1.2</f>
        <v>6.9719999999999995</v>
      </c>
      <c r="H47" s="50" t="s">
        <v>202</v>
      </c>
      <c r="I47" s="4" t="s">
        <v>115</v>
      </c>
      <c r="J47" s="53">
        <v>45709</v>
      </c>
    </row>
    <row r="48" spans="2:11">
      <c r="B48">
        <v>42</v>
      </c>
      <c r="C48" t="s">
        <v>203</v>
      </c>
      <c r="D48" t="s">
        <v>113</v>
      </c>
      <c r="E48" s="4">
        <v>1</v>
      </c>
      <c r="F48" s="58">
        <v>4.04</v>
      </c>
      <c r="G48" s="58">
        <f>Table3[[#This Row],[Price (exc. VAT)]]*1.2</f>
        <v>4.8479999999999999</v>
      </c>
      <c r="H48" s="50" t="s">
        <v>204</v>
      </c>
      <c r="I48" s="4" t="s">
        <v>115</v>
      </c>
      <c r="J48" s="53">
        <v>45709</v>
      </c>
    </row>
    <row r="49" spans="2:11">
      <c r="B49">
        <v>43</v>
      </c>
      <c r="C49" t="s">
        <v>205</v>
      </c>
      <c r="D49" t="s">
        <v>133</v>
      </c>
      <c r="E49" s="4">
        <v>1</v>
      </c>
      <c r="F49" s="58">
        <f>26.99/1.2</f>
        <v>22.491666666666667</v>
      </c>
      <c r="G49" s="58">
        <f>Table3[[#This Row],[Price (exc. VAT)]]*1.2+4.49</f>
        <v>31.479999999999997</v>
      </c>
      <c r="H49" s="50" t="s">
        <v>206</v>
      </c>
      <c r="I49" s="4" t="s">
        <v>115</v>
      </c>
      <c r="J49" s="53">
        <v>45709</v>
      </c>
      <c r="K49" t="s">
        <v>207</v>
      </c>
    </row>
    <row r="50" spans="2:11">
      <c r="B50">
        <v>44</v>
      </c>
      <c r="C50" t="s">
        <v>208</v>
      </c>
      <c r="D50" t="s">
        <v>117</v>
      </c>
      <c r="E50" s="4">
        <v>1</v>
      </c>
      <c r="F50" s="58">
        <f>15.21/1.2</f>
        <v>12.675000000000001</v>
      </c>
      <c r="G50" s="58">
        <f>Table3[[#This Row],[Price (exc. VAT)]]*1.2</f>
        <v>15.21</v>
      </c>
      <c r="H50" s="50" t="s">
        <v>209</v>
      </c>
      <c r="I50" s="4" t="s">
        <v>115</v>
      </c>
      <c r="J50" s="53">
        <v>45709</v>
      </c>
    </row>
    <row r="51" spans="2:11">
      <c r="B51">
        <v>45</v>
      </c>
      <c r="C51" t="s">
        <v>210</v>
      </c>
      <c r="D51" t="s">
        <v>117</v>
      </c>
      <c r="E51" s="4">
        <v>2</v>
      </c>
      <c r="F51" s="58">
        <f>(6.87*2)/1.2</f>
        <v>11.450000000000001</v>
      </c>
      <c r="G51" s="58">
        <f>Table3[[#This Row],[Price (exc. VAT)]]*1.2+4</f>
        <v>17.740000000000002</v>
      </c>
      <c r="H51" s="50" t="s">
        <v>211</v>
      </c>
      <c r="I51" s="4" t="s">
        <v>115</v>
      </c>
      <c r="J51" s="53">
        <v>45709</v>
      </c>
      <c r="K51" t="s">
        <v>212</v>
      </c>
    </row>
    <row r="52" spans="2:11">
      <c r="B52">
        <v>46</v>
      </c>
      <c r="C52" t="s">
        <v>213</v>
      </c>
      <c r="D52" t="s">
        <v>142</v>
      </c>
      <c r="E52" s="4">
        <v>1</v>
      </c>
      <c r="F52" s="58">
        <f>4.08/1.2</f>
        <v>3.4000000000000004</v>
      </c>
      <c r="G52" s="58">
        <f>Table3[[#This Row],[Price (exc. VAT)]]*1.2</f>
        <v>4.08</v>
      </c>
      <c r="H52" s="50" t="s">
        <v>214</v>
      </c>
      <c r="I52" s="4" t="s">
        <v>115</v>
      </c>
      <c r="J52" s="53">
        <v>45709</v>
      </c>
    </row>
    <row r="53" spans="2:11">
      <c r="B53">
        <v>47</v>
      </c>
      <c r="C53" t="s">
        <v>139</v>
      </c>
      <c r="D53" t="s">
        <v>117</v>
      </c>
      <c r="E53" s="4">
        <v>1</v>
      </c>
      <c r="F53" s="58">
        <f>19.7/1.2</f>
        <v>16.416666666666668</v>
      </c>
      <c r="G53" s="58">
        <f>Table3[[#This Row],[Price (exc. VAT)]]*1.2</f>
        <v>19.7</v>
      </c>
      <c r="H53" s="50" t="s">
        <v>215</v>
      </c>
      <c r="I53" s="4" t="s">
        <v>115</v>
      </c>
      <c r="J53" s="53">
        <v>45709</v>
      </c>
    </row>
    <row r="54" spans="2:11">
      <c r="B54">
        <v>48</v>
      </c>
      <c r="C54" t="s">
        <v>216</v>
      </c>
      <c r="D54" t="s">
        <v>113</v>
      </c>
      <c r="E54" s="4">
        <v>6</v>
      </c>
      <c r="F54" s="58">
        <f>12.9/1.2</f>
        <v>10.75</v>
      </c>
      <c r="G54" s="58">
        <f>Table3[[#This Row],[Price (exc. VAT)]]*1.2</f>
        <v>12.9</v>
      </c>
      <c r="H54" s="50" t="s">
        <v>217</v>
      </c>
      <c r="I54" s="4" t="s">
        <v>115</v>
      </c>
      <c r="J54" s="53">
        <v>45720</v>
      </c>
      <c r="K54" t="s">
        <v>218</v>
      </c>
    </row>
    <row r="55" spans="2:11">
      <c r="B55">
        <v>49</v>
      </c>
      <c r="C55" t="s">
        <v>219</v>
      </c>
      <c r="D55" t="s">
        <v>130</v>
      </c>
      <c r="E55" s="4">
        <v>10</v>
      </c>
      <c r="F55" s="58">
        <v>5.45</v>
      </c>
      <c r="G55" s="58">
        <f>Table3[[#This Row],[Price (exc. VAT)]]*1.2</f>
        <v>6.54</v>
      </c>
      <c r="H55" t="s">
        <v>220</v>
      </c>
      <c r="I55" s="4" t="s">
        <v>115</v>
      </c>
      <c r="J55" s="53">
        <v>45720</v>
      </c>
    </row>
    <row r="56" spans="2:11">
      <c r="B56">
        <v>50</v>
      </c>
      <c r="C56" t="s">
        <v>221</v>
      </c>
      <c r="D56" t="s">
        <v>130</v>
      </c>
      <c r="E56" s="4">
        <v>10</v>
      </c>
      <c r="F56" s="58">
        <v>4.59</v>
      </c>
      <c r="G56" s="58">
        <f>Table3[[#This Row],[Price (exc. VAT)]]*1.2</f>
        <v>5.508</v>
      </c>
      <c r="H56" t="s">
        <v>222</v>
      </c>
      <c r="I56" s="4" t="s">
        <v>115</v>
      </c>
      <c r="J56" s="53">
        <v>45720</v>
      </c>
    </row>
    <row r="57" spans="2:11">
      <c r="B57">
        <v>51</v>
      </c>
      <c r="C57" t="s">
        <v>223</v>
      </c>
      <c r="D57" t="s">
        <v>130</v>
      </c>
      <c r="E57" s="4">
        <v>7</v>
      </c>
      <c r="F57" s="58">
        <v>9.4499999999999993</v>
      </c>
      <c r="G57" s="58">
        <f>Table3[[#This Row],[Price (exc. VAT)]]*1.2</f>
        <v>11.339999999999998</v>
      </c>
      <c r="H57" t="s">
        <v>224</v>
      </c>
      <c r="I57" s="4" t="s">
        <v>115</v>
      </c>
      <c r="J57" s="53">
        <v>45720</v>
      </c>
    </row>
    <row r="58" spans="2:11">
      <c r="B58">
        <v>52</v>
      </c>
      <c r="C58" t="s">
        <v>225</v>
      </c>
      <c r="D58" t="s">
        <v>130</v>
      </c>
      <c r="E58" s="4">
        <v>1</v>
      </c>
      <c r="F58" s="58">
        <v>1.99</v>
      </c>
      <c r="G58" s="58">
        <f>Table3[[#This Row],[Price (exc. VAT)]]*1.2</f>
        <v>2.3879999999999999</v>
      </c>
      <c r="H58" t="s">
        <v>226</v>
      </c>
      <c r="I58" s="4" t="s">
        <v>115</v>
      </c>
      <c r="J58" s="53">
        <v>45720</v>
      </c>
    </row>
    <row r="59" spans="2:11">
      <c r="B59">
        <v>53</v>
      </c>
      <c r="C59" t="s">
        <v>227</v>
      </c>
      <c r="D59" t="s">
        <v>133</v>
      </c>
      <c r="E59" s="4">
        <v>1</v>
      </c>
      <c r="F59" s="58">
        <v>3</v>
      </c>
      <c r="G59" s="58">
        <f>Table3[[#This Row],[Price (exc. VAT)]]*1.2</f>
        <v>3.5999999999999996</v>
      </c>
      <c r="H59" s="82" t="s">
        <v>228</v>
      </c>
      <c r="I59" s="4" t="s">
        <v>115</v>
      </c>
      <c r="J59" s="53">
        <v>45933</v>
      </c>
    </row>
    <row r="60" spans="2:11">
      <c r="B60">
        <v>54</v>
      </c>
      <c r="C60" s="81" t="s">
        <v>229</v>
      </c>
      <c r="D60" t="s">
        <v>130</v>
      </c>
      <c r="E60" s="4">
        <v>1</v>
      </c>
      <c r="F60" s="58">
        <v>2.13</v>
      </c>
      <c r="G60" s="58">
        <f>Table3[[#This Row],[Price (exc. VAT)]]*1.2</f>
        <v>2.5559999999999996</v>
      </c>
      <c r="H60" s="50" t="s">
        <v>230</v>
      </c>
      <c r="I60" s="4" t="s">
        <v>115</v>
      </c>
      <c r="J60" s="53">
        <v>45933</v>
      </c>
    </row>
    <row r="61" spans="2:11">
      <c r="B61">
        <v>55</v>
      </c>
      <c r="C61" t="s">
        <v>231</v>
      </c>
      <c r="D61" t="s">
        <v>117</v>
      </c>
      <c r="E61" s="4">
        <v>8</v>
      </c>
      <c r="F61" s="58">
        <f>14.44/1.2</f>
        <v>12.033333333333333</v>
      </c>
      <c r="G61" s="58">
        <f>Table3[[#This Row],[Price (exc. VAT)]]*1.2</f>
        <v>14.44</v>
      </c>
      <c r="H61" s="50" t="s">
        <v>232</v>
      </c>
      <c r="I61" s="4" t="s">
        <v>115</v>
      </c>
      <c r="J61" s="53" t="s">
        <v>233</v>
      </c>
    </row>
    <row r="62" spans="2:11">
      <c r="B62">
        <v>56</v>
      </c>
      <c r="C62" t="s">
        <v>234</v>
      </c>
      <c r="D62" t="s">
        <v>130</v>
      </c>
      <c r="E62" s="4">
        <v>1</v>
      </c>
      <c r="F62" s="58">
        <f>4.9/1.2</f>
        <v>4.0833333333333339</v>
      </c>
      <c r="G62" s="58">
        <f>Table3[[#This Row],[Price (exc. VAT)]]*1.2</f>
        <v>4.9000000000000004</v>
      </c>
      <c r="H62" s="49" t="s">
        <v>235</v>
      </c>
      <c r="I62" s="4" t="s">
        <v>115</v>
      </c>
      <c r="J62" s="53" t="s">
        <v>233</v>
      </c>
    </row>
    <row r="63" spans="2:11">
      <c r="B63">
        <v>57</v>
      </c>
      <c r="C63" t="s">
        <v>236</v>
      </c>
      <c r="D63" t="s">
        <v>117</v>
      </c>
      <c r="E63" s="4">
        <v>1</v>
      </c>
      <c r="F63" s="58">
        <f>5.9/1.2</f>
        <v>4.916666666666667</v>
      </c>
      <c r="G63" s="58">
        <f>Table3[[#This Row],[Price (exc. VAT)]]*1.2</f>
        <v>5.9</v>
      </c>
      <c r="H63" s="49" t="s">
        <v>237</v>
      </c>
      <c r="I63" s="4" t="s">
        <v>115</v>
      </c>
      <c r="J63" s="53" t="s">
        <v>233</v>
      </c>
    </row>
    <row r="64" spans="2:11">
      <c r="B64">
        <v>58</v>
      </c>
      <c r="C64" t="s">
        <v>238</v>
      </c>
      <c r="D64" t="s">
        <v>117</v>
      </c>
      <c r="E64" s="4">
        <v>1</v>
      </c>
      <c r="F64" s="58">
        <f>2.9/1.2</f>
        <v>2.4166666666666665</v>
      </c>
      <c r="G64" s="58">
        <f>Table3[[#This Row],[Price (exc. VAT)]]*1.2</f>
        <v>2.9</v>
      </c>
      <c r="H64" s="49" t="s">
        <v>239</v>
      </c>
      <c r="I64" s="4" t="s">
        <v>115</v>
      </c>
      <c r="J64" s="53" t="s">
        <v>233</v>
      </c>
    </row>
    <row r="65" spans="2:11">
      <c r="B65">
        <v>59</v>
      </c>
      <c r="C65" s="83" t="s">
        <v>240</v>
      </c>
      <c r="D65" t="s">
        <v>133</v>
      </c>
      <c r="E65" s="4">
        <v>8</v>
      </c>
      <c r="F65" s="58">
        <v>17.600000000000001</v>
      </c>
      <c r="G65" s="58">
        <f>Table3[[#This Row],[Price (exc. VAT)]]*1.2</f>
        <v>21.12</v>
      </c>
      <c r="H65" s="50" t="s">
        <v>241</v>
      </c>
      <c r="I65" s="4" t="s">
        <v>115</v>
      </c>
      <c r="J65" s="53" t="s">
        <v>233</v>
      </c>
    </row>
    <row r="66" spans="2:11">
      <c r="B66">
        <v>60</v>
      </c>
      <c r="C66" t="s">
        <v>242</v>
      </c>
      <c r="D66" t="s">
        <v>107</v>
      </c>
      <c r="E66" s="4">
        <v>8</v>
      </c>
      <c r="F66" s="58">
        <v>72.36</v>
      </c>
      <c r="G66" s="58">
        <f>Table3[[#This Row],[Price (exc. VAT)]]*1.2</f>
        <v>86.831999999999994</v>
      </c>
      <c r="H66" s="50" t="s">
        <v>243</v>
      </c>
      <c r="I66" s="4" t="s">
        <v>115</v>
      </c>
      <c r="J66" s="53" t="s">
        <v>233</v>
      </c>
    </row>
    <row r="67" spans="2:11">
      <c r="B67">
        <v>61</v>
      </c>
      <c r="C67" t="s">
        <v>244</v>
      </c>
      <c r="D67" t="s">
        <v>107</v>
      </c>
      <c r="E67" s="4">
        <v>2</v>
      </c>
      <c r="F67" s="58">
        <v>32.979999999999997</v>
      </c>
      <c r="G67" s="58">
        <f>Table3[[#This Row],[Price (exc. VAT)]]*1.2</f>
        <v>39.575999999999993</v>
      </c>
      <c r="H67" s="50" t="s">
        <v>245</v>
      </c>
      <c r="I67" s="4" t="s">
        <v>115</v>
      </c>
      <c r="J67" s="53" t="s">
        <v>233</v>
      </c>
    </row>
    <row r="68" spans="2:11">
      <c r="B68">
        <v>62</v>
      </c>
      <c r="C68" t="s">
        <v>246</v>
      </c>
      <c r="D68" t="s">
        <v>107</v>
      </c>
      <c r="E68" s="4">
        <v>2</v>
      </c>
      <c r="F68" s="58">
        <v>11.9</v>
      </c>
      <c r="G68" s="58">
        <f>Table3[[#This Row],[Price (exc. VAT)]]*1.2</f>
        <v>14.28</v>
      </c>
      <c r="H68" s="50" t="s">
        <v>247</v>
      </c>
      <c r="I68" s="4" t="s">
        <v>115</v>
      </c>
      <c r="J68" s="53" t="s">
        <v>248</v>
      </c>
    </row>
    <row r="69" spans="2:11">
      <c r="B69">
        <v>63</v>
      </c>
      <c r="C69" t="s">
        <v>249</v>
      </c>
      <c r="D69" t="s">
        <v>113</v>
      </c>
      <c r="E69" s="4">
        <v>2</v>
      </c>
      <c r="F69" s="58">
        <v>7.94</v>
      </c>
      <c r="G69" s="58">
        <f>Table3[[#This Row],[Price (exc. VAT)]]*1.2</f>
        <v>9.5280000000000005</v>
      </c>
      <c r="H69" s="50" t="s">
        <v>250</v>
      </c>
      <c r="I69" s="4" t="s">
        <v>115</v>
      </c>
      <c r="J69" s="53" t="s">
        <v>248</v>
      </c>
    </row>
    <row r="70" spans="2:11">
      <c r="B70">
        <v>64</v>
      </c>
      <c r="C70" t="s">
        <v>251</v>
      </c>
      <c r="D70" t="s">
        <v>117</v>
      </c>
      <c r="E70" s="4">
        <v>2</v>
      </c>
      <c r="F70" s="58">
        <v>26.88</v>
      </c>
      <c r="G70" s="58">
        <f>Table3[[#This Row],[Price (exc. VAT)]]*1.2</f>
        <v>32.256</v>
      </c>
      <c r="H70" t="s">
        <v>252</v>
      </c>
      <c r="I70" s="4" t="s">
        <v>115</v>
      </c>
      <c r="J70" s="53" t="s">
        <v>248</v>
      </c>
    </row>
    <row r="71" spans="2:11">
      <c r="B71">
        <v>65</v>
      </c>
      <c r="C71" t="s">
        <v>253</v>
      </c>
      <c r="D71" t="s">
        <v>117</v>
      </c>
      <c r="E71" s="4">
        <v>1</v>
      </c>
      <c r="F71" s="58">
        <v>19.68</v>
      </c>
      <c r="G71" s="58">
        <f>Table3[[#This Row],[Price (exc. VAT)]]*1.2</f>
        <v>23.616</v>
      </c>
      <c r="H71" t="s">
        <v>254</v>
      </c>
      <c r="I71" s="4" t="s">
        <v>115</v>
      </c>
      <c r="J71" s="53" t="s">
        <v>248</v>
      </c>
    </row>
    <row r="72" spans="2:11">
      <c r="B72">
        <v>66</v>
      </c>
      <c r="C72" t="s">
        <v>255</v>
      </c>
      <c r="D72" t="s">
        <v>117</v>
      </c>
      <c r="E72" s="4">
        <v>2</v>
      </c>
      <c r="F72" s="58">
        <v>25.1</v>
      </c>
      <c r="G72" s="58">
        <f>Table3[[#This Row],[Price (exc. VAT)]]*1.2</f>
        <v>30.12</v>
      </c>
      <c r="H72" t="s">
        <v>256</v>
      </c>
      <c r="I72" s="4" t="s">
        <v>115</v>
      </c>
      <c r="J72" s="53" t="s">
        <v>248</v>
      </c>
    </row>
    <row r="73" spans="2:11">
      <c r="B73">
        <v>67</v>
      </c>
      <c r="C73" t="s">
        <v>257</v>
      </c>
      <c r="D73" t="s">
        <v>133</v>
      </c>
      <c r="E73" s="4">
        <v>4</v>
      </c>
      <c r="F73" s="58">
        <v>9.44</v>
      </c>
      <c r="G73" s="58">
        <f>Table3[[#This Row],[Price (exc. VAT)]]*1.2</f>
        <v>11.327999999999999</v>
      </c>
      <c r="H73" t="s">
        <v>258</v>
      </c>
      <c r="I73" s="4" t="s">
        <v>115</v>
      </c>
      <c r="J73" s="53" t="s">
        <v>259</v>
      </c>
    </row>
    <row r="74" spans="2:11">
      <c r="B74">
        <v>68</v>
      </c>
      <c r="C74" t="s">
        <v>260</v>
      </c>
      <c r="D74" t="s">
        <v>117</v>
      </c>
      <c r="E74" s="4">
        <v>10</v>
      </c>
      <c r="F74" s="58">
        <v>2.78</v>
      </c>
      <c r="G74" s="58">
        <f>Table3[[#This Row],[Price (exc. VAT)]]*1.2</f>
        <v>3.3359999999999999</v>
      </c>
      <c r="H74" t="s">
        <v>261</v>
      </c>
      <c r="I74" s="4" t="s">
        <v>115</v>
      </c>
      <c r="J74" s="53" t="s">
        <v>259</v>
      </c>
    </row>
    <row r="75" spans="2:11">
      <c r="B75">
        <v>69</v>
      </c>
      <c r="C75" t="s">
        <v>262</v>
      </c>
      <c r="D75" t="s">
        <v>107</v>
      </c>
      <c r="E75" s="4">
        <v>2</v>
      </c>
      <c r="F75" s="58">
        <f>22.18/1.2</f>
        <v>18.483333333333334</v>
      </c>
      <c r="G75" s="58">
        <f>Table3[[#This Row],[Price (exc. VAT)]]*1.2</f>
        <v>22.18</v>
      </c>
      <c r="H75" s="50" t="s">
        <v>263</v>
      </c>
      <c r="I75" s="4" t="s">
        <v>115</v>
      </c>
      <c r="J75" s="53" t="s">
        <v>259</v>
      </c>
      <c r="K75" t="s">
        <v>264</v>
      </c>
    </row>
    <row r="76" spans="2:11">
      <c r="B76">
        <v>70</v>
      </c>
      <c r="C76" t="s">
        <v>265</v>
      </c>
      <c r="D76" t="s">
        <v>107</v>
      </c>
      <c r="E76" s="4">
        <v>2</v>
      </c>
      <c r="F76" s="58">
        <f>37.98/1.2</f>
        <v>31.65</v>
      </c>
      <c r="G76" s="58">
        <f>Table3[[#This Row],[Price (exc. VAT)]]*1.2</f>
        <v>37.979999999999997</v>
      </c>
      <c r="H76" s="50" t="s">
        <v>266</v>
      </c>
      <c r="I76" s="4" t="s">
        <v>115</v>
      </c>
      <c r="J76" s="53" t="s">
        <v>259</v>
      </c>
    </row>
    <row r="77" spans="2:11">
      <c r="B77">
        <v>71</v>
      </c>
      <c r="C77" t="s">
        <v>267</v>
      </c>
      <c r="D77" t="s">
        <v>117</v>
      </c>
      <c r="E77" s="4">
        <v>2</v>
      </c>
      <c r="F77" s="58">
        <f>4.8/1.2</f>
        <v>4</v>
      </c>
      <c r="G77" s="58">
        <f>Table3[[#This Row],[Price (exc. VAT)]]*1.2</f>
        <v>4.8</v>
      </c>
      <c r="H77" s="50" t="s">
        <v>268</v>
      </c>
      <c r="I77" s="4" t="s">
        <v>115</v>
      </c>
      <c r="J77" s="53" t="s">
        <v>259</v>
      </c>
    </row>
    <row r="78" spans="2:11">
      <c r="B78">
        <v>72</v>
      </c>
      <c r="C78" t="s">
        <v>269</v>
      </c>
      <c r="D78" t="s">
        <v>117</v>
      </c>
      <c r="E78" s="4">
        <v>1</v>
      </c>
      <c r="F78" s="58">
        <f>6.59/1.2</f>
        <v>5.4916666666666671</v>
      </c>
      <c r="G78" s="58">
        <f>Table3[[#This Row],[Price (exc. VAT)]]*1.2</f>
        <v>6.5900000000000007</v>
      </c>
      <c r="H78" s="50" t="s">
        <v>270</v>
      </c>
      <c r="I78" s="4" t="s">
        <v>115</v>
      </c>
      <c r="J78" s="53" t="s">
        <v>259</v>
      </c>
    </row>
    <row r="79" spans="2:11">
      <c r="B79">
        <v>73</v>
      </c>
      <c r="C79" t="s">
        <v>271</v>
      </c>
      <c r="D79" t="s">
        <v>142</v>
      </c>
      <c r="E79" s="4">
        <v>1</v>
      </c>
      <c r="F79" s="58">
        <f>3.01/1.2</f>
        <v>2.5083333333333333</v>
      </c>
      <c r="G79" s="58">
        <f>Table3[[#This Row],[Price (exc. VAT)]]*1.2</f>
        <v>3.01</v>
      </c>
      <c r="H79" s="50" t="s">
        <v>272</v>
      </c>
      <c r="I79" s="4" t="s">
        <v>115</v>
      </c>
      <c r="J79" s="53" t="s">
        <v>259</v>
      </c>
    </row>
    <row r="80" spans="2:11">
      <c r="B80">
        <v>74</v>
      </c>
      <c r="C80" t="s">
        <v>273</v>
      </c>
      <c r="D80" t="s">
        <v>142</v>
      </c>
      <c r="E80" s="4">
        <v>3</v>
      </c>
      <c r="F80" s="58">
        <f>90.54/1.2</f>
        <v>75.45</v>
      </c>
      <c r="G80" s="58">
        <f>Table3[[#This Row],[Price (exc. VAT)]]*1.2</f>
        <v>90.54</v>
      </c>
      <c r="H80" s="50" t="s">
        <v>274</v>
      </c>
      <c r="I80" s="4" t="s">
        <v>115</v>
      </c>
      <c r="J80" s="53" t="s">
        <v>275</v>
      </c>
      <c r="K80" t="s">
        <v>276</v>
      </c>
    </row>
    <row r="81" spans="2:11">
      <c r="B81">
        <v>75</v>
      </c>
      <c r="C81" t="s">
        <v>277</v>
      </c>
      <c r="D81" t="s">
        <v>133</v>
      </c>
      <c r="E81" s="4">
        <v>1</v>
      </c>
      <c r="F81" s="58">
        <v>19.079999999999998</v>
      </c>
      <c r="G81" s="58">
        <f>Table3[[#This Row],[Price (exc. VAT)]]*1.2</f>
        <v>22.895999999999997</v>
      </c>
      <c r="H81" s="50" t="s">
        <v>278</v>
      </c>
      <c r="I81" s="4" t="s">
        <v>115</v>
      </c>
      <c r="J81" s="53">
        <v>45783</v>
      </c>
    </row>
    <row r="82" spans="2:11" ht="15.75">
      <c r="B82">
        <v>76</v>
      </c>
      <c r="C82" t="s">
        <v>279</v>
      </c>
      <c r="D82" t="s">
        <v>130</v>
      </c>
      <c r="E82" s="4">
        <v>6</v>
      </c>
      <c r="F82" s="58">
        <v>6</v>
      </c>
      <c r="G82" s="58">
        <f>Table3[[#This Row],[Price (exc. VAT)]]*1.2</f>
        <v>7.1999999999999993</v>
      </c>
      <c r="H82" t="s">
        <v>280</v>
      </c>
      <c r="I82" s="4" t="s">
        <v>115</v>
      </c>
      <c r="J82" s="53">
        <v>45792</v>
      </c>
    </row>
    <row r="83" spans="2:11" ht="15.75">
      <c r="B83">
        <v>77</v>
      </c>
      <c r="C83" t="s">
        <v>281</v>
      </c>
      <c r="D83" t="s">
        <v>130</v>
      </c>
      <c r="E83" s="4">
        <v>6</v>
      </c>
      <c r="F83" s="58">
        <v>7.56</v>
      </c>
      <c r="G83" s="58">
        <f>Table3[[#This Row],[Price (exc. VAT)]]*1.2</f>
        <v>9.0719999999999992</v>
      </c>
      <c r="H83" t="s">
        <v>282</v>
      </c>
      <c r="I83" s="4" t="s">
        <v>115</v>
      </c>
      <c r="J83" s="53">
        <v>45792</v>
      </c>
    </row>
    <row r="84" spans="2:11" ht="15.75">
      <c r="B84">
        <v>78</v>
      </c>
      <c r="C84" t="s">
        <v>283</v>
      </c>
      <c r="D84" t="s">
        <v>142</v>
      </c>
      <c r="E84" s="4">
        <v>2</v>
      </c>
      <c r="F84" s="58">
        <f>16.47/1.2</f>
        <v>13.725</v>
      </c>
      <c r="G84" s="58">
        <f>Table3[[#This Row],[Price (exc. VAT)]]*1.2</f>
        <v>16.47</v>
      </c>
      <c r="H84" s="50" t="s">
        <v>284</v>
      </c>
      <c r="I84" s="4" t="s">
        <v>115</v>
      </c>
      <c r="J84" s="53">
        <v>45792</v>
      </c>
      <c r="K84" t="s">
        <v>285</v>
      </c>
    </row>
    <row r="85" spans="2:11" ht="15.75">
      <c r="B85">
        <v>79</v>
      </c>
      <c r="C85" t="s">
        <v>286</v>
      </c>
      <c r="D85" t="s">
        <v>117</v>
      </c>
      <c r="E85" s="4">
        <v>5</v>
      </c>
      <c r="F85" s="58">
        <f>44.95/1.2</f>
        <v>37.458333333333336</v>
      </c>
      <c r="G85" s="58">
        <f>Table3[[#This Row],[Price (exc. VAT)]]*1.2</f>
        <v>44.95</v>
      </c>
      <c r="H85" s="50" t="s">
        <v>287</v>
      </c>
      <c r="I85" s="4" t="s">
        <v>115</v>
      </c>
      <c r="J85" s="53">
        <v>45797</v>
      </c>
    </row>
    <row r="86" spans="2:11">
      <c r="C86" t="s">
        <v>288</v>
      </c>
      <c r="E86" s="4"/>
      <c r="F86" s="58"/>
      <c r="G86" s="58">
        <f>Table3[[#This Row],[Price (exc. VAT)]]*1.2</f>
        <v>0</v>
      </c>
      <c r="I86" s="4"/>
      <c r="J86" s="53"/>
    </row>
    <row r="87" spans="2:11">
      <c r="E87" s="4"/>
      <c r="F87" s="58"/>
      <c r="G87" s="58">
        <f>Table3[[#This Row],[Price (exc. VAT)]]*1.2</f>
        <v>0</v>
      </c>
      <c r="I87" s="4"/>
      <c r="J87" s="53"/>
    </row>
    <row r="88" spans="2:11">
      <c r="E88" s="4"/>
      <c r="F88" s="58"/>
      <c r="G88" s="58">
        <f>Table3[[#This Row],[Price (exc. VAT)]]*1.2</f>
        <v>0</v>
      </c>
      <c r="I88" s="4"/>
      <c r="J88" s="53"/>
    </row>
  </sheetData>
  <conditionalFormatting sqref="I6:I88">
    <cfRule type="cellIs" dxfId="24" priority="1" operator="equal">
      <formula>"N"</formula>
    </cfRule>
    <cfRule type="cellIs" dxfId="23" priority="2" operator="equal">
      <formula>"Y"</formula>
    </cfRule>
  </conditionalFormatting>
  <hyperlinks>
    <hyperlink ref="H6" r:id="rId1" location="anchorTechnicalDOCS" xr:uid="{45CE9747-0403-463E-87C6-9CF26C40F980}"/>
    <hyperlink ref="H7" r:id="rId2" xr:uid="{3DE7209E-BFA1-4D81-8170-57DC7DE45D47}"/>
    <hyperlink ref="H8" r:id="rId3" xr:uid="{E5CCB2B7-E80C-45CB-8FF1-ED44FA1D099A}"/>
    <hyperlink ref="H9" r:id="rId4" xr:uid="{3108A1B2-ED35-42CF-9F4C-0569B9D5510D}"/>
    <hyperlink ref="H10" r:id="rId5" xr:uid="{E4318B87-73E3-4FAC-B178-91B933A9ACB8}"/>
    <hyperlink ref="H11" r:id="rId6" xr:uid="{0B682EBE-D034-4986-AB09-411E251A6135}"/>
    <hyperlink ref="H12" r:id="rId7" xr:uid="{E2D7EBD6-C0F0-42D1-9302-2DC40B87C437}"/>
    <hyperlink ref="H13" r:id="rId8" xr:uid="{102089D5-F48C-4598-A0B9-104CEE6B8920}"/>
    <hyperlink ref="H17" r:id="rId9" xr:uid="{BD1464EC-6302-483E-A40F-E1891252B45A}"/>
    <hyperlink ref="H16" r:id="rId10" xr:uid="{BF933CBC-0DEA-4B40-94B4-7C5222F3968C}"/>
    <hyperlink ref="H18" r:id="rId11" xr:uid="{7444F07E-1E3D-4E0E-A545-AF1C18ADB0AA}"/>
    <hyperlink ref="H20" r:id="rId12" xr:uid="{BDB48F0F-0D0D-496A-8899-6A2571978A72}"/>
    <hyperlink ref="H21" r:id="rId13" xr:uid="{4C61CC05-05C2-4331-91A2-93AB3CC40856}"/>
    <hyperlink ref="H22" r:id="rId14" xr:uid="{249EF8D3-AE41-4DBE-9C8A-A3B7AC9F4C1F}"/>
    <hyperlink ref="H23" r:id="rId15" xr:uid="{5C767F87-AA33-4D33-92B7-3F2DE8A46281}"/>
    <hyperlink ref="H24" r:id="rId16" xr:uid="{A1F454B2-7E3D-45F0-B51D-D5DE84127B93}"/>
    <hyperlink ref="H33" r:id="rId17" xr:uid="{1ED2B40C-F2AD-40B9-BFB0-275E0F254D3E}"/>
    <hyperlink ref="H34" r:id="rId18" xr:uid="{CB6020A1-6912-4B84-BA3B-796B9F00AD40}"/>
    <hyperlink ref="H35" r:id="rId19" xr:uid="{44E3B685-7EA2-4321-A0FB-662795E57414}"/>
    <hyperlink ref="H38" r:id="rId20" xr:uid="{AF55E63D-40B9-4391-9F99-E9C59264D186}"/>
    <hyperlink ref="H39" r:id="rId21" xr:uid="{13B20748-E524-4E66-8D3D-E3356124E737}"/>
    <hyperlink ref="H40" r:id="rId22" xr:uid="{3FA6A72A-DE9C-4447-A167-6CBEEF2E261C}"/>
    <hyperlink ref="H41" r:id="rId23" xr:uid="{C2EF1817-EFC8-45BA-8BFD-009435F11B1D}"/>
    <hyperlink ref="H42" r:id="rId24" xr:uid="{A93BB57D-DCB7-434A-B518-52359A9BA993}"/>
    <hyperlink ref="H43" r:id="rId25" xr:uid="{094B638E-A6EF-4AA2-9698-152C8FAD1A2B}"/>
    <hyperlink ref="H44" r:id="rId26" xr:uid="{DFB952BF-9CB2-4731-9837-E91FA9BF69C7}"/>
    <hyperlink ref="H45" r:id="rId27" display="https://www.ebay.co.uk/itm/315051934625?_trkparms=amclksrc%3DITM%26aid%3D1110006%26algo%3DHOMESPLICE.SIM%26ao%3D1%26asc%3D279615%2C279337%2C279449%26meid%3D49a3dab85afb4c1c8a0099131b931cdd%26pid%3D101224%26rk%3D4%26rkt%3D5%26sd%3D313437847530%26itm%3D315051934625%26pmt%3D0%26noa%3D1%26pg%3D2332490%26algv%3DDefaultOrganicWebV9BertRefreshRankerWithCassiniEmbRecall&amp;_trksid=p2332490.c101224.m-1" xr:uid="{C8BDA1A2-FEBB-4222-8443-119AE0660B26}"/>
    <hyperlink ref="H25" r:id="rId28" xr:uid="{9E262D8A-D2B3-4FA7-B892-640619C0F8F3}"/>
    <hyperlink ref="H26" r:id="rId29" xr:uid="{8D0B3F20-7DDA-431D-94EE-900ACDE18C73}"/>
    <hyperlink ref="H27" r:id="rId30" xr:uid="{1E04CD1F-3D08-4EE7-81EE-B92477B7EEB9}"/>
    <hyperlink ref="H31" r:id="rId31" xr:uid="{406D88F3-1790-4AEE-A33B-28BF316C0537}"/>
    <hyperlink ref="H29" r:id="rId32" xr:uid="{F95A027F-22F1-48DF-8A35-3F03C4002BE7}"/>
    <hyperlink ref="H30" r:id="rId33" xr:uid="{FC1D780C-66EA-497D-BAC3-68C36480D7ED}"/>
    <hyperlink ref="H28" r:id="rId34" xr:uid="{54F54EA1-23CD-411D-ABC1-4DA2091DAA9B}"/>
    <hyperlink ref="H46" r:id="rId35" xr:uid="{91F9FC9D-CB45-4745-AE82-9B674DD4EB45}"/>
    <hyperlink ref="H47" r:id="rId36" xr:uid="{F1AD1D09-366D-4355-9CA1-8E96345D1673}"/>
    <hyperlink ref="H48" r:id="rId37" xr:uid="{54E65B17-5645-42B7-B690-42E9E961FA66}"/>
    <hyperlink ref="H49" r:id="rId38" xr:uid="{C7B014CD-2503-42FE-B2D4-40A6560392E3}"/>
    <hyperlink ref="H50" r:id="rId39" xr:uid="{F2A6E027-1BE3-4010-9615-E2B2E452BF24}"/>
    <hyperlink ref="H51" r:id="rId40" xr:uid="{1EBD93F1-3211-447A-BEBF-DD0A56BDCECF}"/>
    <hyperlink ref="H52" r:id="rId41" xr:uid="{714DFBF4-944A-4CBC-8818-CFCD8821B97E}"/>
    <hyperlink ref="H53" r:id="rId42" xr:uid="{12E29C2B-4779-4E68-B127-0FFF630C20EE}"/>
    <hyperlink ref="H54" r:id="rId43" xr:uid="{B72D3302-BE5A-4BE5-B984-93A1C7DE32C2}"/>
    <hyperlink ref="H59" r:id="rId44" xr:uid="{52B2AB14-0AD8-41AC-BCA8-C8DDE558857B}"/>
    <hyperlink ref="H60" r:id="rId45" xr:uid="{495AAD3A-0D11-4406-8255-2F173B17DB8D}"/>
    <hyperlink ref="H61" r:id="rId46" xr:uid="{13620B9A-23EC-4AAF-B989-B498DE363B05}"/>
    <hyperlink ref="H62" r:id="rId47" xr:uid="{07082282-59CD-49A4-8638-DEB691654120}"/>
    <hyperlink ref="H63" r:id="rId48" xr:uid="{6C1491C7-BFCD-4603-B1F9-EE1E985FDEF4}"/>
    <hyperlink ref="H64" r:id="rId49" xr:uid="{3AC856B3-D213-4B34-975F-65C84BC83A60}"/>
    <hyperlink ref="H65" r:id="rId50" xr:uid="{B87AFE2C-0864-4438-9F55-B2007708F4DB}"/>
    <hyperlink ref="H66" r:id="rId51" xr:uid="{94614BE8-1DE5-4470-8F24-65D142E454DA}"/>
    <hyperlink ref="H67" r:id="rId52" display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" xr:uid="{455E3140-ABAD-44DE-AC8D-4460B39EABFC}"/>
    <hyperlink ref="H75" r:id="rId53" xr:uid="{E6BD4097-D393-4268-8E67-551C86A25FB4}"/>
    <hyperlink ref="H76" r:id="rId54" display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 " xr:uid="{71B7D0D0-58F8-427C-8375-7DEDBDD603EC}"/>
    <hyperlink ref="H77" r:id="rId55" display="https://www.aliexpress.com/item/1005005643165013.html?spm=a2g0o.productlist.main.1.7100zrUNzrUNdJ&amp;algo_pvid=49840392-b71d-4bdc-b800-4c660d9dd7eb&amp;algo_exp_id=49840392-b71d-4bdc-b800-4c660d9dd7eb-0&amp;pdp_ext_f=%7B%22order%22%3A%22294%22%2C%22eval%22%3A%221%22%7D&amp;pdp_npi=4%40dis%21GBP%212.40%210.78%21%21%213.06%211.00%21%40211b65de17446399512237926e52b0%2112000033858408173%21sea%21UK%210%21ABX&amp;curPageLogUid=m9zMbIZZdtnW&amp;utparam-url=scene%3Asearch%7Cquery_from%3A " xr:uid="{967B259A-3388-40EC-B5A0-5EA371EBA031}"/>
    <hyperlink ref="H78" r:id="rId56" display="https://www.aliexpress.com/item/1005005499172228.html?spm=a2g0o.productlist.main.3.3a901ccffZ6Orm&amp;algo_pvid=7bc6016d-f218-4821-809f-3826dc11c60d&amp;algo_exp_id=7bc6016d-f218-4821-809f-3826dc11c60d-1&amp;pdp_ext_f=%7B%22order%22%3A%2266%22%2C%22eval%22%3A%221%22%7D&amp;pdp_npi=4%40dis%21GBP%216.59%216.59%21%21%218.38%218.38%21%40211b61a417446400470368319eb7a7%2112000033321745339%21sea%21UK%210%21ABX&amp;curPageLogUid=KC8bDUtx27jc&amp;utparam-url=scene%3Asearch%7Cquery_from%3A " xr:uid="{CE6410B6-D900-4B80-B0F0-C491B9E637FD}"/>
    <hyperlink ref="H79" r:id="rId57" xr:uid="{DBEF0AF2-000C-420B-A5BD-CC4EFF594120}"/>
    <hyperlink ref="H19" r:id="rId58" xr:uid="{33C7E834-8A7D-4E18-9D53-E2DC4D9BD701}"/>
    <hyperlink ref="H32" r:id="rId59" xr:uid="{6753147A-5917-494B-9556-C11AD61F1CC8}"/>
    <hyperlink ref="H80" r:id="rId60" display="https://www.amazon.co.uk/DIYmall-Coreless-Continuous-Rotation-Helicopter/dp/B0DNM3Q1MQ/ref=sr_1_51?crid=2EZ6K8MEXAXVY&amp;dib=eyJ2IjoiMSJ9.ce0vEDD1oh6V_MXGPFV3-NQXOA8eYkATrny8r1nClpk0wP747gzic_H9kqsdu046-X3kQDAlatifhyl6UkUpdL_7o_55YMRmtdjB7n5ZArqIcBZKLWr8xyHdXGHWVhI8xzQMf61G-4o-3txT-0HQ9I0lrr8R4swBY1hFNz8AiqseARJyhMv8lO2B3VZcVD3sEFrq-wWbfffXBi0vLOqkKBuhwpvBENOzT2P91exgSRUtbrXbgwMU5bp6cqPOEtpZcNZbLRvnjh83ywxzezdJ1CerirUqFg8OKfJ8x_u1uwU.FC0awUSS3G5gVqyWyX_K8wv_A0c8xGx_WLmx_sZiG4Y&amp;dib_tag=se&amp;keywords=Continuous+Rotation+Servo&amp;qid=1745592442&amp;sprefix=continuous+rotation+servo%2Caps%2C73&amp;sr=8-51" xr:uid="{1EE1545D-86F8-479A-8B05-659F5F0131EC}"/>
    <hyperlink ref="H81" r:id="rId61" xr:uid="{829D35A5-8269-43B6-8C79-D12805A8AF97}"/>
    <hyperlink ref="H84" r:id="rId62" display="https://www.amazon.co.uk/CENPEK-Steering-Crawler-Traxxsa-Tamiay/dp/B09H73VWZY/ref=sr_1_5?crid=26YTECJASDBVS&amp;dib=eyJ2IjoiMSJ9.Z-TOHsrbb7aNsfNHB8Bm0jg0JuX4SYodIFpuqAmTwUrRpMBVK3GZI9JwpuZrK_48qu0JnX2spx1WVZARv0bhAJLxOzvhCOYPIfebZYZAtU921L1sPAJ-naY1kctRUSF37jt8tlU9yuzRSb4w3LfRqFUBmyLZkWLskZx92skeR3IEZz5X84fp4a9asYiA_AJOXFwC3--_n6YMcBswVrKzsZemg1BnroFTgvTbQawsgN890TchhBBUDKF6Qde1-mxoyXyiynda4OA9bz_gHMyWqG8ZGqZrxOCYbDx-Uo8kwbQ.Cqb4rzdfIo6RFwe6BG-hWv-jdZCtYslbkcl6jn8bW98&amp;dib_tag=se&amp;keywords=25T+spool&amp;qid=1747304929&amp;s=kids&amp;sprefix=25t+spool%2Ctoys%2C114&amp;sr=1-5" xr:uid="{72FC39F2-E0E1-4963-A687-39B865782AB9}"/>
    <hyperlink ref="H85" r:id="rId63" xr:uid="{37B6DF94-ABCD-4B6D-AB83-F80BE340F794}"/>
  </hyperlinks>
  <pageMargins left="0.7" right="0.7" top="0.75" bottom="0.75" header="0.3" footer="0.3"/>
  <tableParts count="1">
    <tablePart r:id="rId6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444083-5E9E-449F-A00E-3601331F16E0}">
          <x14:formula1>
            <xm:f>Chart!$B$9:$B$15</xm:f>
          </x14:formula1>
          <xm:sqref>D6:D15 D17:D61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7972-7D25-9F48-A439-708138568B61}">
  <dimension ref="B3:B5"/>
  <sheetViews>
    <sheetView workbookViewId="0">
      <selection activeCell="B4" sqref="B4:B5"/>
    </sheetView>
  </sheetViews>
  <sheetFormatPr defaultColWidth="11" defaultRowHeight="15.95"/>
  <sheetData>
    <row r="3" spans="2:2">
      <c r="B3" t="s">
        <v>289</v>
      </c>
    </row>
    <row r="4" spans="2:2">
      <c r="B4" t="s">
        <v>290</v>
      </c>
    </row>
    <row r="5" spans="2:2">
      <c r="B5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702C-A901-EA4F-BECE-3CFFD75440EB}">
  <dimension ref="B2:J89"/>
  <sheetViews>
    <sheetView tabSelected="1" topLeftCell="A63" workbookViewId="0">
      <selection activeCell="K82" sqref="K82"/>
    </sheetView>
  </sheetViews>
  <sheetFormatPr defaultColWidth="11" defaultRowHeight="15.95"/>
  <cols>
    <col min="3" max="3" width="38.375" customWidth="1"/>
    <col min="4" max="4" width="13" customWidth="1"/>
    <col min="5" max="5" width="12.125" customWidth="1"/>
    <col min="7" max="7" width="19.125" customWidth="1"/>
    <col min="8" max="8" width="20.125" customWidth="1"/>
    <col min="9" max="9" width="18" customWidth="1"/>
  </cols>
  <sheetData>
    <row r="2" spans="2:10" ht="24">
      <c r="B2" s="1" t="s">
        <v>94</v>
      </c>
    </row>
    <row r="4" spans="2:10" ht="21.95">
      <c r="B4" s="13" t="s">
        <v>292</v>
      </c>
    </row>
    <row r="5" spans="2:10">
      <c r="B5" t="s">
        <v>293</v>
      </c>
      <c r="C5" t="s">
        <v>1</v>
      </c>
      <c r="D5" t="s">
        <v>97</v>
      </c>
      <c r="E5" t="s">
        <v>294</v>
      </c>
      <c r="F5" t="s">
        <v>98</v>
      </c>
      <c r="G5" t="s">
        <v>295</v>
      </c>
      <c r="H5" t="s">
        <v>296</v>
      </c>
      <c r="I5" t="s">
        <v>297</v>
      </c>
      <c r="J5" t="s">
        <v>298</v>
      </c>
    </row>
    <row r="6" spans="2:10">
      <c r="B6">
        <v>1</v>
      </c>
      <c r="C6" t="s">
        <v>112</v>
      </c>
      <c r="D6" t="s">
        <v>113</v>
      </c>
      <c r="E6" s="54">
        <v>45515</v>
      </c>
      <c r="F6" s="4">
        <v>1</v>
      </c>
      <c r="G6" s="58">
        <v>61.07</v>
      </c>
      <c r="H6" s="58">
        <f>Table1[[#This Row],[Item cost (exc. VAT)]]*1.2</f>
        <v>73.283999999999992</v>
      </c>
      <c r="I6" s="58"/>
      <c r="J6" s="85" t="b">
        <v>1</v>
      </c>
    </row>
    <row r="7" spans="2:10">
      <c r="B7">
        <v>2</v>
      </c>
      <c r="C7" t="s">
        <v>116</v>
      </c>
      <c r="D7" t="s">
        <v>117</v>
      </c>
      <c r="E7" s="54">
        <v>45515</v>
      </c>
      <c r="F7" s="4">
        <v>1</v>
      </c>
      <c r="G7" s="58">
        <v>19.23</v>
      </c>
      <c r="H7" s="58">
        <f>Table1[[#This Row],[Item cost (exc. VAT)]]*1.2</f>
        <v>23.076000000000001</v>
      </c>
      <c r="I7" s="58"/>
      <c r="J7" s="85" t="b">
        <v>1</v>
      </c>
    </row>
    <row r="8" spans="2:10">
      <c r="B8">
        <v>3</v>
      </c>
      <c r="C8" t="s">
        <v>119</v>
      </c>
      <c r="D8" t="s">
        <v>107</v>
      </c>
      <c r="E8" s="54">
        <v>45515</v>
      </c>
      <c r="F8" s="4">
        <v>1</v>
      </c>
      <c r="G8" s="58">
        <v>1.62</v>
      </c>
      <c r="H8" s="58">
        <f>Table1[[#This Row],[Item cost (exc. VAT)]]*1.2</f>
        <v>1.944</v>
      </c>
      <c r="I8" s="58"/>
      <c r="J8" s="85" t="b">
        <v>1</v>
      </c>
    </row>
    <row r="9" spans="2:10">
      <c r="B9">
        <v>4</v>
      </c>
      <c r="C9" t="s">
        <v>121</v>
      </c>
      <c r="D9" t="s">
        <v>107</v>
      </c>
      <c r="E9" s="54">
        <v>45515</v>
      </c>
      <c r="F9" s="4">
        <v>1</v>
      </c>
      <c r="G9" s="58">
        <v>5.0999999999999996</v>
      </c>
      <c r="H9" s="58">
        <f>Table1[[#This Row],[Item cost (exc. VAT)]]*1.2</f>
        <v>6.1199999999999992</v>
      </c>
      <c r="I9" s="58"/>
      <c r="J9" s="85" t="b">
        <v>1</v>
      </c>
    </row>
    <row r="10" spans="2:10">
      <c r="B10">
        <v>5</v>
      </c>
      <c r="C10" t="s">
        <v>123</v>
      </c>
      <c r="D10" t="s">
        <v>107</v>
      </c>
      <c r="E10" s="54">
        <v>45515</v>
      </c>
      <c r="F10" s="4">
        <v>1</v>
      </c>
      <c r="G10" s="58">
        <v>3.4</v>
      </c>
      <c r="H10" s="58">
        <f>Table1[[#This Row],[Item cost (exc. VAT)]]*1.2</f>
        <v>4.08</v>
      </c>
      <c r="I10" s="58"/>
      <c r="J10" s="85" t="b">
        <v>1</v>
      </c>
    </row>
    <row r="11" spans="2:10">
      <c r="B11">
        <v>6</v>
      </c>
      <c r="C11" t="s">
        <v>125</v>
      </c>
      <c r="D11" t="s">
        <v>107</v>
      </c>
      <c r="E11" s="54">
        <v>45515</v>
      </c>
      <c r="F11" s="4">
        <v>1</v>
      </c>
      <c r="G11" s="58">
        <v>6.15</v>
      </c>
      <c r="H11" s="58">
        <f>Table1[[#This Row],[Item cost (exc. VAT)]]*1.2</f>
        <v>7.38</v>
      </c>
      <c r="I11" s="58"/>
      <c r="J11" s="85" t="b">
        <v>1</v>
      </c>
    </row>
    <row r="12" spans="2:10">
      <c r="B12">
        <v>7</v>
      </c>
      <c r="C12" t="s">
        <v>127</v>
      </c>
      <c r="D12" t="s">
        <v>107</v>
      </c>
      <c r="E12" s="54">
        <v>45515</v>
      </c>
      <c r="F12" s="4">
        <v>1</v>
      </c>
      <c r="G12" s="58">
        <v>5.66</v>
      </c>
      <c r="H12" s="58">
        <f>Table1[[#This Row],[Item cost (exc. VAT)]]*1.2</f>
        <v>6.7919999999999998</v>
      </c>
      <c r="I12" s="58"/>
      <c r="J12" s="85" t="b">
        <v>1</v>
      </c>
    </row>
    <row r="13" spans="2:10">
      <c r="B13">
        <v>8</v>
      </c>
      <c r="C13" t="s">
        <v>129</v>
      </c>
      <c r="D13" t="s">
        <v>130</v>
      </c>
      <c r="E13" s="54">
        <v>45515</v>
      </c>
      <c r="F13" s="4">
        <v>1</v>
      </c>
      <c r="G13" s="58">
        <v>40.799999999999997</v>
      </c>
      <c r="H13" s="58">
        <v>40.799999999999997</v>
      </c>
      <c r="I13" s="58"/>
      <c r="J13" s="85" t="b">
        <v>1</v>
      </c>
    </row>
    <row r="14" spans="2:10">
      <c r="B14">
        <v>9</v>
      </c>
      <c r="C14" t="s">
        <v>132</v>
      </c>
      <c r="D14" t="s">
        <v>133</v>
      </c>
      <c r="E14" s="54">
        <v>45602</v>
      </c>
      <c r="F14" s="4">
        <v>1</v>
      </c>
      <c r="G14" s="58">
        <v>5.83</v>
      </c>
      <c r="H14" s="58">
        <f>Table1[[#This Row],[Item cost (exc. VAT)]]*1.2</f>
        <v>6.9959999999999996</v>
      </c>
      <c r="I14" s="58"/>
      <c r="J14" s="85" t="b">
        <v>1</v>
      </c>
    </row>
    <row r="15" spans="2:10">
      <c r="B15">
        <v>10</v>
      </c>
      <c r="C15" t="s">
        <v>135</v>
      </c>
      <c r="D15" t="s">
        <v>133</v>
      </c>
      <c r="E15" s="54">
        <v>45602</v>
      </c>
      <c r="F15" s="4">
        <v>1</v>
      </c>
      <c r="G15" s="58">
        <v>1.7</v>
      </c>
      <c r="H15" s="58">
        <f>Table1[[#This Row],[Item cost (exc. VAT)]]*1.2</f>
        <v>2.04</v>
      </c>
      <c r="I15" s="58"/>
      <c r="J15" s="85" t="b">
        <v>1</v>
      </c>
    </row>
    <row r="16" spans="2:10">
      <c r="B16">
        <v>11</v>
      </c>
      <c r="C16" t="s">
        <v>137</v>
      </c>
      <c r="D16" t="s">
        <v>117</v>
      </c>
      <c r="E16" s="54">
        <v>45633</v>
      </c>
      <c r="F16" s="4">
        <v>1</v>
      </c>
      <c r="G16" s="58">
        <v>10.78</v>
      </c>
      <c r="H16" s="58">
        <f>Table1[[#This Row],[Item cost (exc. VAT)]]*1.2</f>
        <v>12.935999999999998</v>
      </c>
      <c r="I16" s="58"/>
      <c r="J16" s="85" t="b">
        <v>1</v>
      </c>
    </row>
    <row r="17" spans="2:10">
      <c r="B17">
        <v>12</v>
      </c>
      <c r="C17" t="s">
        <v>139</v>
      </c>
      <c r="D17" t="s">
        <v>117</v>
      </c>
      <c r="E17" s="54">
        <v>45633</v>
      </c>
      <c r="F17" s="4">
        <v>1</v>
      </c>
      <c r="G17" s="58">
        <v>12.14</v>
      </c>
      <c r="H17" s="58">
        <f>Table1[[#This Row],[Item cost (exc. VAT)]]*1.2</f>
        <v>14.568</v>
      </c>
      <c r="I17" s="58"/>
      <c r="J17" s="85" t="b">
        <v>1</v>
      </c>
    </row>
    <row r="18" spans="2:10">
      <c r="B18">
        <v>13</v>
      </c>
      <c r="C18" t="s">
        <v>141</v>
      </c>
      <c r="D18" t="s">
        <v>142</v>
      </c>
      <c r="E18" s="54">
        <v>45633</v>
      </c>
      <c r="F18" s="4">
        <v>1</v>
      </c>
      <c r="G18" s="58">
        <v>0.8</v>
      </c>
      <c r="H18" s="58">
        <f>Table1[[#This Row],[Item cost (exc. VAT)]]*1.2</f>
        <v>0.96</v>
      </c>
      <c r="I18" s="58"/>
      <c r="J18" s="85" t="b">
        <v>1</v>
      </c>
    </row>
    <row r="19" spans="2:10">
      <c r="B19">
        <v>14</v>
      </c>
      <c r="C19" t="s">
        <v>144</v>
      </c>
      <c r="D19" t="s">
        <v>107</v>
      </c>
      <c r="E19" s="54">
        <v>45633</v>
      </c>
      <c r="F19" s="4">
        <v>1</v>
      </c>
      <c r="G19" s="58">
        <v>12.07</v>
      </c>
      <c r="H19" s="58">
        <f>Table1[[#This Row],[Item cost (exc. VAT)]]*1.2</f>
        <v>14.484</v>
      </c>
      <c r="I19" s="58"/>
      <c r="J19" s="85" t="b">
        <v>1</v>
      </c>
    </row>
    <row r="20" spans="2:10">
      <c r="B20">
        <v>15</v>
      </c>
      <c r="C20" t="s">
        <v>146</v>
      </c>
      <c r="D20" t="s">
        <v>117</v>
      </c>
      <c r="E20" s="54">
        <v>45688</v>
      </c>
      <c r="F20" s="4">
        <v>1</v>
      </c>
      <c r="G20" s="58">
        <f>6.8/1.2</f>
        <v>5.666666666666667</v>
      </c>
      <c r="H20" s="58">
        <f>Table1[[#This Row],[Item cost (exc. VAT)]]*1.2</f>
        <v>6.8</v>
      </c>
      <c r="I20" s="58"/>
      <c r="J20" s="85" t="b">
        <v>1</v>
      </c>
    </row>
    <row r="21" spans="2:10">
      <c r="B21">
        <v>16</v>
      </c>
      <c r="C21" t="s">
        <v>149</v>
      </c>
      <c r="D21" t="s">
        <v>130</v>
      </c>
      <c r="E21" s="54">
        <v>45688</v>
      </c>
      <c r="F21" s="4">
        <v>1</v>
      </c>
      <c r="G21" s="58">
        <f>11.4/1.2</f>
        <v>9.5</v>
      </c>
      <c r="H21" s="58">
        <f>Table1[[#This Row],[Item cost (exc. VAT)]]*1.2</f>
        <v>11.4</v>
      </c>
      <c r="I21" s="58"/>
      <c r="J21" s="85" t="b">
        <v>1</v>
      </c>
    </row>
    <row r="22" spans="2:10">
      <c r="B22">
        <v>17</v>
      </c>
      <c r="C22" t="s">
        <v>151</v>
      </c>
      <c r="D22" t="s">
        <v>117</v>
      </c>
      <c r="E22" s="54">
        <v>45688</v>
      </c>
      <c r="F22" s="4">
        <v>1</v>
      </c>
      <c r="G22" s="58">
        <f>2.7/1.2</f>
        <v>2.2500000000000004</v>
      </c>
      <c r="H22" s="58">
        <f>Table1[[#This Row],[Item cost (exc. VAT)]]*1.2</f>
        <v>2.7000000000000006</v>
      </c>
      <c r="I22" s="58"/>
      <c r="J22" s="85" t="b">
        <v>1</v>
      </c>
    </row>
    <row r="23" spans="2:10">
      <c r="B23">
        <v>18</v>
      </c>
      <c r="C23" t="s">
        <v>144</v>
      </c>
      <c r="D23" t="s">
        <v>107</v>
      </c>
      <c r="E23" s="54">
        <v>45688</v>
      </c>
      <c r="F23" s="4">
        <v>8</v>
      </c>
      <c r="G23" s="58">
        <f>102.46/1.2</f>
        <v>85.383333333333326</v>
      </c>
      <c r="H23" s="58">
        <f>Table1[[#This Row],[Item cost (exc. VAT)]]*1.2</f>
        <v>102.46</v>
      </c>
      <c r="I23" s="58"/>
      <c r="J23" s="85" t="b">
        <v>1</v>
      </c>
    </row>
    <row r="24" spans="2:10">
      <c r="B24">
        <v>19</v>
      </c>
      <c r="C24" t="s">
        <v>155</v>
      </c>
      <c r="D24" t="s">
        <v>133</v>
      </c>
      <c r="E24" s="54">
        <v>45688</v>
      </c>
      <c r="F24" s="4">
        <v>1</v>
      </c>
      <c r="G24" s="58">
        <f>7.95/1.2</f>
        <v>6.625</v>
      </c>
      <c r="H24" s="58">
        <f>Table1[[#This Row],[Item cost (exc. VAT)]]*1.2</f>
        <v>7.9499999999999993</v>
      </c>
      <c r="I24" s="58"/>
      <c r="J24" s="85" t="b">
        <v>1</v>
      </c>
    </row>
    <row r="25" spans="2:10">
      <c r="B25">
        <v>20</v>
      </c>
      <c r="C25" t="s">
        <v>157</v>
      </c>
      <c r="D25" t="s">
        <v>133</v>
      </c>
      <c r="E25" s="54">
        <v>45688</v>
      </c>
      <c r="F25" s="4">
        <v>1</v>
      </c>
      <c r="G25" s="58">
        <f>16.75/1.2</f>
        <v>13.958333333333334</v>
      </c>
      <c r="H25" s="58">
        <f>Table1[[#This Row],[Item cost (exc. VAT)]]*1.2</f>
        <v>16.75</v>
      </c>
      <c r="I25" s="58"/>
      <c r="J25" s="85" t="b">
        <v>1</v>
      </c>
    </row>
    <row r="26" spans="2:10">
      <c r="B26">
        <v>21</v>
      </c>
      <c r="C26" t="s">
        <v>159</v>
      </c>
      <c r="D26" t="s">
        <v>133</v>
      </c>
      <c r="E26" s="54">
        <v>45688</v>
      </c>
      <c r="F26" s="4">
        <v>1</v>
      </c>
      <c r="G26" s="58">
        <f>5.5/1.2</f>
        <v>4.5833333333333339</v>
      </c>
      <c r="H26" s="58">
        <f>Table1[[#This Row],[Item cost (exc. VAT)]]*1.2</f>
        <v>5.5000000000000009</v>
      </c>
      <c r="I26" s="58"/>
      <c r="J26" s="85" t="b">
        <v>1</v>
      </c>
    </row>
    <row r="27" spans="2:10">
      <c r="B27">
        <v>22</v>
      </c>
      <c r="C27" t="s">
        <v>161</v>
      </c>
      <c r="D27" t="s">
        <v>133</v>
      </c>
      <c r="E27" s="54">
        <v>45688</v>
      </c>
      <c r="F27" s="4">
        <v>2</v>
      </c>
      <c r="G27" s="58">
        <f>4.5/1.2</f>
        <v>3.75</v>
      </c>
      <c r="H27" s="58">
        <f>Table1[[#This Row],[Item cost (exc. VAT)]]*1.2</f>
        <v>4.5</v>
      </c>
      <c r="I27" s="58"/>
      <c r="J27" s="85" t="b">
        <v>1</v>
      </c>
    </row>
    <row r="28" spans="2:10">
      <c r="B28">
        <v>23</v>
      </c>
      <c r="C28" t="s">
        <v>163</v>
      </c>
      <c r="D28" t="s">
        <v>133</v>
      </c>
      <c r="E28" s="54">
        <v>45688</v>
      </c>
      <c r="F28" s="4">
        <v>1</v>
      </c>
      <c r="G28" s="58">
        <f>3.3/1.2</f>
        <v>2.75</v>
      </c>
      <c r="H28" s="58">
        <f>Table1[[#This Row],[Item cost (exc. VAT)]]*1.2</f>
        <v>3.3</v>
      </c>
      <c r="I28" s="58"/>
      <c r="J28" s="85" t="b">
        <v>1</v>
      </c>
    </row>
    <row r="29" spans="2:10">
      <c r="B29">
        <v>24</v>
      </c>
      <c r="C29" t="s">
        <v>165</v>
      </c>
      <c r="D29" t="s">
        <v>133</v>
      </c>
      <c r="E29" s="54">
        <v>45688</v>
      </c>
      <c r="F29" s="4">
        <v>1</v>
      </c>
      <c r="G29" s="58">
        <f>3.7/1.2</f>
        <v>3.0833333333333335</v>
      </c>
      <c r="H29" s="58">
        <f>Table1[[#This Row],[Item cost (exc. VAT)]]*1.2</f>
        <v>3.7</v>
      </c>
      <c r="I29" s="58"/>
      <c r="J29" s="85" t="b">
        <v>1</v>
      </c>
    </row>
    <row r="30" spans="2:10">
      <c r="B30">
        <v>25</v>
      </c>
      <c r="C30" t="s">
        <v>167</v>
      </c>
      <c r="D30" t="s">
        <v>133</v>
      </c>
      <c r="E30" s="54">
        <v>45688</v>
      </c>
      <c r="F30" s="4">
        <v>7</v>
      </c>
      <c r="G30" s="58">
        <f>36.75/1.2</f>
        <v>30.625</v>
      </c>
      <c r="H30" s="58">
        <f>Table1[[#This Row],[Item cost (exc. VAT)]]*1.2</f>
        <v>36.75</v>
      </c>
      <c r="I30" s="58"/>
      <c r="J30" s="85" t="b">
        <v>1</v>
      </c>
    </row>
    <row r="31" spans="2:10">
      <c r="B31">
        <v>26</v>
      </c>
      <c r="C31" t="s">
        <v>169</v>
      </c>
      <c r="D31" t="s">
        <v>133</v>
      </c>
      <c r="E31" s="54">
        <v>45688</v>
      </c>
      <c r="F31" s="4">
        <v>1</v>
      </c>
      <c r="G31" s="58">
        <v>5.31</v>
      </c>
      <c r="H31" s="58">
        <f>Table1[[#This Row],[Item cost (exc. VAT)]]*1.2</f>
        <v>6.371999999999999</v>
      </c>
      <c r="I31" s="58" t="s">
        <v>299</v>
      </c>
      <c r="J31" s="85" t="b">
        <v>0</v>
      </c>
    </row>
    <row r="32" spans="2:10">
      <c r="B32">
        <v>27</v>
      </c>
      <c r="C32" t="s">
        <v>171</v>
      </c>
      <c r="D32" t="s">
        <v>142</v>
      </c>
      <c r="E32" s="54">
        <v>45699</v>
      </c>
      <c r="F32" s="4">
        <v>2</v>
      </c>
      <c r="G32" s="58">
        <v>4.32</v>
      </c>
      <c r="H32" s="58">
        <f>Table1[[#This Row],[Item cost (exc. VAT)]]*1.2</f>
        <v>5.1840000000000002</v>
      </c>
      <c r="I32" s="58"/>
      <c r="J32" s="85" t="b">
        <v>1</v>
      </c>
    </row>
    <row r="33" spans="2:10">
      <c r="B33">
        <v>28</v>
      </c>
      <c r="C33" t="s">
        <v>174</v>
      </c>
      <c r="D33" t="s">
        <v>142</v>
      </c>
      <c r="E33" s="54">
        <v>45699</v>
      </c>
      <c r="F33" s="4">
        <v>2</v>
      </c>
      <c r="G33" s="58">
        <v>8</v>
      </c>
      <c r="H33" s="58">
        <f>Table1[[#This Row],[Item cost (exc. VAT)]]*1.2</f>
        <v>9.6</v>
      </c>
      <c r="I33" s="58" t="s">
        <v>299</v>
      </c>
      <c r="J33" s="85" t="b">
        <v>0</v>
      </c>
    </row>
    <row r="34" spans="2:10">
      <c r="B34">
        <v>29</v>
      </c>
      <c r="C34" t="s">
        <v>176</v>
      </c>
      <c r="D34" t="s">
        <v>142</v>
      </c>
      <c r="E34" s="54">
        <v>45699</v>
      </c>
      <c r="F34" s="4">
        <v>1</v>
      </c>
      <c r="G34" s="58">
        <v>16.670000000000002</v>
      </c>
      <c r="H34" s="58">
        <f>Table1[[#This Row],[Item cost (exc. VAT)]]*1.2</f>
        <v>20.004000000000001</v>
      </c>
      <c r="I34" s="58"/>
      <c r="J34" s="85" t="b">
        <v>1</v>
      </c>
    </row>
    <row r="35" spans="2:10">
      <c r="B35">
        <v>30</v>
      </c>
      <c r="C35" t="s">
        <v>178</v>
      </c>
      <c r="D35" t="s">
        <v>133</v>
      </c>
      <c r="E35" s="54">
        <v>45699</v>
      </c>
      <c r="F35" s="4">
        <v>3</v>
      </c>
      <c r="G35" s="58">
        <v>9.9</v>
      </c>
      <c r="H35" s="58">
        <f>Table1[[#This Row],[Item cost (exc. VAT)]]*1.2</f>
        <v>11.88</v>
      </c>
      <c r="I35" s="58"/>
      <c r="J35" s="85" t="b">
        <v>1</v>
      </c>
    </row>
    <row r="36" spans="2:10">
      <c r="B36">
        <v>31</v>
      </c>
      <c r="C36" t="s">
        <v>180</v>
      </c>
      <c r="D36" t="s">
        <v>142</v>
      </c>
      <c r="E36" s="54">
        <v>45699</v>
      </c>
      <c r="F36" s="4">
        <v>1</v>
      </c>
      <c r="G36" s="58">
        <v>21.78</v>
      </c>
      <c r="H36" s="58">
        <f>Table1[[#This Row],[Item cost (exc. VAT)]]*1.2</f>
        <v>26.135999999999999</v>
      </c>
      <c r="I36" s="58"/>
      <c r="J36" s="85" t="b">
        <v>1</v>
      </c>
    </row>
    <row r="37" spans="2:10">
      <c r="B37">
        <v>32</v>
      </c>
      <c r="C37" t="s">
        <v>182</v>
      </c>
      <c r="D37" t="s">
        <v>130</v>
      </c>
      <c r="E37" s="54">
        <v>45699</v>
      </c>
      <c r="F37" s="4">
        <v>5</v>
      </c>
      <c r="G37" s="58">
        <f>15.35/1.2</f>
        <v>12.791666666666666</v>
      </c>
      <c r="H37" s="58">
        <f>Table1[[#This Row],[Item cost (exc. VAT)]]*1.2</f>
        <v>15.349999999999998</v>
      </c>
      <c r="I37" s="58"/>
      <c r="J37" s="85" t="b">
        <v>1</v>
      </c>
    </row>
    <row r="38" spans="2:10">
      <c r="B38">
        <v>33</v>
      </c>
      <c r="C38" t="s">
        <v>184</v>
      </c>
      <c r="D38" t="s">
        <v>130</v>
      </c>
      <c r="E38" s="54">
        <v>45699</v>
      </c>
      <c r="F38" s="4">
        <v>8</v>
      </c>
      <c r="G38" s="58">
        <f>10.64/1.2</f>
        <v>8.8666666666666671</v>
      </c>
      <c r="H38" s="58">
        <f>Table1[[#This Row],[Item cost (exc. VAT)]]*1.2</f>
        <v>10.64</v>
      </c>
      <c r="I38" s="58"/>
      <c r="J38" s="85" t="b">
        <v>1</v>
      </c>
    </row>
    <row r="39" spans="2:10">
      <c r="B39">
        <v>34</v>
      </c>
      <c r="C39" t="s">
        <v>186</v>
      </c>
      <c r="D39" t="s">
        <v>130</v>
      </c>
      <c r="E39" s="54">
        <v>45699</v>
      </c>
      <c r="F39" s="4">
        <v>8</v>
      </c>
      <c r="G39" s="58">
        <f>5.04/1.2</f>
        <v>4.2</v>
      </c>
      <c r="H39" s="58">
        <f>Table1[[#This Row],[Item cost (exc. VAT)]]*1.2</f>
        <v>5.04</v>
      </c>
      <c r="I39" s="58"/>
      <c r="J39" s="85" t="b">
        <v>1</v>
      </c>
    </row>
    <row r="40" spans="2:10">
      <c r="B40">
        <v>35</v>
      </c>
      <c r="C40" t="s">
        <v>188</v>
      </c>
      <c r="D40" t="s">
        <v>130</v>
      </c>
      <c r="E40" s="54">
        <v>45699</v>
      </c>
      <c r="F40" s="4">
        <v>16</v>
      </c>
      <c r="G40" s="58">
        <v>2.93</v>
      </c>
      <c r="H40" s="58">
        <f>Table1[[#This Row],[Item cost (exc. VAT)]]*1.2</f>
        <v>3.516</v>
      </c>
      <c r="I40" s="58"/>
      <c r="J40" s="85" t="b">
        <v>1</v>
      </c>
    </row>
    <row r="41" spans="2:10">
      <c r="B41">
        <v>36</v>
      </c>
      <c r="C41" t="s">
        <v>190</v>
      </c>
      <c r="D41" t="s">
        <v>130</v>
      </c>
      <c r="E41" s="54">
        <v>45699</v>
      </c>
      <c r="F41" s="4">
        <v>12</v>
      </c>
      <c r="G41" s="58">
        <v>10.8</v>
      </c>
      <c r="H41" s="58">
        <f>Table1[[#This Row],[Item cost (exc. VAT)]]*1.2</f>
        <v>12.96</v>
      </c>
      <c r="I41" s="58"/>
      <c r="J41" s="85" t="b">
        <v>1</v>
      </c>
    </row>
    <row r="42" spans="2:10">
      <c r="B42">
        <v>37</v>
      </c>
      <c r="C42" t="s">
        <v>192</v>
      </c>
      <c r="D42" t="s">
        <v>130</v>
      </c>
      <c r="E42" s="54">
        <v>45699</v>
      </c>
      <c r="F42" s="4">
        <v>2</v>
      </c>
      <c r="G42" s="58">
        <v>0.93</v>
      </c>
      <c r="H42" s="58">
        <f>Table1[[#This Row],[Item cost (exc. VAT)]]*1.2</f>
        <v>1.1160000000000001</v>
      </c>
      <c r="I42" s="58"/>
      <c r="J42" s="85" t="b">
        <v>1</v>
      </c>
    </row>
    <row r="43" spans="2:10">
      <c r="B43">
        <v>38</v>
      </c>
      <c r="C43" t="s">
        <v>194</v>
      </c>
      <c r="D43" t="s">
        <v>130</v>
      </c>
      <c r="E43" s="54">
        <v>45699</v>
      </c>
      <c r="F43" s="4">
        <v>5</v>
      </c>
      <c r="G43" s="58">
        <v>2.15</v>
      </c>
      <c r="H43" s="58">
        <f>Table1[[#This Row],[Item cost (exc. VAT)]]*1.2</f>
        <v>2.5799999999999996</v>
      </c>
      <c r="I43" s="58"/>
      <c r="J43" s="85" t="b">
        <v>1</v>
      </c>
    </row>
    <row r="44" spans="2:10">
      <c r="B44">
        <v>39</v>
      </c>
      <c r="C44" t="s">
        <v>196</v>
      </c>
      <c r="D44" t="s">
        <v>142</v>
      </c>
      <c r="E44" s="54">
        <v>45699</v>
      </c>
      <c r="F44" s="4">
        <v>1</v>
      </c>
      <c r="G44" s="58">
        <f>26/1.2</f>
        <v>21.666666666666668</v>
      </c>
      <c r="H44" s="58">
        <f>Table1[[#This Row],[Item cost (exc. VAT)]]*1.2</f>
        <v>26</v>
      </c>
      <c r="I44" s="58"/>
      <c r="J44" s="85" t="b">
        <v>1</v>
      </c>
    </row>
    <row r="45" spans="2:10">
      <c r="B45">
        <v>40</v>
      </c>
      <c r="C45" t="s">
        <v>199</v>
      </c>
      <c r="D45" t="s">
        <v>133</v>
      </c>
      <c r="E45" s="54">
        <v>45709</v>
      </c>
      <c r="F45" s="4">
        <v>1</v>
      </c>
      <c r="G45" s="58">
        <v>6.36</v>
      </c>
      <c r="H45" s="58">
        <f>Table1[[#This Row],[Item cost (exc. VAT)]]*1.2</f>
        <v>7.6319999999999997</v>
      </c>
      <c r="I45" s="58"/>
      <c r="J45" s="85" t="b">
        <v>1</v>
      </c>
    </row>
    <row r="46" spans="2:10">
      <c r="B46">
        <v>41</v>
      </c>
      <c r="C46" t="s">
        <v>201</v>
      </c>
      <c r="D46" t="s">
        <v>133</v>
      </c>
      <c r="E46" s="54">
        <v>45709</v>
      </c>
      <c r="F46" s="4">
        <v>1</v>
      </c>
      <c r="G46" s="58">
        <v>5.81</v>
      </c>
      <c r="H46" s="58">
        <f>Table1[[#This Row],[Item cost (exc. VAT)]]*1.2</f>
        <v>6.9719999999999995</v>
      </c>
      <c r="I46" s="58"/>
      <c r="J46" s="85" t="b">
        <v>1</v>
      </c>
    </row>
    <row r="47" spans="2:10">
      <c r="B47">
        <v>42</v>
      </c>
      <c r="C47" t="s">
        <v>203</v>
      </c>
      <c r="D47" t="s">
        <v>113</v>
      </c>
      <c r="E47" s="54">
        <v>45709</v>
      </c>
      <c r="F47" s="4">
        <v>1</v>
      </c>
      <c r="G47" s="58">
        <v>4.04</v>
      </c>
      <c r="H47" s="58">
        <f>Table1[[#This Row],[Item cost (exc. VAT)]]*1.2</f>
        <v>4.8479999999999999</v>
      </c>
      <c r="I47" s="58"/>
      <c r="J47" s="85" t="b">
        <v>1</v>
      </c>
    </row>
    <row r="48" spans="2:10">
      <c r="B48">
        <v>43</v>
      </c>
      <c r="C48" t="s">
        <v>205</v>
      </c>
      <c r="D48" t="s">
        <v>133</v>
      </c>
      <c r="E48" s="54">
        <v>45709</v>
      </c>
      <c r="F48" s="4">
        <v>1</v>
      </c>
      <c r="G48" s="58">
        <f>26.99/1.2</f>
        <v>22.491666666666667</v>
      </c>
      <c r="H48" s="58">
        <f>Table1[[#This Row],[Item cost (exc. VAT)]]*1.2</f>
        <v>26.99</v>
      </c>
      <c r="I48" s="58"/>
      <c r="J48" s="85" t="b">
        <v>1</v>
      </c>
    </row>
    <row r="49" spans="2:10">
      <c r="B49">
        <v>44</v>
      </c>
      <c r="C49" t="s">
        <v>208</v>
      </c>
      <c r="D49" t="s">
        <v>117</v>
      </c>
      <c r="E49" s="54">
        <v>45709</v>
      </c>
      <c r="F49" s="4">
        <v>1</v>
      </c>
      <c r="G49" s="58">
        <f>15.21/1.2</f>
        <v>12.675000000000001</v>
      </c>
      <c r="H49" s="58">
        <f>Table1[[#This Row],[Item cost (exc. VAT)]]*1.2</f>
        <v>15.21</v>
      </c>
      <c r="I49" s="58"/>
      <c r="J49" s="85" t="b">
        <v>1</v>
      </c>
    </row>
    <row r="50" spans="2:10">
      <c r="B50">
        <v>45</v>
      </c>
      <c r="C50" t="s">
        <v>210</v>
      </c>
      <c r="D50" t="s">
        <v>117</v>
      </c>
      <c r="E50" s="54">
        <v>45709</v>
      </c>
      <c r="F50" s="4">
        <v>2</v>
      </c>
      <c r="G50" s="58">
        <f>(6.87*2)/1.2</f>
        <v>11.450000000000001</v>
      </c>
      <c r="H50" s="58">
        <f>Table1[[#This Row],[Item cost (exc. VAT)]]*1.2</f>
        <v>13.74</v>
      </c>
      <c r="I50" s="58"/>
      <c r="J50" s="85" t="b">
        <v>1</v>
      </c>
    </row>
    <row r="51" spans="2:10">
      <c r="B51">
        <v>46</v>
      </c>
      <c r="C51" t="s">
        <v>213</v>
      </c>
      <c r="D51" t="s">
        <v>142</v>
      </c>
      <c r="E51" s="54">
        <v>45709</v>
      </c>
      <c r="F51" s="4">
        <v>1</v>
      </c>
      <c r="G51" s="58">
        <f>4.08/1.2</f>
        <v>3.4000000000000004</v>
      </c>
      <c r="H51" s="58">
        <f>Table1[[#This Row],[Item cost (exc. VAT)]]*1.2</f>
        <v>4.08</v>
      </c>
      <c r="I51" s="58"/>
      <c r="J51" s="85" t="b">
        <v>1</v>
      </c>
    </row>
    <row r="52" spans="2:10">
      <c r="B52">
        <v>47</v>
      </c>
      <c r="C52" t="s">
        <v>139</v>
      </c>
      <c r="D52" t="s">
        <v>117</v>
      </c>
      <c r="E52" s="54">
        <v>45709</v>
      </c>
      <c r="F52" s="4">
        <v>1</v>
      </c>
      <c r="G52" s="58">
        <f>19.7/1.2</f>
        <v>16.416666666666668</v>
      </c>
      <c r="H52" s="58">
        <f>Table1[[#This Row],[Item cost (exc. VAT)]]*1.2</f>
        <v>19.7</v>
      </c>
      <c r="I52" s="58"/>
      <c r="J52" s="85" t="b">
        <v>1</v>
      </c>
    </row>
    <row r="53" spans="2:10">
      <c r="B53">
        <v>48</v>
      </c>
      <c r="C53" t="s">
        <v>216</v>
      </c>
      <c r="D53" t="s">
        <v>113</v>
      </c>
      <c r="E53" s="54">
        <v>45720</v>
      </c>
      <c r="F53" s="4">
        <v>6</v>
      </c>
      <c r="G53" s="58">
        <f>12.9/1.2</f>
        <v>10.75</v>
      </c>
      <c r="H53" s="58">
        <f>Table1[[#This Row],[Item cost (exc. VAT)]]*1.2</f>
        <v>12.9</v>
      </c>
      <c r="I53" s="58"/>
      <c r="J53" s="85" t="b">
        <v>1</v>
      </c>
    </row>
    <row r="54" spans="2:10">
      <c r="B54">
        <v>49</v>
      </c>
      <c r="C54" t="s">
        <v>219</v>
      </c>
      <c r="D54" t="s">
        <v>130</v>
      </c>
      <c r="E54" s="54">
        <v>45720</v>
      </c>
      <c r="F54" s="4">
        <v>10</v>
      </c>
      <c r="G54" s="58">
        <v>5.45</v>
      </c>
      <c r="H54" s="58">
        <f>Table1[[#This Row],[Item cost (exc. VAT)]]*1.2</f>
        <v>6.54</v>
      </c>
      <c r="I54" s="58"/>
      <c r="J54" s="85" t="b">
        <v>1</v>
      </c>
    </row>
    <row r="55" spans="2:10">
      <c r="B55">
        <v>50</v>
      </c>
      <c r="C55" t="s">
        <v>221</v>
      </c>
      <c r="D55" t="s">
        <v>130</v>
      </c>
      <c r="E55" s="54">
        <v>45720</v>
      </c>
      <c r="F55" s="4">
        <v>10</v>
      </c>
      <c r="G55" s="58">
        <v>4.59</v>
      </c>
      <c r="H55" s="58">
        <f>Table1[[#This Row],[Item cost (exc. VAT)]]*1.2</f>
        <v>5.508</v>
      </c>
      <c r="I55" s="58"/>
      <c r="J55" s="85" t="b">
        <v>1</v>
      </c>
    </row>
    <row r="56" spans="2:10">
      <c r="B56">
        <v>51</v>
      </c>
      <c r="C56" t="s">
        <v>223</v>
      </c>
      <c r="D56" t="s">
        <v>130</v>
      </c>
      <c r="E56" s="54">
        <v>45720</v>
      </c>
      <c r="F56" s="4">
        <v>7</v>
      </c>
      <c r="G56" s="58">
        <v>9.4499999999999993</v>
      </c>
      <c r="H56" s="58">
        <f>Table1[[#This Row],[Item cost (exc. VAT)]]*1.2</f>
        <v>11.339999999999998</v>
      </c>
      <c r="I56" s="58"/>
      <c r="J56" s="85" t="b">
        <v>1</v>
      </c>
    </row>
    <row r="57" spans="2:10">
      <c r="B57">
        <v>52</v>
      </c>
      <c r="C57" t="s">
        <v>225</v>
      </c>
      <c r="D57" t="s">
        <v>130</v>
      </c>
      <c r="E57" s="54">
        <v>45720</v>
      </c>
      <c r="F57" s="4">
        <v>1</v>
      </c>
      <c r="G57" s="58">
        <v>1.99</v>
      </c>
      <c r="H57" s="58">
        <f>Table1[[#This Row],[Item cost (exc. VAT)]]*1.2</f>
        <v>2.3879999999999999</v>
      </c>
      <c r="I57" s="58"/>
      <c r="J57" s="85" t="b">
        <v>1</v>
      </c>
    </row>
    <row r="58" spans="2:10">
      <c r="B58">
        <v>53</v>
      </c>
      <c r="C58" s="83" t="s">
        <v>227</v>
      </c>
      <c r="D58" t="s">
        <v>133</v>
      </c>
      <c r="E58" s="54">
        <v>45726</v>
      </c>
      <c r="F58" s="4">
        <v>1</v>
      </c>
      <c r="G58" s="58">
        <v>3</v>
      </c>
      <c r="H58" s="58">
        <f>Table1[[#This Row],[Item cost (exc. VAT)]]*1.2</f>
        <v>3.5999999999999996</v>
      </c>
      <c r="I58" s="58"/>
      <c r="J58" s="85" t="b">
        <v>1</v>
      </c>
    </row>
    <row r="59" spans="2:10">
      <c r="B59">
        <v>54</v>
      </c>
      <c r="C59" s="81" t="s">
        <v>229</v>
      </c>
      <c r="D59" t="s">
        <v>130</v>
      </c>
      <c r="E59" s="54">
        <v>45726</v>
      </c>
      <c r="F59" s="4">
        <v>1</v>
      </c>
      <c r="G59" s="58">
        <v>2.13</v>
      </c>
      <c r="H59" s="58">
        <f>Table1[[#This Row],[Item cost (exc. VAT)]]*1.2</f>
        <v>2.5559999999999996</v>
      </c>
      <c r="I59" s="58"/>
      <c r="J59" s="85" t="b">
        <v>1</v>
      </c>
    </row>
    <row r="60" spans="2:10">
      <c r="B60">
        <v>55</v>
      </c>
      <c r="C60" t="s">
        <v>231</v>
      </c>
      <c r="D60" t="s">
        <v>117</v>
      </c>
      <c r="E60" s="54">
        <v>45733</v>
      </c>
      <c r="F60" s="4">
        <v>8</v>
      </c>
      <c r="G60" s="58">
        <f>14.44/1.2</f>
        <v>12.033333333333333</v>
      </c>
      <c r="H60" s="58">
        <f>Table1[[#This Row],[Item cost (exc. VAT)]]*1.2</f>
        <v>14.44</v>
      </c>
      <c r="I60" s="58"/>
      <c r="J60" s="85" t="b">
        <v>1</v>
      </c>
    </row>
    <row r="61" spans="2:10">
      <c r="B61">
        <v>56</v>
      </c>
      <c r="C61" t="s">
        <v>234</v>
      </c>
      <c r="D61" t="s">
        <v>130</v>
      </c>
      <c r="E61" s="54">
        <v>45733</v>
      </c>
      <c r="F61" s="4">
        <v>1</v>
      </c>
      <c r="G61" s="58">
        <f>4.9/1.2</f>
        <v>4.0833333333333339</v>
      </c>
      <c r="H61" s="58">
        <f>Table1[[#This Row],[Item cost (exc. VAT)]]*1.2</f>
        <v>4.9000000000000004</v>
      </c>
      <c r="I61" s="58"/>
      <c r="J61" s="85" t="b">
        <v>1</v>
      </c>
    </row>
    <row r="62" spans="2:10">
      <c r="B62">
        <v>57</v>
      </c>
      <c r="C62" t="s">
        <v>236</v>
      </c>
      <c r="D62" t="s">
        <v>117</v>
      </c>
      <c r="E62" s="54">
        <v>45733</v>
      </c>
      <c r="F62" s="4">
        <v>1</v>
      </c>
      <c r="G62" s="58">
        <f>5.9/1.2</f>
        <v>4.916666666666667</v>
      </c>
      <c r="H62" s="58">
        <f>Table1[[#This Row],[Item cost (exc. VAT)]]*1.2</f>
        <v>5.9</v>
      </c>
      <c r="I62" s="58"/>
      <c r="J62" s="85" t="b">
        <v>1</v>
      </c>
    </row>
    <row r="63" spans="2:10">
      <c r="B63">
        <v>58</v>
      </c>
      <c r="C63" t="s">
        <v>238</v>
      </c>
      <c r="D63" t="s">
        <v>117</v>
      </c>
      <c r="E63" s="54">
        <v>45733</v>
      </c>
      <c r="F63" s="4">
        <v>1</v>
      </c>
      <c r="G63" s="58">
        <f>2.9/1.2</f>
        <v>2.4166666666666665</v>
      </c>
      <c r="H63" s="58">
        <f>Table1[[#This Row],[Item cost (exc. VAT)]]*1.2</f>
        <v>2.9</v>
      </c>
      <c r="I63" s="58"/>
      <c r="J63" s="85" t="b">
        <v>1</v>
      </c>
    </row>
    <row r="64" spans="2:10">
      <c r="B64">
        <v>59</v>
      </c>
      <c r="C64" s="83" t="s">
        <v>240</v>
      </c>
      <c r="D64" t="s">
        <v>133</v>
      </c>
      <c r="E64" s="54">
        <v>45733</v>
      </c>
      <c r="F64" s="4">
        <v>8</v>
      </c>
      <c r="G64" s="58">
        <v>17.600000000000001</v>
      </c>
      <c r="H64" s="58">
        <f>Table1[[#This Row],[Item cost (exc. VAT)]]*1.2</f>
        <v>21.12</v>
      </c>
      <c r="I64" s="58"/>
      <c r="J64" s="85" t="b">
        <v>1</v>
      </c>
    </row>
    <row r="65" spans="2:10">
      <c r="B65">
        <v>60</v>
      </c>
      <c r="C65" t="s">
        <v>242</v>
      </c>
      <c r="D65" t="s">
        <v>107</v>
      </c>
      <c r="E65" s="54">
        <v>45733</v>
      </c>
      <c r="F65" s="4">
        <v>8</v>
      </c>
      <c r="G65" s="58">
        <v>72.36</v>
      </c>
      <c r="H65" s="58">
        <f>Table1[[#This Row],[Item cost (exc. VAT)]]*1.2</f>
        <v>86.831999999999994</v>
      </c>
      <c r="I65" s="58"/>
      <c r="J65" s="85" t="b">
        <v>1</v>
      </c>
    </row>
    <row r="66" spans="2:10">
      <c r="B66">
        <v>61</v>
      </c>
      <c r="C66" t="s">
        <v>244</v>
      </c>
      <c r="D66" t="s">
        <v>107</v>
      </c>
      <c r="E66" s="54">
        <v>45733</v>
      </c>
      <c r="F66" s="4">
        <v>2</v>
      </c>
      <c r="G66" s="58">
        <v>32.979999999999997</v>
      </c>
      <c r="H66" s="58">
        <f>Table1[[#This Row],[Item cost (exc. VAT)]]*1.2</f>
        <v>39.575999999999993</v>
      </c>
      <c r="I66" s="58"/>
      <c r="J66" s="85" t="b">
        <v>1</v>
      </c>
    </row>
    <row r="67" spans="2:10">
      <c r="B67">
        <v>62</v>
      </c>
      <c r="C67" t="s">
        <v>246</v>
      </c>
      <c r="D67" t="s">
        <v>107</v>
      </c>
      <c r="E67" s="54">
        <v>45744</v>
      </c>
      <c r="F67" s="4">
        <v>2</v>
      </c>
      <c r="G67" s="58">
        <v>11.9</v>
      </c>
      <c r="H67" s="58">
        <f>Table1[[#This Row],[Item cost (exc. VAT)]]*1.2</f>
        <v>14.28</v>
      </c>
      <c r="I67" s="58"/>
      <c r="J67" s="85" t="b">
        <v>1</v>
      </c>
    </row>
    <row r="68" spans="2:10">
      <c r="B68">
        <v>63</v>
      </c>
      <c r="C68" t="s">
        <v>249</v>
      </c>
      <c r="D68" t="s">
        <v>113</v>
      </c>
      <c r="E68" s="54">
        <v>45744</v>
      </c>
      <c r="F68" s="4">
        <v>2</v>
      </c>
      <c r="G68" s="58">
        <v>7.94</v>
      </c>
      <c r="H68" s="58">
        <f>Table1[[#This Row],[Item cost (exc. VAT)]]*1.2</f>
        <v>9.5280000000000005</v>
      </c>
      <c r="I68" s="58"/>
      <c r="J68" s="85" t="b">
        <v>1</v>
      </c>
    </row>
    <row r="69" spans="2:10">
      <c r="B69">
        <v>64</v>
      </c>
      <c r="C69" t="s">
        <v>251</v>
      </c>
      <c r="D69" t="s">
        <v>117</v>
      </c>
      <c r="E69" s="54">
        <v>45744</v>
      </c>
      <c r="F69" s="4">
        <v>2</v>
      </c>
      <c r="G69" s="58">
        <v>26.88</v>
      </c>
      <c r="H69" s="58">
        <f>Table1[[#This Row],[Item cost (exc. VAT)]]*1.2</f>
        <v>32.256</v>
      </c>
      <c r="I69" s="58"/>
      <c r="J69" s="85" t="b">
        <v>1</v>
      </c>
    </row>
    <row r="70" spans="2:10">
      <c r="B70">
        <v>65</v>
      </c>
      <c r="C70" t="s">
        <v>253</v>
      </c>
      <c r="D70" t="s">
        <v>117</v>
      </c>
      <c r="E70" s="54">
        <v>45744</v>
      </c>
      <c r="F70" s="4">
        <v>1</v>
      </c>
      <c r="G70" s="58">
        <v>19.68</v>
      </c>
      <c r="H70" s="58">
        <f>Table1[[#This Row],[Item cost (exc. VAT)]]*1.2</f>
        <v>23.616</v>
      </c>
      <c r="I70" s="58"/>
      <c r="J70" s="85" t="b">
        <v>1</v>
      </c>
    </row>
    <row r="71" spans="2:10">
      <c r="B71">
        <v>66</v>
      </c>
      <c r="C71" t="s">
        <v>255</v>
      </c>
      <c r="D71" t="s">
        <v>117</v>
      </c>
      <c r="E71" s="54">
        <v>45744</v>
      </c>
      <c r="F71" s="4">
        <v>2</v>
      </c>
      <c r="G71" s="58">
        <v>25.1</v>
      </c>
      <c r="H71" s="58">
        <f>Table1[[#This Row],[Item cost (exc. VAT)]]*1.2</f>
        <v>30.12</v>
      </c>
      <c r="I71" s="58"/>
      <c r="J71" s="85" t="b">
        <v>1</v>
      </c>
    </row>
    <row r="72" spans="2:10">
      <c r="B72">
        <v>67</v>
      </c>
      <c r="C72" t="s">
        <v>257</v>
      </c>
      <c r="D72" t="s">
        <v>133</v>
      </c>
      <c r="E72" s="54">
        <v>45730</v>
      </c>
      <c r="F72" s="4">
        <v>4</v>
      </c>
      <c r="G72" s="58">
        <v>9.44</v>
      </c>
      <c r="H72" s="58">
        <f>Table1[[#This Row],[Item cost (exc. VAT)]]*1.2</f>
        <v>11.327999999999999</v>
      </c>
      <c r="I72" s="58"/>
      <c r="J72" s="85" t="b">
        <v>1</v>
      </c>
    </row>
    <row r="73" spans="2:10">
      <c r="B73">
        <v>68</v>
      </c>
      <c r="C73" t="s">
        <v>260</v>
      </c>
      <c r="D73" t="s">
        <v>117</v>
      </c>
      <c r="E73" s="54">
        <v>45730</v>
      </c>
      <c r="F73" s="4">
        <v>10</v>
      </c>
      <c r="G73" s="58">
        <v>2.78</v>
      </c>
      <c r="H73" s="58">
        <f>Table1[[#This Row],[Item cost (exc. VAT)]]*1.2</f>
        <v>3.3359999999999999</v>
      </c>
      <c r="I73" s="58"/>
      <c r="J73" s="85" t="b">
        <v>1</v>
      </c>
    </row>
    <row r="74" spans="2:10">
      <c r="B74">
        <v>69</v>
      </c>
      <c r="C74" t="s">
        <v>262</v>
      </c>
      <c r="D74" t="s">
        <v>107</v>
      </c>
      <c r="E74" s="54">
        <v>45730</v>
      </c>
      <c r="F74" s="4">
        <v>2</v>
      </c>
      <c r="G74" s="58">
        <f>22.18/1.2</f>
        <v>18.483333333333334</v>
      </c>
      <c r="H74" s="58">
        <f>Table1[[#This Row],[Item cost (exc. VAT)]]*1.2</f>
        <v>22.18</v>
      </c>
      <c r="I74" s="58"/>
      <c r="J74" s="85" t="b">
        <v>1</v>
      </c>
    </row>
    <row r="75" spans="2:10">
      <c r="B75">
        <v>70</v>
      </c>
      <c r="C75" t="s">
        <v>265</v>
      </c>
      <c r="D75" t="s">
        <v>107</v>
      </c>
      <c r="E75" s="54">
        <v>45730</v>
      </c>
      <c r="F75" s="4">
        <v>2</v>
      </c>
      <c r="G75" s="58">
        <f>37.98/1.2</f>
        <v>31.65</v>
      </c>
      <c r="H75" s="58">
        <f>Table1[[#This Row],[Item cost (exc. VAT)]]*1.2</f>
        <v>37.979999999999997</v>
      </c>
      <c r="I75" s="58"/>
      <c r="J75" s="85" t="b">
        <v>1</v>
      </c>
    </row>
    <row r="76" spans="2:10">
      <c r="B76">
        <v>71</v>
      </c>
      <c r="C76" t="s">
        <v>267</v>
      </c>
      <c r="D76" t="s">
        <v>117</v>
      </c>
      <c r="E76" s="54">
        <v>45730</v>
      </c>
      <c r="F76" s="4">
        <v>2</v>
      </c>
      <c r="G76" s="58">
        <f>4.8/1.2</f>
        <v>4</v>
      </c>
      <c r="H76" s="58">
        <f>Table1[[#This Row],[Item cost (exc. VAT)]]*1.2</f>
        <v>4.8</v>
      </c>
      <c r="I76" s="58"/>
      <c r="J76" s="85" t="b">
        <v>1</v>
      </c>
    </row>
    <row r="77" spans="2:10">
      <c r="B77">
        <v>72</v>
      </c>
      <c r="C77" t="s">
        <v>269</v>
      </c>
      <c r="D77" t="s">
        <v>117</v>
      </c>
      <c r="E77" s="54">
        <v>45730</v>
      </c>
      <c r="F77" s="4">
        <v>1</v>
      </c>
      <c r="G77" s="58">
        <f>6.59/1.2</f>
        <v>5.4916666666666671</v>
      </c>
      <c r="H77" s="58">
        <f>Table1[[#This Row],[Item cost (exc. VAT)]]*1.2</f>
        <v>6.5900000000000007</v>
      </c>
      <c r="I77" s="58"/>
      <c r="J77" s="85" t="b">
        <v>1</v>
      </c>
    </row>
    <row r="78" spans="2:10">
      <c r="B78">
        <v>73</v>
      </c>
      <c r="C78" t="s">
        <v>271</v>
      </c>
      <c r="D78" t="s">
        <v>142</v>
      </c>
      <c r="E78" s="54">
        <v>45730</v>
      </c>
      <c r="F78" s="4">
        <v>1</v>
      </c>
      <c r="G78" s="58">
        <f>3.01/1.2</f>
        <v>2.5083333333333333</v>
      </c>
      <c r="H78" s="58">
        <f>Table1[[#This Row],[Item cost (exc. VAT)]]*1.2</f>
        <v>3.01</v>
      </c>
      <c r="I78" s="58"/>
      <c r="J78" s="85" t="b">
        <v>1</v>
      </c>
    </row>
    <row r="79" spans="2:10">
      <c r="B79">
        <v>74</v>
      </c>
      <c r="C79" t="s">
        <v>273</v>
      </c>
      <c r="D79" t="s">
        <v>142</v>
      </c>
      <c r="E79" s="54">
        <v>45775</v>
      </c>
      <c r="F79" s="4">
        <v>3</v>
      </c>
      <c r="G79" s="58">
        <v>75.45</v>
      </c>
      <c r="H79" s="58">
        <f>Table1[[#This Row],[Item cost (exc. VAT)]]*1.2</f>
        <v>90.54</v>
      </c>
      <c r="I79" s="58" t="s">
        <v>276</v>
      </c>
      <c r="J79" s="85" t="b">
        <v>1</v>
      </c>
    </row>
    <row r="80" spans="2:10">
      <c r="B80">
        <v>75</v>
      </c>
      <c r="C80" t="s">
        <v>277</v>
      </c>
      <c r="D80" t="s">
        <v>133</v>
      </c>
      <c r="E80" s="54">
        <v>45792</v>
      </c>
      <c r="F80" s="4">
        <v>1</v>
      </c>
      <c r="G80" s="58">
        <v>19.079999999999998</v>
      </c>
      <c r="H80" s="58">
        <f>Table1[[#This Row],[Item cost (exc. VAT)]]*1.2</f>
        <v>22.895999999999997</v>
      </c>
      <c r="I80" s="58"/>
      <c r="J80" s="85" t="b">
        <v>1</v>
      </c>
    </row>
    <row r="81" spans="2:10">
      <c r="B81">
        <v>76</v>
      </c>
      <c r="C81" t="s">
        <v>279</v>
      </c>
      <c r="D81" t="s">
        <v>130</v>
      </c>
      <c r="E81" s="54">
        <v>45792</v>
      </c>
      <c r="F81" s="4">
        <v>6</v>
      </c>
      <c r="G81" s="58">
        <v>6</v>
      </c>
      <c r="H81" s="58">
        <f>Table1[[#This Row],[Item cost (exc. VAT)]]*1.2</f>
        <v>7.1999999999999993</v>
      </c>
      <c r="I81" s="58" t="s">
        <v>300</v>
      </c>
      <c r="J81" s="85" t="b">
        <v>0</v>
      </c>
    </row>
    <row r="82" spans="2:10">
      <c r="B82">
        <v>77</v>
      </c>
      <c r="C82" t="s">
        <v>281</v>
      </c>
      <c r="D82" t="s">
        <v>130</v>
      </c>
      <c r="E82" s="54">
        <v>45792</v>
      </c>
      <c r="F82" s="4">
        <v>6</v>
      </c>
      <c r="G82" s="58">
        <v>7.56</v>
      </c>
      <c r="H82" s="58">
        <f>Table1[[#This Row],[Item cost (exc. VAT)]]*1.2</f>
        <v>9.0719999999999992</v>
      </c>
      <c r="I82" s="58"/>
      <c r="J82" s="85" t="b">
        <v>1</v>
      </c>
    </row>
    <row r="83" spans="2:10">
      <c r="B83">
        <v>78</v>
      </c>
      <c r="C83" t="s">
        <v>283</v>
      </c>
      <c r="D83" t="s">
        <v>142</v>
      </c>
      <c r="E83" s="54">
        <v>45792</v>
      </c>
      <c r="F83" s="4">
        <v>2</v>
      </c>
      <c r="G83" s="58">
        <v>13.725</v>
      </c>
      <c r="H83" s="58">
        <f>Table1[[#This Row],[Item cost (exc. VAT)]]*1.2</f>
        <v>16.47</v>
      </c>
      <c r="I83" s="58"/>
      <c r="J83" s="85" t="b">
        <v>1</v>
      </c>
    </row>
    <row r="84" spans="2:10">
      <c r="B84">
        <v>79</v>
      </c>
      <c r="C84" t="s">
        <v>286</v>
      </c>
      <c r="D84" t="s">
        <v>117</v>
      </c>
      <c r="E84" s="54">
        <v>45797</v>
      </c>
      <c r="F84" s="4">
        <v>5</v>
      </c>
      <c r="G84" s="58">
        <v>37.458333333333336</v>
      </c>
      <c r="H84" s="58">
        <f>Table1[[#This Row],[Item cost (exc. VAT)]]*1.2</f>
        <v>44.95</v>
      </c>
      <c r="I84" s="58"/>
      <c r="J84" s="85" t="b">
        <v>1</v>
      </c>
    </row>
    <row r="85" spans="2:10">
      <c r="E85" s="54"/>
      <c r="F85" s="4"/>
      <c r="G85" s="58"/>
      <c r="H85" s="58">
        <f>Table1[[#This Row],[Item cost (exc. VAT)]]*1.2</f>
        <v>0</v>
      </c>
      <c r="I85" s="58"/>
      <c r="J85" s="85" t="b">
        <v>0</v>
      </c>
    </row>
    <row r="87" spans="2:10">
      <c r="G87" s="60" t="s">
        <v>301</v>
      </c>
      <c r="H87" s="61">
        <f>SUM(Table1[Item cost (exc. VAT)])</f>
        <v>1076.3599999999999</v>
      </c>
    </row>
    <row r="88" spans="2:10">
      <c r="G88" s="6" t="s">
        <v>302</v>
      </c>
      <c r="H88" s="61">
        <f>SUM(Table1[Item cost (inc. VAT)])</f>
        <v>1283.472</v>
      </c>
    </row>
    <row r="89" spans="2:10">
      <c r="G89" s="6" t="s">
        <v>303</v>
      </c>
      <c r="H89" s="61">
        <f>Chart!D3-'Spending tracker'!H88</f>
        <v>366.52800000000002</v>
      </c>
    </row>
  </sheetData>
  <conditionalFormatting sqref="J6:J85">
    <cfRule type="cellIs" dxfId="15" priority="1" operator="equal">
      <formula>"n"</formula>
    </cfRule>
    <cfRule type="cellIs" dxfId="14" priority="2" operator="equal">
      <formula>"y"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D1DFF0-3E7C-4797-A61D-2451A81FD3D9}">
          <x14:formula1>
            <xm:f>Chart!$B$9:$B$15</xm:f>
          </x14:formula1>
          <xm:sqref>D6:D14 D16:D51 D53:D57 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F679-9453-3846-9699-F67D72B686D9}">
  <dimension ref="A3:L99"/>
  <sheetViews>
    <sheetView workbookViewId="0">
      <selection activeCell="B104" sqref="B104"/>
    </sheetView>
  </sheetViews>
  <sheetFormatPr defaultColWidth="11" defaultRowHeight="15.95"/>
  <cols>
    <col min="2" max="2" width="38.625" customWidth="1"/>
    <col min="3" max="3" width="16.375" bestFit="1" customWidth="1"/>
    <col min="4" max="4" width="12.375" customWidth="1"/>
  </cols>
  <sheetData>
    <row r="3" spans="2:8" ht="24">
      <c r="B3" s="1" t="s">
        <v>304</v>
      </c>
      <c r="D3" s="2">
        <v>1650</v>
      </c>
    </row>
    <row r="5" spans="2:8">
      <c r="B5" t="s">
        <v>305</v>
      </c>
      <c r="C5" s="3">
        <f ca="1">TODAY()</f>
        <v>45813</v>
      </c>
      <c r="D5" s="4">
        <f>D3-SUM(E21:E99)</f>
        <v>366.52399999999989</v>
      </c>
    </row>
    <row r="8" spans="2:8">
      <c r="B8" s="97" t="s">
        <v>97</v>
      </c>
      <c r="C8" s="97"/>
      <c r="D8" s="95" t="s">
        <v>306</v>
      </c>
      <c r="E8" s="96"/>
      <c r="F8" s="5" t="s">
        <v>307</v>
      </c>
      <c r="G8" s="77" t="s">
        <v>308</v>
      </c>
      <c r="H8" s="78" t="s">
        <v>309</v>
      </c>
    </row>
    <row r="9" spans="2:8">
      <c r="B9" s="11" t="s">
        <v>107</v>
      </c>
      <c r="C9" s="12"/>
      <c r="D9" s="7">
        <v>0.46</v>
      </c>
      <c r="E9" s="51">
        <f>D9*$D$3</f>
        <v>759</v>
      </c>
      <c r="F9" s="51">
        <f>E9-SUMPRODUCT(SUMIF($C$21:$C$99,B9,$E$21:$E$99))</f>
        <v>414.90199999999999</v>
      </c>
      <c r="G9" s="79">
        <f>SUMPRODUCT(SUMIF($C$21:$C$99,B9,$E$21:$E$99))</f>
        <v>344.09800000000001</v>
      </c>
      <c r="H9" s="80">
        <f>G9/1650</f>
        <v>0.20854424242424244</v>
      </c>
    </row>
    <row r="10" spans="2:8">
      <c r="B10" s="11" t="s">
        <v>142</v>
      </c>
      <c r="C10" s="12"/>
      <c r="D10" s="7">
        <v>0.15</v>
      </c>
      <c r="E10" s="51">
        <f t="shared" ref="E10:E15" si="0">D10*$D$3</f>
        <v>247.5</v>
      </c>
      <c r="F10" s="51">
        <f>E10-SUMPRODUCT(SUMIF($C$21:$C$99,B10,$E$21:$E$99))</f>
        <v>36.475999999999999</v>
      </c>
      <c r="G10" s="79">
        <f>SUMPRODUCT(SUMIF($C$21:$C$99,B10,$E$21:$E$99))</f>
        <v>211.024</v>
      </c>
      <c r="H10" s="80">
        <f t="shared" ref="H10:H16" si="1">G10/1650</f>
        <v>0.12789333333333333</v>
      </c>
    </row>
    <row r="11" spans="2:8">
      <c r="B11" s="11" t="s">
        <v>117</v>
      </c>
      <c r="C11" s="12"/>
      <c r="D11" s="7">
        <v>0.08</v>
      </c>
      <c r="E11" s="51">
        <f t="shared" si="0"/>
        <v>132</v>
      </c>
      <c r="F11" s="51">
        <f>E11-SUMPRODUCT(SUMIF($C$21:$C$99,B11,$E$21:$E$99))</f>
        <v>-145.64800000000002</v>
      </c>
      <c r="G11" s="79">
        <f>SUMPRODUCT(SUMIF($C$21:$C$99,B11,$E$21:$E$99))</f>
        <v>277.64800000000002</v>
      </c>
      <c r="H11" s="80">
        <f t="shared" si="1"/>
        <v>0.16827151515151517</v>
      </c>
    </row>
    <row r="12" spans="2:8">
      <c r="B12" s="11" t="s">
        <v>133</v>
      </c>
      <c r="C12" s="12"/>
      <c r="D12" s="7">
        <v>7.4999999999999997E-2</v>
      </c>
      <c r="E12" s="51">
        <f t="shared" si="0"/>
        <v>123.75</v>
      </c>
      <c r="F12" s="51">
        <f>E12-SUMPRODUCT(SUMIF($C$21:$C$99,B12,$E$21:$E$99))</f>
        <v>-73.494</v>
      </c>
      <c r="G12" s="79">
        <f>SUMPRODUCT(SUMIF($C$21:$C$99,B12,$E$21:$E$99))</f>
        <v>197.244</v>
      </c>
      <c r="H12" s="80">
        <f t="shared" si="1"/>
        <v>0.11954181818181818</v>
      </c>
    </row>
    <row r="13" spans="2:8">
      <c r="B13" s="11" t="s">
        <v>113</v>
      </c>
      <c r="C13" s="12"/>
      <c r="D13" s="7">
        <v>8.5000000000000006E-2</v>
      </c>
      <c r="E13" s="51">
        <f t="shared" si="0"/>
        <v>140.25</v>
      </c>
      <c r="F13" s="51">
        <f>E13-SUMPRODUCT(SUMIF($C$21:$C$99,B13,$E$21:$E$99))</f>
        <v>39.693999999999988</v>
      </c>
      <c r="G13" s="79">
        <f>SUMPRODUCT(SUMIF($C$21:$C$99,B13,$E$21:$E$99))</f>
        <v>100.55600000000001</v>
      </c>
      <c r="H13" s="80">
        <f t="shared" si="1"/>
        <v>6.0943030303030311E-2</v>
      </c>
    </row>
    <row r="14" spans="2:8">
      <c r="B14" s="11" t="s">
        <v>310</v>
      </c>
      <c r="C14" s="12"/>
      <c r="D14" s="7">
        <v>6.5000000000000002E-2</v>
      </c>
      <c r="E14" s="51">
        <f t="shared" si="0"/>
        <v>107.25</v>
      </c>
      <c r="F14" s="51">
        <f>E14-SUMPRODUCT(SUMIF($C$21:$C$99,B14,$E$21:$E$99))</f>
        <v>107.25</v>
      </c>
      <c r="G14" s="79">
        <f>SUMPRODUCT(SUMIF($C$21:$C$99,B14,$E$21:$E$99))</f>
        <v>0</v>
      </c>
      <c r="H14" s="80">
        <f t="shared" si="1"/>
        <v>0</v>
      </c>
    </row>
    <row r="15" spans="2:8">
      <c r="B15" s="11" t="s">
        <v>130</v>
      </c>
      <c r="C15" s="12"/>
      <c r="D15" s="7">
        <v>8.5000000000000006E-2</v>
      </c>
      <c r="E15" s="51">
        <f t="shared" si="0"/>
        <v>140.25</v>
      </c>
      <c r="F15" s="51">
        <f>E15-SUMPRODUCT(SUMIF($C$21:$C$99,B15,$E$21:$E$99))</f>
        <v>-12.656000000000034</v>
      </c>
      <c r="G15" s="79">
        <f>SUMPRODUCT(SUMIF($C$21:$C$99,B15,$E$21:$E$99))</f>
        <v>152.90600000000003</v>
      </c>
      <c r="H15" s="80">
        <f t="shared" si="1"/>
        <v>9.2670303030303047E-2</v>
      </c>
    </row>
    <row r="16" spans="2:8">
      <c r="B16" s="11" t="s">
        <v>311</v>
      </c>
      <c r="C16" s="12"/>
      <c r="D16" s="8">
        <f>SUM(D9:D15)</f>
        <v>0.99999999999999978</v>
      </c>
      <c r="E16" s="51">
        <f>SUM(E9:E15)</f>
        <v>1650</v>
      </c>
      <c r="F16" s="51">
        <f>SUM(F9:F15)</f>
        <v>366.52399999999989</v>
      </c>
      <c r="G16" s="79">
        <f>SUM(G9:G15)</f>
        <v>1283.4760000000001</v>
      </c>
      <c r="H16" s="80">
        <f t="shared" si="1"/>
        <v>0.77786424242424246</v>
      </c>
    </row>
    <row r="20" spans="1:12">
      <c r="B20" s="16" t="s">
        <v>312</v>
      </c>
      <c r="C20" s="17" t="s">
        <v>97</v>
      </c>
      <c r="D20" s="17" t="s">
        <v>103</v>
      </c>
      <c r="E20" s="18" t="s">
        <v>313</v>
      </c>
    </row>
    <row r="21" spans="1:12">
      <c r="A21">
        <v>1</v>
      </c>
      <c r="B21" t="s">
        <v>112</v>
      </c>
      <c r="C21" s="6" t="s">
        <v>113</v>
      </c>
      <c r="D21" s="10">
        <v>45515</v>
      </c>
      <c r="E21" s="62">
        <v>73.28</v>
      </c>
      <c r="K21" s="9"/>
      <c r="L21" s="9"/>
    </row>
    <row r="22" spans="1:12">
      <c r="A22">
        <v>2</v>
      </c>
      <c r="B22" t="s">
        <v>116</v>
      </c>
      <c r="C22" s="6" t="s">
        <v>117</v>
      </c>
      <c r="D22" s="10">
        <v>45515</v>
      </c>
      <c r="E22" s="62">
        <v>23.08</v>
      </c>
    </row>
    <row r="23" spans="1:12">
      <c r="A23">
        <v>3</v>
      </c>
      <c r="B23" t="s">
        <v>119</v>
      </c>
      <c r="C23" s="6" t="s">
        <v>107</v>
      </c>
      <c r="D23" s="10">
        <v>45515</v>
      </c>
      <c r="E23" s="62">
        <v>1.94</v>
      </c>
    </row>
    <row r="24" spans="1:12">
      <c r="A24">
        <v>4</v>
      </c>
      <c r="B24" t="s">
        <v>121</v>
      </c>
      <c r="C24" s="6" t="s">
        <v>107</v>
      </c>
      <c r="D24" s="10">
        <v>45515</v>
      </c>
      <c r="E24" s="62">
        <v>6.12</v>
      </c>
    </row>
    <row r="25" spans="1:12">
      <c r="A25">
        <v>5</v>
      </c>
      <c r="B25" t="s">
        <v>123</v>
      </c>
      <c r="C25" s="6" t="s">
        <v>107</v>
      </c>
      <c r="D25" s="10">
        <v>45515</v>
      </c>
      <c r="E25" s="62">
        <v>4.08</v>
      </c>
    </row>
    <row r="26" spans="1:12">
      <c r="A26">
        <v>6</v>
      </c>
      <c r="B26" t="s">
        <v>125</v>
      </c>
      <c r="C26" s="6" t="s">
        <v>107</v>
      </c>
      <c r="D26" s="10">
        <v>45515</v>
      </c>
      <c r="E26" s="62">
        <v>7.38</v>
      </c>
    </row>
    <row r="27" spans="1:12">
      <c r="A27">
        <v>7</v>
      </c>
      <c r="B27" t="s">
        <v>127</v>
      </c>
      <c r="C27" s="6" t="s">
        <v>107</v>
      </c>
      <c r="D27" s="10">
        <v>45515</v>
      </c>
      <c r="E27" s="62">
        <v>6.79</v>
      </c>
    </row>
    <row r="28" spans="1:12">
      <c r="A28">
        <v>8</v>
      </c>
      <c r="B28" t="s">
        <v>129</v>
      </c>
      <c r="C28" s="14" t="s">
        <v>130</v>
      </c>
      <c r="D28" s="15">
        <v>45515</v>
      </c>
      <c r="E28" s="63">
        <v>40.799999999999997</v>
      </c>
    </row>
    <row r="29" spans="1:12">
      <c r="A29">
        <v>9</v>
      </c>
      <c r="B29" s="55" t="s">
        <v>132</v>
      </c>
      <c r="C29" s="55" t="s">
        <v>142</v>
      </c>
      <c r="D29" s="57">
        <v>45602</v>
      </c>
      <c r="E29" s="64">
        <v>7</v>
      </c>
    </row>
    <row r="30" spans="1:12">
      <c r="A30">
        <v>10</v>
      </c>
      <c r="B30" s="55" t="s">
        <v>135</v>
      </c>
      <c r="C30" s="55" t="s">
        <v>142</v>
      </c>
      <c r="D30" s="57">
        <v>45602</v>
      </c>
      <c r="E30" s="64">
        <v>2.04</v>
      </c>
    </row>
    <row r="31" spans="1:12">
      <c r="A31">
        <v>11</v>
      </c>
      <c r="B31" s="55" t="s">
        <v>137</v>
      </c>
      <c r="C31" s="55" t="s">
        <v>117</v>
      </c>
      <c r="D31" s="57">
        <v>45633</v>
      </c>
      <c r="E31" s="64">
        <v>12.94</v>
      </c>
    </row>
    <row r="32" spans="1:12">
      <c r="A32">
        <v>12</v>
      </c>
      <c r="B32" s="55" t="s">
        <v>139</v>
      </c>
      <c r="C32" s="55" t="s">
        <v>117</v>
      </c>
      <c r="D32" s="57">
        <v>45633</v>
      </c>
      <c r="E32" s="64">
        <v>14.57</v>
      </c>
    </row>
    <row r="33" spans="1:5">
      <c r="A33">
        <v>13</v>
      </c>
      <c r="B33" s="55" t="s">
        <v>141</v>
      </c>
      <c r="C33" s="55" t="s">
        <v>142</v>
      </c>
      <c r="D33" s="57">
        <v>45633</v>
      </c>
      <c r="E33" s="64">
        <v>0.96</v>
      </c>
    </row>
    <row r="34" spans="1:5">
      <c r="A34">
        <v>14</v>
      </c>
      <c r="B34" s="65" t="s">
        <v>144</v>
      </c>
      <c r="C34" s="65" t="s">
        <v>107</v>
      </c>
      <c r="D34" s="66">
        <v>45633</v>
      </c>
      <c r="E34" s="67">
        <v>14.48</v>
      </c>
    </row>
    <row r="35" spans="1:5">
      <c r="A35">
        <v>15</v>
      </c>
      <c r="B35" s="55" t="s">
        <v>146</v>
      </c>
      <c r="C35" s="55" t="s">
        <v>117</v>
      </c>
      <c r="D35" s="53">
        <v>45688</v>
      </c>
      <c r="E35" s="64">
        <v>6.8</v>
      </c>
    </row>
    <row r="36" spans="1:5">
      <c r="A36">
        <v>16</v>
      </c>
      <c r="B36" s="55" t="s">
        <v>149</v>
      </c>
      <c r="C36" s="55" t="s">
        <v>130</v>
      </c>
      <c r="D36" s="53">
        <v>45688</v>
      </c>
      <c r="E36" s="64">
        <v>11.4</v>
      </c>
    </row>
    <row r="37" spans="1:5">
      <c r="A37">
        <v>17</v>
      </c>
      <c r="B37" s="55" t="s">
        <v>151</v>
      </c>
      <c r="C37" s="55" t="s">
        <v>117</v>
      </c>
      <c r="D37" s="53">
        <v>45688</v>
      </c>
      <c r="E37" s="67">
        <v>2.7000000000000006</v>
      </c>
    </row>
    <row r="38" spans="1:5">
      <c r="A38">
        <v>18</v>
      </c>
      <c r="B38" s="65" t="s">
        <v>144</v>
      </c>
      <c r="C38" s="76" t="s">
        <v>107</v>
      </c>
      <c r="D38" s="57">
        <v>45688</v>
      </c>
      <c r="E38" s="64">
        <v>102.46</v>
      </c>
    </row>
    <row r="39" spans="1:5">
      <c r="A39">
        <v>19</v>
      </c>
      <c r="B39" s="55" t="s">
        <v>155</v>
      </c>
      <c r="C39" s="55" t="s">
        <v>133</v>
      </c>
      <c r="D39" s="74">
        <v>45688</v>
      </c>
      <c r="E39" s="58">
        <v>7.9499999999999993</v>
      </c>
    </row>
    <row r="40" spans="1:5">
      <c r="A40">
        <v>20</v>
      </c>
      <c r="B40" s="55" t="s">
        <v>157</v>
      </c>
      <c r="C40" s="55" t="s">
        <v>133</v>
      </c>
      <c r="D40" s="57">
        <v>45688</v>
      </c>
      <c r="E40" s="58">
        <v>16.75</v>
      </c>
    </row>
    <row r="41" spans="1:5">
      <c r="A41">
        <v>21</v>
      </c>
      <c r="B41" s="55" t="s">
        <v>159</v>
      </c>
      <c r="C41" s="55" t="s">
        <v>133</v>
      </c>
      <c r="D41" s="57">
        <v>45688</v>
      </c>
      <c r="E41" s="58">
        <v>5.5000000000000009</v>
      </c>
    </row>
    <row r="42" spans="1:5">
      <c r="A42">
        <v>22</v>
      </c>
      <c r="B42" s="55" t="s">
        <v>161</v>
      </c>
      <c r="C42" s="55" t="s">
        <v>133</v>
      </c>
      <c r="D42" s="57">
        <v>45688</v>
      </c>
      <c r="E42" s="58">
        <v>4.5</v>
      </c>
    </row>
    <row r="43" spans="1:5">
      <c r="A43">
        <v>23</v>
      </c>
      <c r="B43" s="55" t="s">
        <v>163</v>
      </c>
      <c r="C43" s="55" t="s">
        <v>133</v>
      </c>
      <c r="D43" s="57">
        <v>45688</v>
      </c>
      <c r="E43" s="58">
        <v>3.3</v>
      </c>
    </row>
    <row r="44" spans="1:5">
      <c r="A44">
        <v>24</v>
      </c>
      <c r="B44" s="55" t="s">
        <v>165</v>
      </c>
      <c r="C44" s="55" t="s">
        <v>133</v>
      </c>
      <c r="D44" s="57">
        <v>45688</v>
      </c>
      <c r="E44" s="58">
        <v>3.7</v>
      </c>
    </row>
    <row r="45" spans="1:5">
      <c r="A45">
        <v>25</v>
      </c>
      <c r="B45" s="55" t="s">
        <v>167</v>
      </c>
      <c r="C45" s="55" t="s">
        <v>133</v>
      </c>
      <c r="D45" s="57">
        <v>45688</v>
      </c>
      <c r="E45" s="58">
        <v>36.75</v>
      </c>
    </row>
    <row r="46" spans="1:5">
      <c r="A46">
        <v>26</v>
      </c>
      <c r="B46" s="55" t="s">
        <v>169</v>
      </c>
      <c r="C46" s="55" t="s">
        <v>133</v>
      </c>
      <c r="D46" s="57">
        <v>45688</v>
      </c>
      <c r="E46" s="58">
        <v>6.371999999999999</v>
      </c>
    </row>
    <row r="47" spans="1:5">
      <c r="A47">
        <v>27</v>
      </c>
      <c r="B47" s="55" t="s">
        <v>171</v>
      </c>
      <c r="C47" s="55" t="s">
        <v>142</v>
      </c>
      <c r="D47" s="57">
        <v>45699</v>
      </c>
      <c r="E47" s="64">
        <v>5.1840000000000002</v>
      </c>
    </row>
    <row r="48" spans="1:5">
      <c r="A48">
        <v>28</v>
      </c>
      <c r="B48" s="73" t="s">
        <v>174</v>
      </c>
      <c r="C48" s="73" t="s">
        <v>142</v>
      </c>
      <c r="D48" s="74">
        <v>45699</v>
      </c>
      <c r="E48" s="75">
        <v>9.6</v>
      </c>
    </row>
    <row r="49" spans="1:5">
      <c r="A49">
        <v>29</v>
      </c>
      <c r="B49" s="55" t="s">
        <v>176</v>
      </c>
      <c r="C49" s="55" t="s">
        <v>142</v>
      </c>
      <c r="D49" s="57">
        <v>45699</v>
      </c>
      <c r="E49" s="64">
        <v>20.004000000000001</v>
      </c>
    </row>
    <row r="50" spans="1:5">
      <c r="A50">
        <v>30</v>
      </c>
      <c r="B50" s="55" t="s">
        <v>178</v>
      </c>
      <c r="C50" s="55" t="s">
        <v>133</v>
      </c>
      <c r="D50" s="57">
        <v>45699</v>
      </c>
      <c r="E50" s="64">
        <v>11.88</v>
      </c>
    </row>
    <row r="51" spans="1:5">
      <c r="A51">
        <v>31</v>
      </c>
      <c r="B51" s="55" t="s">
        <v>180</v>
      </c>
      <c r="C51" s="55" t="s">
        <v>142</v>
      </c>
      <c r="D51" s="57">
        <v>45699</v>
      </c>
      <c r="E51" s="64">
        <v>26.135999999999999</v>
      </c>
    </row>
    <row r="52" spans="1:5">
      <c r="A52">
        <v>32</v>
      </c>
      <c r="B52" s="55" t="s">
        <v>182</v>
      </c>
      <c r="C52" s="55" t="s">
        <v>130</v>
      </c>
      <c r="D52" s="57">
        <v>45699</v>
      </c>
      <c r="E52" s="64">
        <v>15.349999999999998</v>
      </c>
    </row>
    <row r="53" spans="1:5">
      <c r="A53">
        <v>33</v>
      </c>
      <c r="B53" s="55" t="s">
        <v>184</v>
      </c>
      <c r="C53" s="55" t="s">
        <v>130</v>
      </c>
      <c r="D53" s="57">
        <v>45699</v>
      </c>
      <c r="E53" s="64">
        <v>10.64</v>
      </c>
    </row>
    <row r="54" spans="1:5">
      <c r="A54">
        <v>34</v>
      </c>
      <c r="B54" s="55" t="s">
        <v>186</v>
      </c>
      <c r="C54" s="55" t="s">
        <v>130</v>
      </c>
      <c r="D54" s="57">
        <v>45699</v>
      </c>
      <c r="E54" s="64">
        <v>5.04</v>
      </c>
    </row>
    <row r="55" spans="1:5">
      <c r="A55">
        <v>35</v>
      </c>
      <c r="B55" s="55" t="s">
        <v>188</v>
      </c>
      <c r="C55" s="55" t="s">
        <v>130</v>
      </c>
      <c r="D55" s="57">
        <v>45699</v>
      </c>
      <c r="E55" s="64">
        <v>3.516</v>
      </c>
    </row>
    <row r="56" spans="1:5">
      <c r="A56">
        <v>36</v>
      </c>
      <c r="B56" s="55" t="s">
        <v>190</v>
      </c>
      <c r="C56" s="55" t="s">
        <v>130</v>
      </c>
      <c r="D56" s="57">
        <v>45699</v>
      </c>
      <c r="E56" s="64">
        <v>12.96</v>
      </c>
    </row>
    <row r="57" spans="1:5">
      <c r="A57">
        <v>37</v>
      </c>
      <c r="B57" s="55" t="s">
        <v>192</v>
      </c>
      <c r="C57" s="55" t="s">
        <v>130</v>
      </c>
      <c r="D57" s="57">
        <v>45699</v>
      </c>
      <c r="E57" s="64">
        <v>1.1160000000000001</v>
      </c>
    </row>
    <row r="58" spans="1:5">
      <c r="A58">
        <v>38</v>
      </c>
      <c r="B58" s="55" t="s">
        <v>194</v>
      </c>
      <c r="C58" s="55" t="s">
        <v>130</v>
      </c>
      <c r="D58" s="57">
        <v>45699</v>
      </c>
      <c r="E58" s="64">
        <v>2.5799999999999996</v>
      </c>
    </row>
    <row r="59" spans="1:5">
      <c r="A59">
        <v>39</v>
      </c>
      <c r="B59" s="55" t="s">
        <v>196</v>
      </c>
      <c r="C59" s="55" t="s">
        <v>142</v>
      </c>
      <c r="D59" s="57">
        <v>45699</v>
      </c>
      <c r="E59" s="64">
        <v>26</v>
      </c>
    </row>
    <row r="60" spans="1:5">
      <c r="A60">
        <v>40</v>
      </c>
      <c r="B60" t="s">
        <v>199</v>
      </c>
      <c r="C60" t="s">
        <v>133</v>
      </c>
      <c r="D60" s="10">
        <v>45709</v>
      </c>
      <c r="E60" s="62">
        <v>7.6319999999999997</v>
      </c>
    </row>
    <row r="61" spans="1:5">
      <c r="A61">
        <v>41</v>
      </c>
      <c r="B61" t="s">
        <v>201</v>
      </c>
      <c r="C61" t="s">
        <v>133</v>
      </c>
      <c r="D61" s="10">
        <v>45709</v>
      </c>
      <c r="E61" s="62">
        <v>6.9719999999999995</v>
      </c>
    </row>
    <row r="62" spans="1:5">
      <c r="A62">
        <v>42</v>
      </c>
      <c r="B62" t="s">
        <v>203</v>
      </c>
      <c r="C62" t="s">
        <v>113</v>
      </c>
      <c r="D62" s="10">
        <v>45709</v>
      </c>
      <c r="E62" s="62">
        <v>4.8479999999999999</v>
      </c>
    </row>
    <row r="63" spans="1:5">
      <c r="A63">
        <v>43</v>
      </c>
      <c r="B63" t="s">
        <v>205</v>
      </c>
      <c r="C63" t="s">
        <v>133</v>
      </c>
      <c r="D63" s="10">
        <v>45709</v>
      </c>
      <c r="E63" s="62">
        <v>26.99</v>
      </c>
    </row>
    <row r="64" spans="1:5">
      <c r="A64">
        <v>44</v>
      </c>
      <c r="B64" t="s">
        <v>208</v>
      </c>
      <c r="C64" t="s">
        <v>117</v>
      </c>
      <c r="D64" s="10">
        <v>45709</v>
      </c>
      <c r="E64" s="62">
        <v>15.21</v>
      </c>
    </row>
    <row r="65" spans="1:5">
      <c r="A65">
        <v>45</v>
      </c>
      <c r="B65" t="s">
        <v>210</v>
      </c>
      <c r="C65" t="s">
        <v>117</v>
      </c>
      <c r="D65" s="10">
        <v>45709</v>
      </c>
      <c r="E65" s="62">
        <v>13.74</v>
      </c>
    </row>
    <row r="66" spans="1:5">
      <c r="A66">
        <v>46</v>
      </c>
      <c r="B66" t="s">
        <v>213</v>
      </c>
      <c r="C66" t="s">
        <v>142</v>
      </c>
      <c r="D66" s="10">
        <v>45709</v>
      </c>
      <c r="E66" s="62">
        <v>4.08</v>
      </c>
    </row>
    <row r="67" spans="1:5">
      <c r="A67">
        <v>47</v>
      </c>
      <c r="B67" t="s">
        <v>139</v>
      </c>
      <c r="C67" t="s">
        <v>117</v>
      </c>
      <c r="D67" s="10">
        <v>45709</v>
      </c>
      <c r="E67" s="62">
        <v>19.7</v>
      </c>
    </row>
    <row r="68" spans="1:5">
      <c r="A68">
        <v>48</v>
      </c>
      <c r="B68" s="55" t="s">
        <v>216</v>
      </c>
      <c r="C68" s="55" t="s">
        <v>113</v>
      </c>
      <c r="D68" s="56">
        <v>45720</v>
      </c>
      <c r="E68" s="64">
        <v>12.9</v>
      </c>
    </row>
    <row r="69" spans="1:5">
      <c r="A69">
        <v>49</v>
      </c>
      <c r="B69" s="55" t="s">
        <v>219</v>
      </c>
      <c r="C69" s="55" t="s">
        <v>130</v>
      </c>
      <c r="D69" s="56">
        <v>45720</v>
      </c>
      <c r="E69" s="64">
        <v>6.54</v>
      </c>
    </row>
    <row r="70" spans="1:5">
      <c r="A70">
        <v>50</v>
      </c>
      <c r="B70" s="68" t="s">
        <v>221</v>
      </c>
      <c r="C70" s="69" t="s">
        <v>130</v>
      </c>
      <c r="D70" s="70">
        <v>45720</v>
      </c>
      <c r="E70" s="71">
        <v>5.508</v>
      </c>
    </row>
    <row r="71" spans="1:5">
      <c r="A71">
        <v>51</v>
      </c>
      <c r="B71" s="12" t="s">
        <v>223</v>
      </c>
      <c r="C71" s="6" t="s">
        <v>130</v>
      </c>
      <c r="D71" s="10">
        <v>45720</v>
      </c>
      <c r="E71" s="62">
        <v>11.339999999999998</v>
      </c>
    </row>
    <row r="72" spans="1:5">
      <c r="A72">
        <v>52</v>
      </c>
      <c r="B72" s="12" t="s">
        <v>225</v>
      </c>
      <c r="C72" s="6" t="s">
        <v>130</v>
      </c>
      <c r="D72" s="10">
        <v>45720</v>
      </c>
      <c r="E72" s="62">
        <v>2.3879999999999999</v>
      </c>
    </row>
    <row r="73" spans="1:5">
      <c r="A73">
        <v>53</v>
      </c>
      <c r="B73" s="83" t="s">
        <v>227</v>
      </c>
      <c r="C73" t="s">
        <v>133</v>
      </c>
      <c r="D73" s="10">
        <v>45726</v>
      </c>
      <c r="E73" s="62">
        <v>3.5999999999999996</v>
      </c>
    </row>
    <row r="74" spans="1:5">
      <c r="A74">
        <v>54</v>
      </c>
      <c r="B74" s="81" t="s">
        <v>229</v>
      </c>
      <c r="C74" t="s">
        <v>130</v>
      </c>
      <c r="D74" s="10">
        <v>45726</v>
      </c>
      <c r="E74" s="62">
        <v>2.5559999999999996</v>
      </c>
    </row>
    <row r="75" spans="1:5">
      <c r="A75">
        <v>55</v>
      </c>
      <c r="B75" s="12" t="s">
        <v>231</v>
      </c>
      <c r="C75" s="6" t="s">
        <v>117</v>
      </c>
      <c r="D75" s="10">
        <v>45733</v>
      </c>
      <c r="E75" s="62">
        <v>14.44</v>
      </c>
    </row>
    <row r="76" spans="1:5">
      <c r="A76">
        <v>56</v>
      </c>
      <c r="B76" s="12" t="s">
        <v>234</v>
      </c>
      <c r="C76" s="6" t="s">
        <v>130</v>
      </c>
      <c r="D76" s="10">
        <v>45733</v>
      </c>
      <c r="E76" s="62">
        <v>4.9000000000000004</v>
      </c>
    </row>
    <row r="77" spans="1:5">
      <c r="A77">
        <v>57</v>
      </c>
      <c r="B77" s="12" t="s">
        <v>236</v>
      </c>
      <c r="C77" s="6" t="s">
        <v>117</v>
      </c>
      <c r="D77" s="10">
        <v>45733</v>
      </c>
      <c r="E77" s="62">
        <v>5.9</v>
      </c>
    </row>
    <row r="78" spans="1:5">
      <c r="A78">
        <v>58</v>
      </c>
      <c r="B78" s="12" t="s">
        <v>238</v>
      </c>
      <c r="C78" s="6" t="s">
        <v>117</v>
      </c>
      <c r="D78" s="10">
        <v>45733</v>
      </c>
      <c r="E78" s="62">
        <v>2.9</v>
      </c>
    </row>
    <row r="79" spans="1:5">
      <c r="A79">
        <v>59</v>
      </c>
      <c r="B79" s="12" t="s">
        <v>240</v>
      </c>
      <c r="C79" s="6" t="s">
        <v>133</v>
      </c>
      <c r="D79" s="10">
        <v>45733</v>
      </c>
      <c r="E79" s="62">
        <v>21.12</v>
      </c>
    </row>
    <row r="80" spans="1:5">
      <c r="A80">
        <v>60</v>
      </c>
      <c r="B80" s="12" t="s">
        <v>242</v>
      </c>
      <c r="C80" s="6" t="s">
        <v>107</v>
      </c>
      <c r="D80" s="10">
        <v>45733</v>
      </c>
      <c r="E80" s="62">
        <v>86.831999999999994</v>
      </c>
    </row>
    <row r="81" spans="1:5">
      <c r="A81">
        <v>61</v>
      </c>
      <c r="B81" s="12" t="s">
        <v>244</v>
      </c>
      <c r="C81" s="6" t="s">
        <v>107</v>
      </c>
      <c r="D81" s="10">
        <v>45733</v>
      </c>
      <c r="E81" s="62">
        <v>39.575999999999993</v>
      </c>
    </row>
    <row r="82" spans="1:5">
      <c r="A82">
        <v>62</v>
      </c>
      <c r="B82" s="12" t="s">
        <v>246</v>
      </c>
      <c r="C82" s="6" t="s">
        <v>107</v>
      </c>
      <c r="D82" s="10">
        <v>45744</v>
      </c>
      <c r="E82" s="62">
        <v>14.28</v>
      </c>
    </row>
    <row r="83" spans="1:5">
      <c r="A83">
        <v>63</v>
      </c>
      <c r="B83" s="12" t="s">
        <v>249</v>
      </c>
      <c r="C83" s="6" t="s">
        <v>113</v>
      </c>
      <c r="D83" s="10">
        <v>45744</v>
      </c>
      <c r="E83" s="62">
        <v>9.5280000000000005</v>
      </c>
    </row>
    <row r="84" spans="1:5">
      <c r="A84">
        <v>64</v>
      </c>
      <c r="B84" s="12" t="s">
        <v>251</v>
      </c>
      <c r="C84" s="6" t="s">
        <v>117</v>
      </c>
      <c r="D84" s="10">
        <v>45744</v>
      </c>
      <c r="E84" s="62">
        <v>32.256</v>
      </c>
    </row>
    <row r="85" spans="1:5">
      <c r="A85">
        <v>65</v>
      </c>
      <c r="B85" s="12" t="s">
        <v>253</v>
      </c>
      <c r="C85" s="6" t="s">
        <v>117</v>
      </c>
      <c r="D85" s="10">
        <v>45744</v>
      </c>
      <c r="E85" s="62">
        <v>23.616</v>
      </c>
    </row>
    <row r="86" spans="1:5">
      <c r="A86">
        <v>66</v>
      </c>
      <c r="B86" s="84" t="s">
        <v>255</v>
      </c>
      <c r="C86" s="14" t="s">
        <v>117</v>
      </c>
      <c r="D86" s="15">
        <v>45744</v>
      </c>
      <c r="E86" s="63">
        <v>30.12</v>
      </c>
    </row>
    <row r="87" spans="1:5">
      <c r="A87">
        <v>67</v>
      </c>
      <c r="B87" s="12" t="s">
        <v>257</v>
      </c>
      <c r="C87" s="6" t="s">
        <v>133</v>
      </c>
      <c r="D87" s="10" t="s">
        <v>314</v>
      </c>
      <c r="E87" s="62">
        <v>11.327999999999999</v>
      </c>
    </row>
    <row r="88" spans="1:5">
      <c r="A88">
        <v>68</v>
      </c>
      <c r="B88" s="12" t="s">
        <v>260</v>
      </c>
      <c r="C88" s="6" t="s">
        <v>117</v>
      </c>
      <c r="D88" s="10" t="s">
        <v>314</v>
      </c>
      <c r="E88" s="62">
        <v>3.3359999999999999</v>
      </c>
    </row>
    <row r="89" spans="1:5">
      <c r="A89">
        <v>69</v>
      </c>
      <c r="B89" s="12" t="s">
        <v>262</v>
      </c>
      <c r="C89" s="6" t="s">
        <v>107</v>
      </c>
      <c r="D89" s="10" t="s">
        <v>314</v>
      </c>
      <c r="E89" s="62">
        <v>22.18</v>
      </c>
    </row>
    <row r="90" spans="1:5">
      <c r="A90">
        <v>70</v>
      </c>
      <c r="B90" s="12" t="s">
        <v>265</v>
      </c>
      <c r="C90" s="6" t="s">
        <v>107</v>
      </c>
      <c r="D90" s="10" t="s">
        <v>314</v>
      </c>
      <c r="E90" s="62">
        <v>37.979999999999997</v>
      </c>
    </row>
    <row r="91" spans="1:5">
      <c r="A91">
        <v>71</v>
      </c>
      <c r="B91" s="12" t="s">
        <v>267</v>
      </c>
      <c r="C91" s="6" t="s">
        <v>117</v>
      </c>
      <c r="D91" s="10" t="s">
        <v>314</v>
      </c>
      <c r="E91" s="62">
        <v>4.8</v>
      </c>
    </row>
    <row r="92" spans="1:5">
      <c r="A92">
        <v>72</v>
      </c>
      <c r="B92" s="12" t="s">
        <v>269</v>
      </c>
      <c r="C92" s="6" t="s">
        <v>117</v>
      </c>
      <c r="D92" s="10" t="s">
        <v>314</v>
      </c>
      <c r="E92" s="62">
        <v>6.5900000000000007</v>
      </c>
    </row>
    <row r="93" spans="1:5">
      <c r="A93">
        <v>73</v>
      </c>
      <c r="B93" s="12" t="s">
        <v>271</v>
      </c>
      <c r="C93" s="6" t="s">
        <v>142</v>
      </c>
      <c r="D93" s="10" t="s">
        <v>314</v>
      </c>
      <c r="E93" s="62">
        <v>3.01</v>
      </c>
    </row>
    <row r="94" spans="1:5">
      <c r="A94">
        <v>74</v>
      </c>
      <c r="B94" s="12" t="s">
        <v>273</v>
      </c>
      <c r="C94" s="6" t="s">
        <v>142</v>
      </c>
      <c r="D94" s="10">
        <v>45775</v>
      </c>
      <c r="E94" s="62">
        <v>90.54</v>
      </c>
    </row>
    <row r="95" spans="1:5">
      <c r="A95">
        <v>75</v>
      </c>
      <c r="B95" s="84" t="s">
        <v>277</v>
      </c>
      <c r="C95" s="14" t="s">
        <v>133</v>
      </c>
      <c r="D95" s="15">
        <v>45783</v>
      </c>
      <c r="E95" s="63">
        <v>22.9</v>
      </c>
    </row>
    <row r="96" spans="1:5">
      <c r="A96">
        <v>76</v>
      </c>
      <c r="B96" s="12" t="s">
        <v>279</v>
      </c>
      <c r="C96" s="6" t="s">
        <v>130</v>
      </c>
      <c r="D96" s="10">
        <v>45792</v>
      </c>
      <c r="E96" s="62">
        <v>7.1999999999999993</v>
      </c>
    </row>
    <row r="97" spans="1:5">
      <c r="A97">
        <v>77</v>
      </c>
      <c r="B97" s="12" t="s">
        <v>281</v>
      </c>
      <c r="C97" s="6" t="s">
        <v>130</v>
      </c>
      <c r="D97" s="10">
        <v>45792</v>
      </c>
      <c r="E97" s="62">
        <v>9.0719999999999992</v>
      </c>
    </row>
    <row r="98" spans="1:5">
      <c r="A98">
        <v>78</v>
      </c>
      <c r="B98" s="12" t="s">
        <v>283</v>
      </c>
      <c r="C98" s="6" t="s">
        <v>142</v>
      </c>
      <c r="D98" s="10">
        <v>45792</v>
      </c>
      <c r="E98" s="62">
        <v>16.47</v>
      </c>
    </row>
    <row r="99" spans="1:5">
      <c r="A99">
        <v>79</v>
      </c>
      <c r="B99" s="84" t="s">
        <v>286</v>
      </c>
      <c r="C99" s="14" t="s">
        <v>117</v>
      </c>
      <c r="D99" s="15">
        <v>45797</v>
      </c>
      <c r="E99" s="63">
        <v>44.95</v>
      </c>
    </row>
  </sheetData>
  <mergeCells count="2">
    <mergeCell ref="D8:E8"/>
    <mergeCell ref="B8:C8"/>
  </mergeCells>
  <dataValidations count="1">
    <dataValidation type="list" allowBlank="1" showInputMessage="1" showErrorMessage="1" sqref="C21:C29 C31:C66" xr:uid="{4C7C9316-3823-8E4E-8058-0530765F9821}">
      <formula1>$B$9:$B$15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82BC1-F10F-4D77-9A79-4C7461BDB82D}"/>
</file>

<file path=customXml/itemProps2.xml><?xml version="1.0" encoding="utf-8"?>
<ds:datastoreItem xmlns:ds="http://schemas.openxmlformats.org/officeDocument/2006/customXml" ds:itemID="{0F4B6D8B-9A2C-4969-8F8C-98EDC429EC85}"/>
</file>

<file path=customXml/itemProps3.xml><?xml version="1.0" encoding="utf-8"?>
<ds:datastoreItem xmlns:ds="http://schemas.openxmlformats.org/officeDocument/2006/customXml" ds:itemID="{5D00E68E-ABB9-48E3-885B-E4C9FC09DB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Bin Suratman</dc:creator>
  <cp:keywords/>
  <dc:description/>
  <cp:lastModifiedBy>Muhammad Bin Suratman</cp:lastModifiedBy>
  <cp:revision/>
  <dcterms:created xsi:type="dcterms:W3CDTF">2024-10-28T00:03:20Z</dcterms:created>
  <dcterms:modified xsi:type="dcterms:W3CDTF">2025-06-05T15:32:34Z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