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A13/February 2022/"/>
    </mc:Choice>
  </mc:AlternateContent>
  <xr:revisionPtr revIDLastSave="0" documentId="13_ncr:1_{98AC5A92-1414-C449-BFA8-51FC22DB357E}"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0" windowWidth="38400" windowHeight="216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M385" i="1" l="1"/>
  <c r="S112" i="7" s="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P39" i="7" l="1"/>
  <c r="AD82" i="7"/>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<sst xmlns="http://schemas.openxmlformats.org/spreadsheetml/2006/main" count="2295" uniqueCount="823">
  <si>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</si>
  <si>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</si>
  <si>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</si>
  <si>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</si>
  <si>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</si>
  <si>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</si>
  <si>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</si>
  <si>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</si>
  <si>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</si>
  <si>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</si>
  <si>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</si>
  <si>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</si>
  <si>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</si>
  <si>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</si>
  <si>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</si>
  <si>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</si>
  <si>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</si>
  <si>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</si>
  <si>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</si>
  <si>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</si>
  <si>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</si>
  <si>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</si>
  <si>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</si>
  <si>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</si>
  <si>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</si>
  <si>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</si>
  <si>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</si>
  <si>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</si>
  <si>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</si>
  <si>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</si>
  <si>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</si>
  <si>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</si>
  <si>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</si>
  <si>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</si>
  <si>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</si>
  <si>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</si>
  <si>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</si>
  <si>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</si>
  <si>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</si>
  <si>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</si>
  <si>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</si>
  <si>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</si>
  <si>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</si>
  <si>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</si>
  <si>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</si>
  <si>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</si>
  <si>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</si>
  <si>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</si>
  <si>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</si>
  <si>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</si>
  <si>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</si>
  <si>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</si>
  <si>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</si>
  <si>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</si>
  <si>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</si>
  <si>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</si>
  <si>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</si>
  <si>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</si>
  <si>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</si>
  <si>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</si>
  <si>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</si>
  <si>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</si>
  <si>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</si>
  <si>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</si>
  <si>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</si>
  <si>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</si>
  <si>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</si>
  <si>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</si>
  <si>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</si>
  <si>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</si>
  <si>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</si>
  <si>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</si>
  <si>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</si>
  <si>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</si>
  <si>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</si>
  <si>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</si>
  <si>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</si>
  <si>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</si>
  <si>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</si>
  <si>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</si>
  <si>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</si>
  <si>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</si>
  <si>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</si>
  <si>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</si>
  <si>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</si>
  <si>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</si>
  <si>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</si>
  <si>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</si>
  <si>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</si>
  <si>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</si>
  <si>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</si>
  <si>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</si>
  <si>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</si>
  <si>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</si>
  <si>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</si>
  <si>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</si>
  <si>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</si>
  <si>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</si>
  <si>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</si>
  <si>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</si>
  <si>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</si>
  <si>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</si>
  <si>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</si>
  <si>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</si>
  <si>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</si>
  <si>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</si>
  <si>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</si>
  <si>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</si>
  <si>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</si>
  <si>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</si>
  <si>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</si>
  <si>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</si>
  <si>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</si>
  <si>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</si>
  <si>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</si>
  <si>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</si>
  <si>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</si>
  <si>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</si>
  <si>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</si>
  <si>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</si>
  <si>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</si>
  <si>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</si>
  <si>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</si>
  <si>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</si>
  <si>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</si>
  <si>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</si>
  <si>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</si>
  <si>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</si>
  <si>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</si>
  <si>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</si>
  <si>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</si>
  <si>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</si>
  <si>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</si>
  <si>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</si>
  <si>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</si>
  <si>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</si>
  <si>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</si>
  <si>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</si>
  <si>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</si>
  <si>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</si>
  <si>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</si>
  <si>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</si>
  <si>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</si>
  <si>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</si>
  <si>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</si>
  <si>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</si>
  <si>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</si>
  <si>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</si>
  <si>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</si>
  <si>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</si>
  <si>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</si>
  <si>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</si>
  <si>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</si>
  <si>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</si>
  <si>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</si>
  <si>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</si>
  <si>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</si>
  <si>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</si>
  <si>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</si>
  <si>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</si>
  <si>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</si>
  <si>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</si>
  <si>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</si>
  <si>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</si>
  <si>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</si>
  <si>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</si>
  <si>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</si>
  <si>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</si>
  <si>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</si>
  <si>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</si>
  <si>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</si>
  <si>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</si>
  <si>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</si>
  <si>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</si>
  <si>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</si>
  <si>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</si>
  <si>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</si>
  <si>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</si>
  <si>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</si>
  <si>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</si>
  <si>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</si>
  <si>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</si>
  <si>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</si>
  <si>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</si>
  <si>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</si>
  <si>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</si>
  <si>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</si>
  <si>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</si>
  <si>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</si>
  <si>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</si>
  <si>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</si>
  <si>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</si>
  <si>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</si>
  <si>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</si>
  <si>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</si>
  <si>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</si>
  <si>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</si>
  <si>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</si>
  <si>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</si>
  <si>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</si>
  <si>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</si>
  <si>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</si>
  <si>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</si>
  <si>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</si>
  <si>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</si>
  <si>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</si>
  <si>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</si>
  <si>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</si>
  <si>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</si>
  <si>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</si>
  <si>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</si>
  <si>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</si>
  <si>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</si>
  <si>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</si>
  <si>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</si>
  <si>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</si>
  <si>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</si>
  <si>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</si>
  <si>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</si>
  <si>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</si>
  <si>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</si>
  <si>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</si>
  <si>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</si>
  <si>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</si>
  <si>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</si>
  <si>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</si>
  <si>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</si>
  <si>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</si>
  <si>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</si>
  <si>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</si>
  <si>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</si>
  <si>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</si>
  <si>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</si>
  <si>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</si>
  <si>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</si>
  <si>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</si>
  <si>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</si>
  <si>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</si>
  <si>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</si>
  <si>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</si>
  <si>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</si>
  <si>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</si>
  <si>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</si>
  <si>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</si>
  <si>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</si>
  <si>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</si>
  <si>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</si>
  <si>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</si>
  <si>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</si>
  <si>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</si>
  <si>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</si>
  <si>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</si>
  <si>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</si>
  <si>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</si>
  <si>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</si>
  <si>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</si>
  <si>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</si>
  <si>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</si>
  <si>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</si>
  <si>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</si>
  <si>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</si>
  <si>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</si>
  <si>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</si>
  <si>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</si>
  <si>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</si>
  <si>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</si>
  <si>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</si>
  <si>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</si>
  <si>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</si>
  <si>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</si>
  <si>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</si>
  <si>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</si>
  <si>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</si>
  <si>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</si>
  <si>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</si>
  <si>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</si>
  <si>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</si>
  <si>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</si>
  <si>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</si>
  <si>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</si>
  <si>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</si>
  <si>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</si>
  <si>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</si>
  <si>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</si>
  <si>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</si>
  <si>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</si>
  <si>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</si>
  <si>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</si>
  <si>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</si>
  <si>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</si>
  <si>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</si>
  <si>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</si>
  <si>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</si>
  <si>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</si>
  <si>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</si>
  <si>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</si>
  <si>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</si>
  <si>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</si>
  <si>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</si>
  <si>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</si>
  <si>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</si>
  <si>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</si>
  <si>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</si>
  <si>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</si>
  <si>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</si>
  <si>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</si>
  <si>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</si>
  <si>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</si>
  <si>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</si>
  <si>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</si>
  <si>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</si>
  <si>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</si>
  <si>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</si>
  <si>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</si>
  <si>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</si>
  <si>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</si>
  <si>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</si>
  <si>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</si>
  <si>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</si>
  <si>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</si>
  <si>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</si>
  <si>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</si>
  <si>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</si>
  <si>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</si>
  <si>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</si>
  <si>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</si>
  <si>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</si>
  <si>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</si>
  <si>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</si>
  <si>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</si>
  <si>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</si>
  <si>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</si>
  <si>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</si>
  <si>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</si>
  <si>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</si>
  <si>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</si>
  <si>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</si>
  <si>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</si>
  <si>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</si>
  <si>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</si>
  <si>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</si>
  <si>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</si>
  <si>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</si>
  <si>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</si>
  <si>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</si>
  <si>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</si>
  <si>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</si>
  <si>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</si>
  <si>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</si>
  <si>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</si>
  <si>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</si>
  <si>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</si>
  <si>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</si>
  <si>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</si>
  <si>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</si>
  <si>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</si>
  <si>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</si>
  <si>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</si>
  <si>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</si>
  <si>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</si>
  <si>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</si>
  <si>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</si>
  <si>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</si>
  <si>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</si>
  <si>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</si>
  <si>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</si>
  <si>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</si>
  <si>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</si>
  <si>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</si>
  <si>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</si>
  <si>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</si>
  <si>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</si>
  <si>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</si>
  <si>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</si>
  <si>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</si>
  <si>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</si>
  <si>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</si>
  <si>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</si>
  <si>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</si>
  <si>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</si>
  <si>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</si>
  <si>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</si>
  <si>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</si>
  <si>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</si>
  <si>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</si>
  <si>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</si>
  <si>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</si>
  <si>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</si>
  <si>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</si>
  <si>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</si>
  <si>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</si>
  <si>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</si>
  <si>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</si>
  <si>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</si>
  <si>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</si>
  <si>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</si>
  <si>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</si>
  <si>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</si>
  <si>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</si>
  <si>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</si>
  <si>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</si>
  <si>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</si>
  <si>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</si>
  <si>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</si>
  <si>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</si>
  <si>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</si>
  <si>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</si>
  <si>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</si>
  <si>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</si>
  <si>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</si>
  <si>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</si>
  <si>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</si>
  <si>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</si>
  <si>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</si>
  <si>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</si>
  <si>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</si>
  <si>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</si>
  <si>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</si>
  <si>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</si>
  <si>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</si>
  <si>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</si>
  <si>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</si>
  <si>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</si>
  <si>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</si>
  <si>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</si>
  <si>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</si>
  <si>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</si>
  <si>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</si>
  <si>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</si>
  <si>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</si>
  <si>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</si>
  <si>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</si>
  <si>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</si>
  <si>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</si>
  <si>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</si>
  <si>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</si>
  <si>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</si>
  <si>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</si>
  <si>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</si>
  <si>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</si>
  <si>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</si>
  <si>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</si>
  <si>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</si>
  <si>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</si>
  <si>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</si>
  <si>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</si>
  <si>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</si>
  <si>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</si>
  <si>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</si>
  <si>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</si>
  <si>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</si>
  <si>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</si>
  <si>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</si>
  <si>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</si>
  <si>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</si>
  <si>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</si>
  <si>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</si>
  <si>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</si>
  <si>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</si>
  <si>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</si>
  <si>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</si>
  <si>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</si>
  <si>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</si>
  <si>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</si>
  <si>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</si>
  <si>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</si>
  <si>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</si>
  <si>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</si>
  <si>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</si>
  <si>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</si>
  <si>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</si>
  <si>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</si>
  <si>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</si>
  <si>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</si>
  <si>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</si>
  <si>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</si>
  <si>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</si>
  <si>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</si>
  <si>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</si>
  <si>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</si>
  <si>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</si>
  <si>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</si>
  <si>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</si>
  <si>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</si>
  <si>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</si>
  <si>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</si>
  <si>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</si>
  <si>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</si>
  <si>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</si>
  <si>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</si>
  <si>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</si>
  <si>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</si>
  <si>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</si>
  <si>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</si>
  <si>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</si>
  <si>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</si>
  <si>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</si>
  <si>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</si>
  <si>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</si>
  <si>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</si>
  <si>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</si>
  <si>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</si>
  <si>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</si>
  <si>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</si>
  <si>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</si>
  <si>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</si>
  <si>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</si>
  <si>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</si>
  <si>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</si>
  <si>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</si>
  <si>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</si>
  <si>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</si>
  <si>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</si>
  <si>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</si>
  <si>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</si>
  <si>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</si>
  <si>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</si>
  <si>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</si>
  <si>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</si>
  <si>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</si>
  <si>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</si>
  <si>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</si>
  <si>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</si>
  <si>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</si>
  <si>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</si>
  <si>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</si>
  <si>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</si>
  <si>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</si>
  <si>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</si>
  <si>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</si>
  <si>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</si>
  <si>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</si>
  <si>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</si>
  <si>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</si>
  <si>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</si>
  <si>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</si>
  <si>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</si>
  <si>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</si>
  <si>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</si>
  <si>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</si>
  <si>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</si>
  <si>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</si>
  <si>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</si>
  <si>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</si>
  <si>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</si>
  <si>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</si>
  <si>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</si>
  <si>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</si>
  <si>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</si>
  <si>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</si>
  <si>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</si>
  <si>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</si>
  <si>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</si>
  <si>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</si>
  <si>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</si>
  <si>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</si>
  <si>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</si>
  <si>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</si>
  <si>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</si>
  <si>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</si>
  <si>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</si>
  <si>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</si>
  <si>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</si>
  <si>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</si>
  <si>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</si>
  <si>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</si>
  <si>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</si>
  <si>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</si>
  <si>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</si>
  <si>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</si>
  <si>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</si>
  <si>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</si>
  <si>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</si>
  <si>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</si>
  <si>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</si>
  <si>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</si>
  <si>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</si>
  <si>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</si>
  <si>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</si>
  <si>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</si>
  <si>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</si>
  <si>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</si>
  <si>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</si>
  <si>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</si>
  <si>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</si>
  <si>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</si>
  <si>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</si>
  <si>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</si>
  <si>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</si>
  <si>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</si>
  <si>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</si>
  <si>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</si>
  <si>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</si>
  <si>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</si>
  <si>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</si>
  <si>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</si>
  <si>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</si>
  <si>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</si>
  <si>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</si>
  <si>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</si>
  <si>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</si>
  <si>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</si>
  <si>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</si>
  <si>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</si>
  <si>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</si>
  <si>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</si>
  <si>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</si>
  <si>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</si>
  <si>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</si>
  <si>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</si>
  <si>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</si>
  <si>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</si>
  <si>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</si>
  <si>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</si>
  <si>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</si>
  <si>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</si>
  <si>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</si>
  <si>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</si>
  <si>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</si>
  <si>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</si>
  <si>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</si>
  <si>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</si>
  <si>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</si>
  <si>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</si>
  <si>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</si>
  <si>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</si>
  <si>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</si>
  <si>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</si>
  <si>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</si>
  <si>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</si>
  <si>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</si>
  <si>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</si>
  <si>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</si>
  <si>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</si>
  <si>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</si>
  <si>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</si>
  <si>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</si>
  <si>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</si>
  <si>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</si>
  <si>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</si>
  <si>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</si>
  <si>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</si>
  <si>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</si>
  <si>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</si>
  <si>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</si>
  <si>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</si>
  <si>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</si>
  <si>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</si>
  <si>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</si>
  <si>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</si>
  <si>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</si>
  <si>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</si>
  <si>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</si>
  <si>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</si>
  <si>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</si>
  <si>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</si>
  <si>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</si>
  <si>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</si>
  <si>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</si>
  <si>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</si>
  <si>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</si>
  <si>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</si>
  <si>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</si>
  <si>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</si>
  <si>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</si>
  <si>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</si>
  <si>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</si>
  <si>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</si>
  <si>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</si>
  <si>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</si>
  <si>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</si>
  <si>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</si>
  <si>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</si>
  <si>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</si>
  <si>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</si>
  <si>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</si>
  <si>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</si>
  <si>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</si>
  <si>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</si>
  <si>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</si>
  <si>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</si>
  <si>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</si>
  <si>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</si>
  <si>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</si>
  <si>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</si>
  <si>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</si>
  <si>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</si>
  <si>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</si>
  <si>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</si>
  <si>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</si>
  <si>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</si>
  <si>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</si>
  <si>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</si>
  <si>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</si>
  <si>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</si>
  <si>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</si>
  <si>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</si>
  <si>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</si>
  <si>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</si>
  <si>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</si>
  <si>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</si>
  <si>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</si>
  <si>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</si>
  <si>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</si>
  <si>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</si>
  <si>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</si>
  <si>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</si>
  <si>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</si>
  <si>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</si>
  <si>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</si>
  <si>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</si>
  <si>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</si>
  <si>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</si>
  <si>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</si>
  <si>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</si>
  <si>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</si>
  <si>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</si>
  <si>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</si>
  <si>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</si>
  <si>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</si>
  <si>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</si>
  <si>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</si>
  <si>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</si>
  <si>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</si>
  <si>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</si>
  <si>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</si>
  <si>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</si>
  <si>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</si>
  <si>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</si>
  <si>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</si>
  <si>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</si>
  <si>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</si>
  <si>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</si>
  <si>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</si>
  <si>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</si>
  <si>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</si>
  <si>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</si>
  <si>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</si>
  <si>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</si>
  <si>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</si>
  <si>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</si>
  <si>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</si>
  <si>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</si>
  <si>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</si>
  <si>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</si>
  <si>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</si>
  <si>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</si>
  <si>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</si>
  <si>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</si>
  <si>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</si>
  <si>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</si>
  <si>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</si>
  <si>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</si>
  <si>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</si>
  <si>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</si>
  <si>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</si>
  <si>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</si>
  <si>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</si>
  <si>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</si>
  <si>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</si>
  <si>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</si>
  <si>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</si>
  <si>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</si>
  <si>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</si>
  <si>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</si>
  <si>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</si>
  <si>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</si>
  <si>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</si>
  <si>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</si>
  <si>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</si>
  <si>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</si>
  <si>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</si>
  <si>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</si>
  <si>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</si>
  <si>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</si>
  <si>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</si>
  <si>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</si>
  <si>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</si>
  <si>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</si>
  <si>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</si>
  <si>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</si>
  <si>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</si>
  <si>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</si>
  <si>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</si>
  <si>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</si>
  <si>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</si>
  <si>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</si>
  <si>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</si>
  <si>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</si>
  <si>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</si>
  <si>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</si>
  <si>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</si>
  <si>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</si>
  <si>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</si>
  <si>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</si>
  <si>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</si>
  <si>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</si>
  <si>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</si>
  <si>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</si>
  <si>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</si>
  <si>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</si>
  <si>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</si>
  <si>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</si>
  <si>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</si>
  <si>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</si>
  <si>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</si>
  <si>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</si>
  <si>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</si>
  <si>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</si>
  <si>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</si>
  <si>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</si>
  <si>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</si>
  <si>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</si>
  <si>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</si>
  <si>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</si>
  <si>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</si>
  <si>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</si>
  <si>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</si>
  <si>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</si>
  <si>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</si>
  <si>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</si>
  <si>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Michail Pligouroudis</t>
  </si>
  <si>
    <t>A13 - Oral Presentation                                                           2h marking presentations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</si>
</sst>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44592</v>
      </c>
      <c r="G2" s="356">
        <f>IF('UniWorkforce Hourly Timesheet'!E7="Please select claim period",VLOOKUP('UniWorkforce Fixed Fee Claim'!F7,Parameters!A:C,3,FALSE),VLOOKUP('UniWorkforce Hourly Timesheet'!E7,Parameters!A:C,3,FALSE))</f>
        <v>44619</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12" zoomScale="170" zoomScaleNormal="170" workbookViewId="0">
      <selection activeCell="K33" sqref="K33"/>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819</v>
      </c>
      <c r="F3" s="717"/>
      <c r="G3" s="717"/>
      <c r="H3" s="717"/>
      <c r="I3" s="717"/>
      <c r="J3" s="717"/>
      <c r="K3" s="717"/>
      <c r="L3" s="717"/>
      <c r="M3" s="717"/>
      <c r="N3" s="717"/>
      <c r="O3" s="717"/>
      <c r="P3" s="717"/>
      <c r="Q3" s="2"/>
      <c r="R3" s="515" t="s">
        <v>60</v>
      </c>
      <c r="S3" s="515"/>
      <c r="T3" s="515"/>
      <c r="U3" s="515"/>
      <c r="V3" s="515"/>
      <c r="W3" s="515"/>
      <c r="X3" s="515"/>
      <c r="Y3" s="515"/>
      <c r="Z3" s="717" t="s">
        <v>820</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316</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467</v>
      </c>
      <c r="F9" s="519"/>
      <c r="G9" s="519"/>
      <c r="H9" s="519"/>
      <c r="I9" s="519"/>
      <c r="J9" s="519"/>
      <c r="K9" s="519"/>
      <c r="L9" s="519"/>
      <c r="M9" s="519"/>
      <c r="N9" s="519"/>
      <c r="O9" s="519"/>
      <c r="P9" s="519"/>
      <c r="Q9" s="3" t="s">
        <v>17</v>
      </c>
      <c r="R9" s="441" t="s">
        <v>69</v>
      </c>
      <c r="S9" s="528"/>
      <c r="T9" s="528"/>
      <c r="U9" s="528"/>
      <c r="V9" s="528"/>
      <c r="W9" s="529" t="s">
        <v>512</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397</v>
      </c>
      <c r="F11" s="519"/>
      <c r="G11" s="519"/>
      <c r="H11" s="519"/>
      <c r="I11" s="519"/>
      <c r="J11" s="519"/>
      <c r="K11" s="519"/>
      <c r="L11" s="519"/>
      <c r="M11" s="519"/>
      <c r="N11" s="519"/>
      <c r="O11" s="519"/>
      <c r="P11" s="519"/>
      <c r="Q11" s="3" t="s">
        <v>17</v>
      </c>
      <c r="R11" s="441" t="s">
        <v>116</v>
      </c>
      <c r="S11" s="528"/>
      <c r="T11" s="528"/>
      <c r="U11" s="442"/>
      <c r="V11" s="719" t="s">
        <v>345</v>
      </c>
      <c r="W11" s="720"/>
      <c r="X11" s="720"/>
      <c r="Y11" s="720"/>
      <c r="Z11" s="720"/>
      <c r="AA11" s="720"/>
      <c r="AB11" s="720"/>
      <c r="AC11" s="720"/>
      <c r="AD11" s="721"/>
      <c r="AE11" s="8" t="s">
        <v>17</v>
      </c>
      <c r="AF11" s="731">
        <v>0</v>
      </c>
      <c r="AG11" s="732"/>
      <c r="AH11" s="733"/>
      <c r="AI11" s="9" t="s">
        <v>118</v>
      </c>
      <c r="AJ11" s="14"/>
      <c r="AK11" s="14"/>
      <c r="AL11" s="5">
        <f>VLOOKUP(V11,RateRef,3,FALSE)</f>
        <v>14</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44592</v>
      </c>
      <c r="AM17" s="26">
        <f>VLOOKUP(E7,ClaimPeriods,4,FALSE)</f>
        <v>4</v>
      </c>
      <c r="AN17" s="45"/>
      <c r="AO17" s="36"/>
      <c r="AP17" s="498" t="s">
        <v>76</v>
      </c>
      <c r="AQ17" s="498"/>
      <c r="AR17" s="498"/>
      <c r="AS17" s="498"/>
      <c r="AT17" s="498"/>
      <c r="AU17" s="498"/>
      <c r="AV17" s="39"/>
    </row>
    <row r="18" spans="2:48" ht="18" customHeight="1" x14ac:dyDescent="0.2">
      <c r="B18" s="40"/>
      <c r="C18" s="10">
        <f>AL17-WEEKDAY(AL17,3)</f>
        <v>44592</v>
      </c>
      <c r="D18" s="71" t="s">
        <v>133</v>
      </c>
      <c r="E18" s="668">
        <f>IF(ISNA(C18),"",C18)</f>
        <v>44592</v>
      </c>
      <c r="F18" s="669"/>
      <c r="G18" s="669"/>
      <c r="H18" s="670"/>
      <c r="I18" s="671">
        <f>IF(ISNA(C18),"",E18+1)</f>
        <v>44593</v>
      </c>
      <c r="J18" s="669"/>
      <c r="K18" s="669"/>
      <c r="L18" s="670"/>
      <c r="M18" s="671">
        <f>IF(ISNA(C18),"",I18+1)</f>
        <v>44594</v>
      </c>
      <c r="N18" s="669"/>
      <c r="O18" s="669"/>
      <c r="P18" s="670"/>
      <c r="Q18" s="671">
        <f>IF(ISNA(C18),"",M18+1)</f>
        <v>44595</v>
      </c>
      <c r="R18" s="669"/>
      <c r="S18" s="669"/>
      <c r="T18" s="670"/>
      <c r="U18" s="671">
        <f>IF(ISNA(C18),"",Q18+1)</f>
        <v>44596</v>
      </c>
      <c r="V18" s="669"/>
      <c r="W18" s="669"/>
      <c r="X18" s="670"/>
      <c r="Y18" s="671">
        <f>IF(ISNA(C18),"",U18+1)</f>
        <v>44597</v>
      </c>
      <c r="Z18" s="669"/>
      <c r="AA18" s="669"/>
      <c r="AB18" s="670"/>
      <c r="AC18" s="671">
        <f>IF(ISNA(C18),"",Y18+1)</f>
        <v>44598</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0</v>
      </c>
      <c r="F20" s="629"/>
      <c r="G20" s="629"/>
      <c r="H20" s="653"/>
      <c r="I20" s="629">
        <f t="shared" ref="I20" si="0">I21+(K21/60)</f>
        <v>0</v>
      </c>
      <c r="J20" s="629"/>
      <c r="K20" s="629"/>
      <c r="L20" s="653"/>
      <c r="M20" s="629">
        <f t="shared" ref="M20" si="1">M21+(O21/60)</f>
        <v>0</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0</v>
      </c>
      <c r="AD20" s="629"/>
      <c r="AE20" s="629"/>
      <c r="AF20" s="653"/>
      <c r="AG20" s="628">
        <f>SUM(E20:AF20)</f>
        <v>0</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13.6</v>
      </c>
      <c r="F22" s="651"/>
      <c r="G22" s="651"/>
      <c r="H22" s="652"/>
      <c r="I22" s="650">
        <f>MAX(K19,IF($V$11=$AM$11,$AF$11,HLOOKUP(L19,Rates,$AL$11,FALSE)))</f>
        <v>13.6</v>
      </c>
      <c r="J22" s="651"/>
      <c r="K22" s="651"/>
      <c r="L22" s="652"/>
      <c r="M22" s="650">
        <f>MAX(O19,IF($V$11=$AM$11,$AF$11,HLOOKUP(P19,Rates,$AL$11,FALSE)))</f>
        <v>13.6</v>
      </c>
      <c r="N22" s="651"/>
      <c r="O22" s="651"/>
      <c r="P22" s="652"/>
      <c r="Q22" s="650">
        <f>MAX(S19,IF($V$11=$AM$11,$AF$11,HLOOKUP(T19,Rates,$AL$11,FALSE)))</f>
        <v>13.6</v>
      </c>
      <c r="R22" s="651"/>
      <c r="S22" s="651"/>
      <c r="T22" s="652"/>
      <c r="U22" s="650">
        <f>MAX(W19,IF($V$11=$AM$11,$AF$11,HLOOKUP(X19,Rates,$AL$11,FALSE)))</f>
        <v>13.6</v>
      </c>
      <c r="V22" s="651"/>
      <c r="W22" s="651"/>
      <c r="X22" s="652"/>
      <c r="Y22" s="650">
        <f>MAX(AA19,IF($V$11=$AM$11,$AF$11,HLOOKUP(AB19,Rates,$AL$11,FALSE)))</f>
        <v>13.6</v>
      </c>
      <c r="Z22" s="651"/>
      <c r="AA22" s="651"/>
      <c r="AB22" s="652"/>
      <c r="AC22" s="650">
        <f>MAX(AE19,IF($V$11=$AM$11,$AF$11,HLOOKUP(AF19,Rates,$AL$11,FALSE)))</f>
        <v>13.6</v>
      </c>
      <c r="AD22" s="651"/>
      <c r="AE22" s="651"/>
      <c r="AF22" s="666"/>
      <c r="AG22" s="663">
        <f>SUMPRODUCT(E22:AF22,E20:AF20)</f>
        <v>0</v>
      </c>
      <c r="AH22" s="664"/>
      <c r="AI22" s="664"/>
      <c r="AJ22" s="665"/>
      <c r="AK22" s="484"/>
      <c r="AL22" s="35">
        <f>AG22*IF($V$11="Demonstrator Rate",0.1711,0.1207)</f>
        <v>0</v>
      </c>
      <c r="AM22" s="5"/>
      <c r="AN22" s="45"/>
      <c r="AO22" s="40"/>
      <c r="AP22" s="686" t="s">
        <v>822</v>
      </c>
      <c r="AQ22" s="687"/>
      <c r="AR22" s="687"/>
      <c r="AS22" s="687"/>
      <c r="AT22" s="687"/>
      <c r="AU22" s="688"/>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0</v>
      </c>
      <c r="F31" s="635"/>
      <c r="G31" s="635"/>
      <c r="H31" s="741"/>
      <c r="I31" s="740">
        <f>((I21+(K21/60))*I22)+((I25+(K25/60))*I26)+((I29+(K29/60))*I30)</f>
        <v>0</v>
      </c>
      <c r="J31" s="635"/>
      <c r="K31" s="635"/>
      <c r="L31" s="741"/>
      <c r="M31" s="740">
        <f>((M21+(O21/60))*M22)+((M25+(O25/60))*M26)+((M29+(O29/60))*M30)</f>
        <v>0</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0</v>
      </c>
      <c r="AD31" s="635"/>
      <c r="AE31" s="635"/>
      <c r="AF31" s="744"/>
      <c r="AG31" s="634">
        <f>AG30+AG26+AG22</f>
        <v>0</v>
      </c>
      <c r="AH31" s="635"/>
      <c r="AI31" s="635"/>
      <c r="AJ31" s="636"/>
      <c r="AK31" s="484"/>
      <c r="AL31" s="28">
        <f>AG32+AG28+AG24+AG20</f>
        <v>0</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44599</v>
      </c>
      <c r="D34" s="71" t="s">
        <v>133</v>
      </c>
      <c r="E34" s="668">
        <f>IF(ISNA(C34),"",C34)</f>
        <v>44599</v>
      </c>
      <c r="F34" s="669"/>
      <c r="G34" s="669"/>
      <c r="H34" s="670"/>
      <c r="I34" s="671">
        <f>IF(ISNA(C34),"",E34+1)</f>
        <v>44600</v>
      </c>
      <c r="J34" s="669"/>
      <c r="K34" s="669"/>
      <c r="L34" s="670"/>
      <c r="M34" s="671">
        <f>IF(ISNA(C34),"",I34+1)</f>
        <v>44601</v>
      </c>
      <c r="N34" s="669"/>
      <c r="O34" s="669"/>
      <c r="P34" s="670"/>
      <c r="Q34" s="671">
        <f>IF(ISNA(C34),"",M34+1)</f>
        <v>44602</v>
      </c>
      <c r="R34" s="669"/>
      <c r="S34" s="669"/>
      <c r="T34" s="670"/>
      <c r="U34" s="671">
        <f>IF(ISNA(C34),"",Q34+1)</f>
        <v>44603</v>
      </c>
      <c r="V34" s="669"/>
      <c r="W34" s="669"/>
      <c r="X34" s="670"/>
      <c r="Y34" s="671">
        <f>IF(ISNA(C34),"",U34+1)</f>
        <v>44604</v>
      </c>
      <c r="Z34" s="669"/>
      <c r="AA34" s="669"/>
      <c r="AB34" s="670"/>
      <c r="AC34" s="671">
        <f>IF(ISNA(C34),"",Y34+1)</f>
        <v>44605</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0</v>
      </c>
      <c r="F36" s="629"/>
      <c r="G36" s="629"/>
      <c r="H36" s="653"/>
      <c r="I36" s="629">
        <f t="shared" ref="I36" si="24">I37+(K37/60)</f>
        <v>0</v>
      </c>
      <c r="J36" s="629"/>
      <c r="K36" s="629"/>
      <c r="L36" s="653"/>
      <c r="M36" s="629">
        <f t="shared" ref="M36" si="25">M37+(O37/60)</f>
        <v>0</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0</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13.6</v>
      </c>
      <c r="F38" s="651"/>
      <c r="G38" s="651"/>
      <c r="H38" s="652"/>
      <c r="I38" s="650">
        <f>MAX(K35,IF($V$11=$AM$11,$AF$11,HLOOKUP(L35,Rates,$AL$11,FALSE)))</f>
        <v>13.6</v>
      </c>
      <c r="J38" s="651"/>
      <c r="K38" s="651"/>
      <c r="L38" s="652"/>
      <c r="M38" s="650">
        <f>MAX(O35,IF($V$11=$AM$11,$AF$11,HLOOKUP(P35,Rates,$AL$11,FALSE)))</f>
        <v>13.6</v>
      </c>
      <c r="N38" s="651"/>
      <c r="O38" s="651"/>
      <c r="P38" s="652"/>
      <c r="Q38" s="650">
        <f>MAX(S35,IF($V$11=$AM$11,$AF$11,HLOOKUP(T35,Rates,$AL$11,FALSE)))</f>
        <v>13.6</v>
      </c>
      <c r="R38" s="651"/>
      <c r="S38" s="651"/>
      <c r="T38" s="652"/>
      <c r="U38" s="650">
        <f>MAX(W35,IF($V$11=$AM$11,$AF$11,HLOOKUP(X35,Rates,$AL$11,FALSE)))</f>
        <v>13.6</v>
      </c>
      <c r="V38" s="651"/>
      <c r="W38" s="651"/>
      <c r="X38" s="652"/>
      <c r="Y38" s="650">
        <f>MAX(AA35,IF($V$11=$AM$11,$AF$11,HLOOKUP(AB35,Rates,$AL$11,FALSE)))</f>
        <v>13.6</v>
      </c>
      <c r="Z38" s="651"/>
      <c r="AA38" s="651"/>
      <c r="AB38" s="652"/>
      <c r="AC38" s="650">
        <f>MAX(AE35,IF($V$11=$AM$11,$AF$11,HLOOKUP(AF35,Rates,$AL$11,FALSE)))</f>
        <v>13.6</v>
      </c>
      <c r="AD38" s="651"/>
      <c r="AE38" s="651"/>
      <c r="AF38" s="666"/>
      <c r="AG38" s="663">
        <f>SUMPRODUCT(E38:AF38,E36:AF36)</f>
        <v>0</v>
      </c>
      <c r="AH38" s="664"/>
      <c r="AI38" s="664"/>
      <c r="AJ38" s="665"/>
      <c r="AK38" s="695"/>
      <c r="AL38" s="35">
        <f>AG38*IF($V$11="Demonstrator Rate",0.1711,0.1207)</f>
        <v>0</v>
      </c>
      <c r="AM38" s="27"/>
      <c r="AN38" s="45"/>
      <c r="AO38" s="40"/>
      <c r="AP38" s="689"/>
      <c r="AQ38" s="690"/>
      <c r="AR38" s="690"/>
      <c r="AS38" s="690"/>
      <c r="AT38" s="690"/>
      <c r="AU38" s="691"/>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0</v>
      </c>
      <c r="F47" s="673"/>
      <c r="G47" s="673"/>
      <c r="H47" s="674"/>
      <c r="I47" s="672">
        <f>((I37+(K37/60))*I38)+((I41+(K41/60))*I42)+((I45+(K45/60))*I46)</f>
        <v>0</v>
      </c>
      <c r="J47" s="673"/>
      <c r="K47" s="673"/>
      <c r="L47" s="674"/>
      <c r="M47" s="672">
        <f>((M37+(O37/60))*M38)+((M41+(O41/60))*M42)+((M45+(O45/60))*M46)</f>
        <v>0</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0</v>
      </c>
      <c r="AH47" s="635"/>
      <c r="AI47" s="635"/>
      <c r="AJ47" s="636"/>
      <c r="AK47" s="695"/>
      <c r="AL47" s="28">
        <f>AG36+AG40+AG44+AG48</f>
        <v>0</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44606</v>
      </c>
      <c r="D50" s="71" t="s">
        <v>133</v>
      </c>
      <c r="E50" s="668">
        <f>IF(ISNA(C50),"",C50)</f>
        <v>44606</v>
      </c>
      <c r="F50" s="669"/>
      <c r="G50" s="669"/>
      <c r="H50" s="670"/>
      <c r="I50" s="671">
        <f>IF(ISNA(C50),"",E50+1)</f>
        <v>44607</v>
      </c>
      <c r="J50" s="669"/>
      <c r="K50" s="669"/>
      <c r="L50" s="670"/>
      <c r="M50" s="671">
        <f>IF(ISNA(C50),"",I50+1)</f>
        <v>44608</v>
      </c>
      <c r="N50" s="669"/>
      <c r="O50" s="669"/>
      <c r="P50" s="670"/>
      <c r="Q50" s="671">
        <f>IF(ISNA(C50),"",M50+1)</f>
        <v>44609</v>
      </c>
      <c r="R50" s="669"/>
      <c r="S50" s="669"/>
      <c r="T50" s="670"/>
      <c r="U50" s="671">
        <f>IF(ISNA(C50),"",Q50+1)</f>
        <v>44610</v>
      </c>
      <c r="V50" s="669"/>
      <c r="W50" s="669"/>
      <c r="X50" s="670"/>
      <c r="Y50" s="671">
        <f>IF(ISNA(C50),"",U50+1)</f>
        <v>44611</v>
      </c>
      <c r="Z50" s="669"/>
      <c r="AA50" s="669"/>
      <c r="AB50" s="670"/>
      <c r="AC50" s="671">
        <f>IF(ISNA(C50),"",Y50+1)</f>
        <v>44612</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0</v>
      </c>
      <c r="F52" s="629"/>
      <c r="G52" s="629"/>
      <c r="H52" s="653"/>
      <c r="I52" s="629">
        <f t="shared" ref="I52" si="48">I53+(K53/60)</f>
        <v>0</v>
      </c>
      <c r="J52" s="629"/>
      <c r="K52" s="629"/>
      <c r="L52" s="653"/>
      <c r="M52" s="629">
        <f t="shared" ref="M52" si="49">M53+(O53/60)</f>
        <v>0</v>
      </c>
      <c r="N52" s="629"/>
      <c r="O52" s="629"/>
      <c r="P52" s="653"/>
      <c r="Q52" s="629">
        <f t="shared" ref="Q52" si="50">Q53+(S53/60)</f>
        <v>0</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0</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13.6</v>
      </c>
      <c r="F54" s="651"/>
      <c r="G54" s="651"/>
      <c r="H54" s="652"/>
      <c r="I54" s="650">
        <f>MAX(K51,IF($V$11=$AM$11,$AF$11,HLOOKUP(L51,Rates,$AL$11,FALSE)))</f>
        <v>13.6</v>
      </c>
      <c r="J54" s="651"/>
      <c r="K54" s="651"/>
      <c r="L54" s="652"/>
      <c r="M54" s="650">
        <f>MAX(O51,IF($V$11=$AM$11,$AF$11,HLOOKUP(P51,Rates,$AL$11,FALSE)))</f>
        <v>13.6</v>
      </c>
      <c r="N54" s="651"/>
      <c r="O54" s="651"/>
      <c r="P54" s="652"/>
      <c r="Q54" s="650">
        <f>MAX(S51,IF($V$11=$AM$11,$AF$11,HLOOKUP(T51,Rates,$AL$11,FALSE)))</f>
        <v>13.6</v>
      </c>
      <c r="R54" s="651"/>
      <c r="S54" s="651"/>
      <c r="T54" s="652"/>
      <c r="U54" s="650">
        <f>MAX(W51,IF($V$11=$AM$11,$AF$11,HLOOKUP(X51,Rates,$AL$11,FALSE)))</f>
        <v>13.6</v>
      </c>
      <c r="V54" s="651"/>
      <c r="W54" s="651"/>
      <c r="X54" s="652"/>
      <c r="Y54" s="650">
        <f>MAX(AA51,IF($V$11=$AM$11,$AF$11,HLOOKUP(AB51,Rates,$AL$11,FALSE)))</f>
        <v>13.6</v>
      </c>
      <c r="Z54" s="651"/>
      <c r="AA54" s="651"/>
      <c r="AB54" s="652"/>
      <c r="AC54" s="650">
        <f>MAX(AE51,IF($V$11=$AM$11,$AF$11,HLOOKUP(AF51,Rates,$AL$11,FALSE)))</f>
        <v>13.6</v>
      </c>
      <c r="AD54" s="651"/>
      <c r="AE54" s="651"/>
      <c r="AF54" s="666"/>
      <c r="AG54" s="663">
        <f>SUMPRODUCT(E54:AF54,E52:AF52)</f>
        <v>0</v>
      </c>
      <c r="AH54" s="664"/>
      <c r="AI54" s="664"/>
      <c r="AJ54" s="665"/>
      <c r="AK54" s="695"/>
      <c r="AL54" s="35">
        <f>AG54*IF($V$11="Demonstrator Rate",0.1711,0.1207)</f>
        <v>0</v>
      </c>
      <c r="AM54" s="27"/>
      <c r="AN54" s="45"/>
      <c r="AO54" s="40"/>
      <c r="AP54" s="689"/>
      <c r="AQ54" s="690"/>
      <c r="AR54" s="690"/>
      <c r="AS54" s="690"/>
      <c r="AT54" s="690"/>
      <c r="AU54" s="691"/>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0</v>
      </c>
      <c r="F63" s="673"/>
      <c r="G63" s="673"/>
      <c r="H63" s="674"/>
      <c r="I63" s="672">
        <f>((I53+(K53/60))*I54)+((I57+(K57/60))*I58)+((I61+(K61/60))*I62)</f>
        <v>0</v>
      </c>
      <c r="J63" s="673"/>
      <c r="K63" s="673"/>
      <c r="L63" s="674"/>
      <c r="M63" s="672">
        <f>((M53+(O53/60))*M54)+((M57+(O57/60))*M58)+((M61+(O61/60))*M62)</f>
        <v>0</v>
      </c>
      <c r="N63" s="673"/>
      <c r="O63" s="673"/>
      <c r="P63" s="674"/>
      <c r="Q63" s="672">
        <f>((Q53+(S53/60))*Q54)+((Q57+(S57/60))*Q58)+((Q61+(S61/60))*Q62)</f>
        <v>0</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0</v>
      </c>
      <c r="AH63" s="635"/>
      <c r="AI63" s="635"/>
      <c r="AJ63" s="636"/>
      <c r="AK63" s="695"/>
      <c r="AL63" s="28">
        <f>AG52+AG56+AG60+AG64</f>
        <v>0</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44613</v>
      </c>
      <c r="D66" s="152" t="s">
        <v>133</v>
      </c>
      <c r="E66" s="745">
        <f>IF(ISNA(C66),"",C66)</f>
        <v>44613</v>
      </c>
      <c r="F66" s="680"/>
      <c r="G66" s="680"/>
      <c r="H66" s="681"/>
      <c r="I66" s="679">
        <f>IF(ISNA(C66),"",E66+1)</f>
        <v>44614</v>
      </c>
      <c r="J66" s="680"/>
      <c r="K66" s="680"/>
      <c r="L66" s="681"/>
      <c r="M66" s="679">
        <f>IF(ISNA(C66),"",I66+1)</f>
        <v>44615</v>
      </c>
      <c r="N66" s="680"/>
      <c r="O66" s="680"/>
      <c r="P66" s="681"/>
      <c r="Q66" s="679">
        <f>IF(ISNA(C66),"",M66+1)</f>
        <v>44616</v>
      </c>
      <c r="R66" s="680"/>
      <c r="S66" s="680"/>
      <c r="T66" s="681"/>
      <c r="U66" s="679">
        <f>IF(ISNA(C66),"",Q66+1)</f>
        <v>44617</v>
      </c>
      <c r="V66" s="680"/>
      <c r="W66" s="680"/>
      <c r="X66" s="681"/>
      <c r="Y66" s="679">
        <f>IF(ISNA(C66),"",U66+1)</f>
        <v>44618</v>
      </c>
      <c r="Z66" s="680"/>
      <c r="AA66" s="680"/>
      <c r="AB66" s="681"/>
      <c r="AC66" s="679">
        <f>IF(ISNA(C66),"",Y66+1)</f>
        <v>44619</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0</v>
      </c>
      <c r="F68" s="629"/>
      <c r="G68" s="629"/>
      <c r="H68" s="653"/>
      <c r="I68" s="629">
        <f t="shared" ref="I68" si="72">I69+(K69/60)</f>
        <v>2</v>
      </c>
      <c r="J68" s="629"/>
      <c r="K68" s="629"/>
      <c r="L68" s="653"/>
      <c r="M68" s="629">
        <f t="shared" ref="M68" si="73">M69+(O69/60)</f>
        <v>0</v>
      </c>
      <c r="N68" s="629"/>
      <c r="O68" s="629"/>
      <c r="P68" s="653"/>
      <c r="Q68" s="629">
        <f t="shared" ref="Q68" si="74">Q69+(S69/60)</f>
        <v>0</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2</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c r="F69" s="77" t="s">
        <v>80</v>
      </c>
      <c r="G69" s="76"/>
      <c r="H69" s="95" t="s">
        <v>81</v>
      </c>
      <c r="I69" s="93">
        <v>2</v>
      </c>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2</v>
      </c>
      <c r="AH69" s="79" t="s">
        <v>80</v>
      </c>
      <c r="AI69" s="78">
        <f>(AG68-AG69)*60</f>
        <v>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13.6</v>
      </c>
      <c r="F70" s="651"/>
      <c r="G70" s="651"/>
      <c r="H70" s="652"/>
      <c r="I70" s="650">
        <f>MAX(K67,IF($V$11=$AM$11,$AF$11,HLOOKUP(L67,Rates,$AL$11,FALSE)))</f>
        <v>13.6</v>
      </c>
      <c r="J70" s="651"/>
      <c r="K70" s="651"/>
      <c r="L70" s="652"/>
      <c r="M70" s="650">
        <f>MAX(O67,IF($V$11=$AM$11,$AF$11,HLOOKUP(P67,Rates,$AL$11,FALSE)))</f>
        <v>13.6</v>
      </c>
      <c r="N70" s="651"/>
      <c r="O70" s="651"/>
      <c r="P70" s="652"/>
      <c r="Q70" s="650">
        <f>MAX(S67,IF($V$11=$AM$11,$AF$11,HLOOKUP(T67,Rates,$AL$11,FALSE)))</f>
        <v>13.6</v>
      </c>
      <c r="R70" s="651"/>
      <c r="S70" s="651"/>
      <c r="T70" s="652"/>
      <c r="U70" s="650">
        <f>MAX(W67,IF($V$11=$AM$11,$AF$11,HLOOKUP(X67,Rates,$AL$11,FALSE)))</f>
        <v>13.6</v>
      </c>
      <c r="V70" s="651"/>
      <c r="W70" s="651"/>
      <c r="X70" s="652"/>
      <c r="Y70" s="650">
        <f>MAX(AA67,IF($V$11=$AM$11,$AF$11,HLOOKUP(AB67,Rates,$AL$11,FALSE)))</f>
        <v>13.6</v>
      </c>
      <c r="Z70" s="651"/>
      <c r="AA70" s="651"/>
      <c r="AB70" s="652"/>
      <c r="AC70" s="650">
        <f>MAX(AE67,IF($V$11=$AM$11,$AF$11,HLOOKUP(AF67,Rates,$AL$11,FALSE)))</f>
        <v>13.6</v>
      </c>
      <c r="AD70" s="651"/>
      <c r="AE70" s="651"/>
      <c r="AF70" s="666"/>
      <c r="AG70" s="663">
        <f>SUMPRODUCT(E70:AF70,E68:AF68)</f>
        <v>27.2</v>
      </c>
      <c r="AH70" s="664"/>
      <c r="AI70" s="664"/>
      <c r="AJ70" s="665"/>
      <c r="AK70" s="695"/>
      <c r="AL70" s="35">
        <f>AG70*IF($V$11="Demonstrator Rate",0.1711,0.1207)</f>
        <v>4.6539200000000003</v>
      </c>
      <c r="AM70" s="27"/>
      <c r="AN70" s="45"/>
      <c r="AO70" s="40"/>
      <c r="AP70" s="689"/>
      <c r="AQ70" s="690"/>
      <c r="AR70" s="690"/>
      <c r="AS70" s="690"/>
      <c r="AT70" s="690"/>
      <c r="AU70" s="691"/>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0</v>
      </c>
      <c r="F79" s="638"/>
      <c r="G79" s="638"/>
      <c r="H79" s="639"/>
      <c r="I79" s="637">
        <f>((I69+(K69/60))*I70)+((I73+(K73/60))*I74)+((I77+(K77/60))*I78)</f>
        <v>27.2</v>
      </c>
      <c r="J79" s="638"/>
      <c r="K79" s="638"/>
      <c r="L79" s="639"/>
      <c r="M79" s="637">
        <f>((M69+(O69/60))*M70)+((M73+(O73/60))*M74)+((M77+(O77/60))*M78)</f>
        <v>0</v>
      </c>
      <c r="N79" s="638"/>
      <c r="O79" s="638"/>
      <c r="P79" s="639"/>
      <c r="Q79" s="637">
        <f>((Q69+(S69/60))*Q70)+((Q73+(S73/60))*Q74)+((Q77+(S77/60))*Q78)</f>
        <v>0</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27.2</v>
      </c>
      <c r="AH79" s="635"/>
      <c r="AI79" s="635"/>
      <c r="AJ79" s="636"/>
      <c r="AK79" s="695"/>
      <c r="AL79" s="28">
        <f>AG68+AG72+AG76+AG80</f>
        <v>2</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44620</v>
      </c>
      <c r="D82" s="71" t="s">
        <v>133</v>
      </c>
      <c r="E82" s="668">
        <f>IF(ISNA(C82),"",C82)</f>
        <v>44620</v>
      </c>
      <c r="F82" s="669"/>
      <c r="G82" s="669"/>
      <c r="H82" s="670"/>
      <c r="I82" s="671">
        <f>IF(ISNA(C82),"",E82+1)</f>
        <v>44621</v>
      </c>
      <c r="J82" s="669"/>
      <c r="K82" s="669"/>
      <c r="L82" s="670"/>
      <c r="M82" s="671">
        <f>IF(ISNA(C82),"",I82+1)</f>
        <v>44622</v>
      </c>
      <c r="N82" s="669"/>
      <c r="O82" s="669"/>
      <c r="P82" s="670"/>
      <c r="Q82" s="671">
        <f>IF(ISNA(C82),"",M82+1)</f>
        <v>44623</v>
      </c>
      <c r="R82" s="669"/>
      <c r="S82" s="669"/>
      <c r="T82" s="670"/>
      <c r="U82" s="671">
        <f>IF(ISNA(C82),"",Q82+1)</f>
        <v>44624</v>
      </c>
      <c r="V82" s="669"/>
      <c r="W82" s="669"/>
      <c r="X82" s="670"/>
      <c r="Y82" s="671">
        <f>IF(ISNA(C82),"",U82+1)</f>
        <v>44625</v>
      </c>
      <c r="Z82" s="669"/>
      <c r="AA82" s="669"/>
      <c r="AB82" s="670"/>
      <c r="AC82" s="671">
        <f>IF(ISNA(C82),"",Y82+1)</f>
        <v>44626</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13.6</v>
      </c>
      <c r="F86" s="651"/>
      <c r="G86" s="651"/>
      <c r="H86" s="652"/>
      <c r="I86" s="650">
        <f>MAX(K83,IF($V$11=$AM$11,$AF$11,HLOOKUP(L83,Rates,$AL$11,FALSE)))</f>
        <v>13.6</v>
      </c>
      <c r="J86" s="651"/>
      <c r="K86" s="651"/>
      <c r="L86" s="652"/>
      <c r="M86" s="650">
        <f>MAX(O83,IF($V$11=$AM$11,$AF$11,HLOOKUP(P83,Rates,$AL$11,FALSE)))</f>
        <v>13.6</v>
      </c>
      <c r="N86" s="651"/>
      <c r="O86" s="651"/>
      <c r="P86" s="652"/>
      <c r="Q86" s="650">
        <f>MAX(S83,IF($V$11=$AM$11,$AF$11,HLOOKUP(T83,Rates,$AL$11,FALSE)))</f>
        <v>13.6</v>
      </c>
      <c r="R86" s="651"/>
      <c r="S86" s="651"/>
      <c r="T86" s="652"/>
      <c r="U86" s="650">
        <f>MAX(W83,IF($V$11=$AM$11,$AF$11,HLOOKUP(X83,Rates,$AL$11,FALSE)))</f>
        <v>13.6</v>
      </c>
      <c r="V86" s="651"/>
      <c r="W86" s="651"/>
      <c r="X86" s="652"/>
      <c r="Y86" s="650">
        <f>MAX(AA83,IF($V$11=$AM$11,$AF$11,HLOOKUP(AB83,Rates,$AL$11,FALSE)))</f>
        <v>13.6</v>
      </c>
      <c r="Z86" s="651"/>
      <c r="AA86" s="651"/>
      <c r="AB86" s="652"/>
      <c r="AC86" s="650">
        <f>MAX(AE83,IF($V$11=$AM$11,$AF$11,HLOOKUP(AF83,Rates,$AL$11,FALSE)))</f>
        <v>13.6</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821</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4000</v>
      </c>
      <c r="P100" s="656"/>
      <c r="Q100" s="656"/>
      <c r="R100" s="735">
        <f>DI155</f>
        <v>13.6</v>
      </c>
      <c r="S100" s="736"/>
      <c r="T100" s="737"/>
      <c r="U100" s="641">
        <f>DJ155</f>
        <v>2</v>
      </c>
      <c r="V100" s="642"/>
      <c r="W100" s="642"/>
      <c r="X100" s="642"/>
      <c r="Y100" s="642">
        <f>DK155</f>
        <v>0</v>
      </c>
      <c r="Z100" s="642"/>
      <c r="AA100" s="642"/>
      <c r="AB100" s="642"/>
      <c r="AC100" s="642">
        <f>DL155</f>
        <v>0</v>
      </c>
      <c r="AD100" s="642"/>
      <c r="AE100" s="642"/>
      <c r="AF100" s="751"/>
      <c r="AG100" s="655">
        <f>DM155</f>
        <v>27.2</v>
      </c>
      <c r="AH100" s="656"/>
      <c r="AI100" s="656"/>
      <c r="AJ100" s="657"/>
      <c r="AL100" s="5">
        <f>VLOOKUP(E11,TypeFPE,2,FALSE)</f>
        <v>4000</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Feb22.xlsx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152</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153</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154</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4.6539200000000003</v>
      </c>
      <c r="V108" s="604"/>
      <c r="W108" s="604"/>
      <c r="X108" s="605"/>
      <c r="Y108" s="606">
        <f>DK146</f>
        <v>0</v>
      </c>
      <c r="Z108" s="604"/>
      <c r="AA108" s="604"/>
      <c r="AB108" s="605"/>
      <c r="AC108" s="606">
        <f>DL146</f>
        <v>0</v>
      </c>
      <c r="AD108" s="604"/>
      <c r="AE108" s="604"/>
      <c r="AF108" s="607"/>
      <c r="AG108" s="722">
        <f>DM146</f>
        <v>4.6539200000000003</v>
      </c>
      <c r="AH108" s="723"/>
      <c r="AI108" s="723"/>
      <c r="AJ108" s="724"/>
      <c r="AL108" s="5">
        <v>4022</v>
      </c>
      <c r="AM108" s="35">
        <f>AL94+AL90+AL86+AL78+AL74+AL70+AL62+AL58+AL54+AL46+AL42+AL38+AL30+AL26+AL22</f>
        <v>4.6539200000000003</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31.853919999999999</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156</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2</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9</v>
      </c>
      <c r="AZ143" s="199">
        <f>$AL$100</f>
        <v>4000</v>
      </c>
      <c r="BA143" s="195">
        <f>(1-($E$106+$E$107))*SUMIF(BB$120:BB$126,BB143,BA$120:BA$126)</f>
        <v>0</v>
      </c>
      <c r="BB143" s="197">
        <f>MIN(BB$120:BB$126)</f>
        <v>13.6</v>
      </c>
      <c r="BD143" s="208" t="str">
        <f t="shared" ref="BD143:BD160" si="127">IF(OR(BG143=0,BE143=0),"Ignore me","Claim")</f>
        <v>Ignore me</v>
      </c>
      <c r="BE143" s="209">
        <f>$I$105</f>
        <v>9</v>
      </c>
      <c r="BF143" s="208">
        <f>$AL$100</f>
        <v>4000</v>
      </c>
      <c r="BG143" s="204">
        <f>(1-($E$106+$E$107))*SUMIF(BH$120:BH$126,BH143,BG$120:BG$126)</f>
        <v>0</v>
      </c>
      <c r="BH143" s="206">
        <f>MIN(BH$120:BH$126)</f>
        <v>13.6</v>
      </c>
      <c r="BJ143" s="217" t="str">
        <f t="shared" ref="BJ143:BJ160" si="128">IF(OR(BM143=0,BK143=0),"Ignore me","Claim")</f>
        <v>Ignore me</v>
      </c>
      <c r="BK143" s="218">
        <f>$I$105</f>
        <v>9</v>
      </c>
      <c r="BL143" s="217">
        <f>$AL$100</f>
        <v>4000</v>
      </c>
      <c r="BM143" s="213">
        <f>(1-($E$106+$E$107))*SUMIF(BN$120:BN$126,BN143,BM$120:BM$126)</f>
        <v>0</v>
      </c>
      <c r="BN143" s="215">
        <f>MIN(BN$120:BN$126)</f>
        <v>13.6</v>
      </c>
      <c r="BP143" s="226" t="str">
        <f t="shared" ref="BP143:BP160" si="129">IF(OR(BS143=0,BQ143=0),"Ignore me","Claim")</f>
        <v>Claim</v>
      </c>
      <c r="BQ143" s="227">
        <f>$I$105</f>
        <v>9</v>
      </c>
      <c r="BR143" s="226">
        <f>$AL$100</f>
        <v>4000</v>
      </c>
      <c r="BS143" s="222">
        <f>(1-($E$106+$E$107))*SUMIF(BT$120:BT$126,BT143,BS$120:BS$126)</f>
        <v>2</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4.6539200000000003</v>
      </c>
      <c r="DK146" s="255">
        <f>DM146*$E$106</f>
        <v>0</v>
      </c>
      <c r="DL146" s="255">
        <f>DM146*$E$107</f>
        <v>0</v>
      </c>
      <c r="DM146" s="35">
        <f>AM108</f>
        <v>4.6539200000000003</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2</v>
      </c>
      <c r="DK147" s="28">
        <f>SUMIFS($DD$144:$DD$233,$DC$144:$DC$233,$DH147,$DB$144:$DB$233,DK$143,$DA$144:$DA$233,$DG147,$DE$144:$DE$233,$DI147)</f>
        <v>0</v>
      </c>
      <c r="DL147" s="28">
        <f>SUMIFS($DD$144:$DD$233,$DC$144:$DC$233,$DH147,$DB$144:$DB$233,DL$143,$DA$144:$DA$233,$DG147,$DE$144:$DE$233,$DI147)</f>
        <v>0</v>
      </c>
      <c r="DM147" s="35">
        <f>DI147*SUM(DJ147:DL147)</f>
        <v>27.2</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2</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27.2</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0</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44592</v>
      </c>
      <c r="D173" s="384">
        <f>E$31</f>
        <v>0</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9260919</v>
      </c>
      <c r="AV173" s="328" t="str">
        <f>BA173&amp;(ROUND((AY173*AZ173)*(SUM(BB173:CJ173)/1000000),0))</f>
        <v>9260919</v>
      </c>
      <c r="AW173" s="328">
        <v>0</v>
      </c>
      <c r="AX173" s="201" t="str">
        <f>IF((BB173+BD173+BF173+BH173+BJ173+BL173+BN173+BP173+BR173+BT173+BV173+BX173+BZ173+CB173+CD173+CF173+CH173)=0,"Ignore me","Claim")</f>
        <v>Ignore me</v>
      </c>
      <c r="AY173" s="243">
        <f t="array" ref="AY173">IF(SUM($D$173:$D$179)=0,$E$18,MIN(IF($D$173:$D$179&gt;0,$C$173:$C$179)))</f>
        <v>44592</v>
      </c>
      <c r="AZ173" s="243">
        <f t="array" ref="AZ173">IF(SUM($D$173:$D$179)=0,$AC$18,MAX(IF($D$173:$D$179&gt;0,$C$173:$C$179)))</f>
        <v>44598</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44593</v>
      </c>
      <c r="D174" s="384">
        <f>I$31</f>
        <v>0</v>
      </c>
      <c r="AR174" s="377"/>
      <c r="AS174" s="328">
        <f>COUNTIF($AT$173:$AT173,$AT174)</f>
        <v>0</v>
      </c>
      <c r="AT174" s="1" t="str">
        <f t="shared" ref="AT174:AT237" si="181">BA174&amp;(ROUND((AY174*AZ174)*(SUM(BB174:CJ174)/1000000),0))</f>
        <v>9283511</v>
      </c>
      <c r="AV174" s="328" t="str">
        <f t="shared" ref="AV174:AV237" si="182">BA174&amp;(ROUND((AY174*AZ174)*(SUM(BB174:CJ174)/1000000),0))</f>
        <v>9283511</v>
      </c>
      <c r="AW174" s="328">
        <f>COUNTIF($AT$173:$AT173,$AT174)</f>
        <v>0</v>
      </c>
      <c r="AX174" s="201" t="str">
        <f>IF(OR((BB174+BD174+BF174+BH174+BJ174+BL174+BN174+BP174+BR174+BT174+BV174+BX174+BZ174+CB174+CD174+CF174+CH174)=0,AW174&lt;&gt;0),"Ignore me","Claim")</f>
        <v>Ignore me</v>
      </c>
      <c r="AY174" s="243">
        <f t="array" ref="AY174">IF(SUM($D$173:$D$179)=0,$E$18,MIN(IF($D$173:$D$179&gt;0,$C$173:$C$179)))</f>
        <v>44592</v>
      </c>
      <c r="AZ174" s="243">
        <f t="array" ref="AZ174">IF(SUM($D$173:$D$179)=0,$AC$18,MAX(IF($D$173:$D$179&gt;0,$C$173:$C$179)))</f>
        <v>44598</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44594</v>
      </c>
      <c r="D175" s="384">
        <f>M$31</f>
        <v>0</v>
      </c>
      <c r="AR175" s="377"/>
      <c r="AS175" s="328">
        <f>COUNTIF($AT$173:$AT174,$AT175)</f>
        <v>0</v>
      </c>
      <c r="AT175" s="1" t="str">
        <f t="shared" si="181"/>
        <v>9432744</v>
      </c>
      <c r="AV175" s="328" t="str">
        <f t="shared" si="182"/>
        <v>9432744</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44592</v>
      </c>
      <c r="AZ175" s="243">
        <f t="array" ref="AZ175">IF(SUM($D$173:$D$179)=0,$AC$18,MAX(IF($D$173:$D$179&gt;0,$C$173:$C$179)))</f>
        <v>44598</v>
      </c>
      <c r="BA175" s="244">
        <f t="shared" si="164"/>
        <v>9</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44595</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44592</v>
      </c>
      <c r="AZ176" s="243">
        <f t="array" ref="AZ176">IF(SUM($D$173:$D$179)=0,$AC$18,MAX(IF($D$173:$D$179&gt;0,$C$173:$C$179)))</f>
        <v>44598</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44596</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44592</v>
      </c>
      <c r="AZ177" s="243">
        <f t="array" ref="AZ177">IF(SUM($D$173:$D$179)=0,$AC$18,MAX(IF($D$173:$D$179&gt;0,$C$173:$C$179)))</f>
        <v>44598</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44597</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44592</v>
      </c>
      <c r="AZ178" s="243">
        <f t="array" ref="AZ178">IF(SUM($D$173:$D$179)=0,$AC$18,MAX(IF($D$173:$D$179&gt;0,$C$173:$C$179)))</f>
        <v>44598</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44598</v>
      </c>
      <c r="D179" s="384">
        <f>AC$31</f>
        <v>0</v>
      </c>
      <c r="AR179" s="377"/>
      <c r="AS179" s="328">
        <f>COUNTIF($AT$173:$AT178,$AT179)</f>
        <v>0</v>
      </c>
      <c r="AT179" s="1" t="str">
        <f t="shared" si="181"/>
        <v>0260919</v>
      </c>
      <c r="AV179" s="328" t="str">
        <f t="shared" si="182"/>
        <v>0260919</v>
      </c>
      <c r="AW179" s="328">
        <f>COUNTIF($AT$173:$AT178,$AT179)</f>
        <v>0</v>
      </c>
      <c r="AX179" s="201" t="str">
        <f t="shared" si="183"/>
        <v>Ignore me</v>
      </c>
      <c r="AY179" s="243">
        <f t="array" ref="AY179">IF(SUM($D$173:$D$179)=0,$E$18,MIN(IF($D$173:$D$179&gt;0,$C$173:$C$179)))</f>
        <v>44592</v>
      </c>
      <c r="AZ179" s="243">
        <f t="array" ref="AZ179">IF(SUM($D$173:$D$179)=0,$AC$18,MAX(IF($D$173:$D$179&gt;0,$C$173:$C$179)))</f>
        <v>44598</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44599</v>
      </c>
      <c r="D180" s="385">
        <f>E$47</f>
        <v>0</v>
      </c>
      <c r="AR180" s="377"/>
      <c r="AS180" s="328">
        <f>COUNTIF($AT$173:$AT179,$AT180)</f>
        <v>0</v>
      </c>
      <c r="AT180" s="1" t="str">
        <f t="shared" si="181"/>
        <v>0283511</v>
      </c>
      <c r="AV180" s="328" t="str">
        <f t="shared" si="182"/>
        <v>0283511</v>
      </c>
      <c r="AW180" s="328">
        <f>COUNTIF($AT$173:$AT179,$AT180)</f>
        <v>0</v>
      </c>
      <c r="AX180" s="201" t="str">
        <f t="shared" si="183"/>
        <v>Ignore me</v>
      </c>
      <c r="AY180" s="243">
        <f t="array" ref="AY180">IF(SUM($D$173:$D$179)=0,$E$18,MIN(IF($D$173:$D$179&gt;0,$C$173:$C$179)))</f>
        <v>44592</v>
      </c>
      <c r="AZ180" s="243">
        <f t="array" ref="AZ180">IF(SUM($D$173:$D$179)=0,$AC$18,MAX(IF($D$173:$D$179&gt;0,$C$173:$C$179)))</f>
        <v>44598</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0</v>
      </c>
      <c r="DE180" s="35">
        <f t="shared" ref="DE180:DE197" si="187">BN143</f>
        <v>13.6</v>
      </c>
      <c r="DF180" s="35"/>
    </row>
    <row r="181" spans="3:110" hidden="1" x14ac:dyDescent="0.2">
      <c r="C181" s="380">
        <f>I$34</f>
        <v>44600</v>
      </c>
      <c r="D181" s="385">
        <f>I$47</f>
        <v>0</v>
      </c>
      <c r="AR181" s="377"/>
      <c r="AS181" s="328">
        <f>COUNTIF($AT$173:$AT180,$AT181)</f>
        <v>0</v>
      </c>
      <c r="AT181" s="1" t="str">
        <f t="shared" si="181"/>
        <v>0432744</v>
      </c>
      <c r="AV181" s="328" t="str">
        <f t="shared" si="182"/>
        <v>0432744</v>
      </c>
      <c r="AW181" s="328">
        <f>COUNTIF($AT$173:$AT180,$AT181)</f>
        <v>0</v>
      </c>
      <c r="AX181" s="201" t="str">
        <f t="shared" si="183"/>
        <v>Ignore me</v>
      </c>
      <c r="AY181" s="243">
        <f t="array" ref="AY181">IF(SUM($D$173:$D$179)=0,$E$18,MIN(IF($D$173:$D$179&gt;0,$C$173:$C$179)))</f>
        <v>44592</v>
      </c>
      <c r="AZ181" s="243">
        <f t="array" ref="AZ181">IF(SUM($D$173:$D$179)=0,$AC$18,MAX(IF($D$173:$D$179&gt;0,$C$173:$C$179)))</f>
        <v>44598</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44601</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44592</v>
      </c>
      <c r="AZ182" s="243">
        <f t="array" ref="AZ182">IF(SUM($D$173:$D$179)=0,$AC$18,MAX(IF($D$173:$D$179&gt;0,$C$173:$C$179)))</f>
        <v>44598</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44602</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44592</v>
      </c>
      <c r="AZ183" s="243">
        <f t="array" ref="AZ183">IF(SUM($D$173:$D$179)=0,$AC$18,MAX(IF($D$173:$D$179&gt;0,$C$173:$C$179)))</f>
        <v>44598</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44603</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44592</v>
      </c>
      <c r="AZ184" s="243">
        <f t="array" ref="AZ184">IF(SUM($D$173:$D$179)=0,$AC$18,MAX(IF($D$173:$D$179&gt;0,$C$173:$C$179)))</f>
        <v>44598</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44604</v>
      </c>
      <c r="D185" s="385">
        <f>Y$47</f>
        <v>0</v>
      </c>
      <c r="AR185" s="377"/>
      <c r="AS185" s="328">
        <f>COUNTIF($AT$173:$AT184,$AT185)</f>
        <v>1</v>
      </c>
      <c r="AT185" s="1" t="str">
        <f t="shared" si="181"/>
        <v>0260919</v>
      </c>
      <c r="AV185" s="328" t="str">
        <f t="shared" si="182"/>
        <v>0260919</v>
      </c>
      <c r="AW185" s="328">
        <f>COUNTIF($AT$173:$AT184,$AT185)</f>
        <v>1</v>
      </c>
      <c r="AX185" s="201" t="str">
        <f t="shared" si="183"/>
        <v>Ignore me</v>
      </c>
      <c r="AY185" s="243">
        <f t="array" ref="AY185">IF(SUM($D$173:$D$179)=0,$E$18,MIN(IF($D$173:$D$179&gt;0,$C$173:$C$179)))</f>
        <v>44592</v>
      </c>
      <c r="AZ185" s="243">
        <f t="array" ref="AZ185">IF(SUM($D$173:$D$179)=0,$AC$18,MAX(IF($D$173:$D$179&gt;0,$C$173:$C$179)))</f>
        <v>44598</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44605</v>
      </c>
      <c r="D186" s="385">
        <f>AC$47</f>
        <v>0</v>
      </c>
      <c r="AR186" s="377"/>
      <c r="AS186" s="328">
        <f>COUNTIF($AT$173:$AT185,$AT186)</f>
        <v>1</v>
      </c>
      <c r="AT186" s="1" t="str">
        <f t="shared" si="181"/>
        <v>0283511</v>
      </c>
      <c r="AV186" s="328" t="str">
        <f t="shared" si="182"/>
        <v>0283511</v>
      </c>
      <c r="AW186" s="328">
        <f>COUNTIF($AT$173:$AT185,$AT186)</f>
        <v>1</v>
      </c>
      <c r="AX186" s="201" t="str">
        <f t="shared" si="183"/>
        <v>Ignore me</v>
      </c>
      <c r="AY186" s="243">
        <f t="array" ref="AY186">IF(SUM($D$173:$D$179)=0,$E$18,MIN(IF($D$173:$D$179&gt;0,$C$173:$C$179)))</f>
        <v>44592</v>
      </c>
      <c r="AZ186" s="243">
        <f t="array" ref="AZ186">IF(SUM($D$173:$D$179)=0,$AC$18,MAX(IF($D$173:$D$179&gt;0,$C$173:$C$179)))</f>
        <v>44598</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44606</v>
      </c>
      <c r="D187" s="386">
        <f>E$63</f>
        <v>0</v>
      </c>
      <c r="AR187" s="377"/>
      <c r="AS187" s="328">
        <f>COUNTIF($AT$173:$AT186,$AT187)</f>
        <v>1</v>
      </c>
      <c r="AT187" s="1" t="str">
        <f t="shared" si="181"/>
        <v>0432744</v>
      </c>
      <c r="AV187" s="328" t="str">
        <f t="shared" si="182"/>
        <v>0432744</v>
      </c>
      <c r="AW187" s="328">
        <f>COUNTIF($AT$173:$AT186,$AT187)</f>
        <v>1</v>
      </c>
      <c r="AX187" s="201" t="str">
        <f t="shared" si="183"/>
        <v>Ignore me</v>
      </c>
      <c r="AY187" s="243">
        <f t="array" ref="AY187">IF(SUM($D$173:$D$179)=0,$E$18,MIN(IF($D$173:$D$179&gt;0,$C$173:$C$179)))</f>
        <v>44592</v>
      </c>
      <c r="AZ187" s="243">
        <f t="array" ref="AZ187">IF(SUM($D$173:$D$179)=0,$AC$18,MAX(IF($D$173:$D$179&gt;0,$C$173:$C$179)))</f>
        <v>44598</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44607</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44592</v>
      </c>
      <c r="AZ188" s="243">
        <f t="array" ref="AZ188">IF(SUM($D$173:$D$179)=0,$AC$18,MAX(IF($D$173:$D$179&gt;0,$C$173:$C$179)))</f>
        <v>44598</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44608</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44592</v>
      </c>
      <c r="AZ189" s="243">
        <f t="array" ref="AZ189">IF(SUM($D$173:$D$179)=0,$AC$18,MAX(IF($D$173:$D$179&gt;0,$C$173:$C$179)))</f>
        <v>44598</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44609</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44592</v>
      </c>
      <c r="AZ190" s="243">
        <f t="array" ref="AZ190">IF(SUM($D$173:$D$179)=0,$AC$18,MAX(IF($D$173:$D$179&gt;0,$C$173:$C$179)))</f>
        <v>44598</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44610</v>
      </c>
      <c r="D191" s="386">
        <f>U$63</f>
        <v>0</v>
      </c>
      <c r="AR191" s="377"/>
      <c r="AS191" s="328">
        <f>COUNTIF($AT$173:$AT190,$AT191)</f>
        <v>0</v>
      </c>
      <c r="AT191" s="1" t="str">
        <f t="shared" si="181"/>
        <v>9261001</v>
      </c>
      <c r="AV191" s="328" t="str">
        <f t="shared" si="182"/>
        <v>9261001</v>
      </c>
      <c r="AW191" s="328">
        <f>COUNTIF($AT$173:$AT190,$AT191)</f>
        <v>0</v>
      </c>
      <c r="AX191" s="201" t="str">
        <f t="shared" si="183"/>
        <v>Ignore me</v>
      </c>
      <c r="AY191" s="240">
        <f t="array" ref="AY191">IF(SUM($D$180:$D$186)=0,$E$34,MIN(IF($D$180:$D$186&gt;0,$C$180:$C$186)))</f>
        <v>44599</v>
      </c>
      <c r="AZ191" s="240">
        <f t="array" ref="AZ191">IF(SUM($D$180:$D$186)=0,$AC$34,MAX(IF($D$180:$D$186&gt;0,$C$180:$C$186)))</f>
        <v>44605</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44611</v>
      </c>
      <c r="D192" s="386">
        <f>Y$63</f>
        <v>0</v>
      </c>
      <c r="AR192" s="377"/>
      <c r="AS192" s="328">
        <f>COUNTIF($AT$173:$AT191,$AT192)</f>
        <v>0</v>
      </c>
      <c r="AT192" s="1" t="str">
        <f t="shared" si="181"/>
        <v>9283600</v>
      </c>
      <c r="AV192" s="328" t="str">
        <f t="shared" si="182"/>
        <v>9283600</v>
      </c>
      <c r="AW192" s="328">
        <f>COUNTIF($AT$173:$AT191,$AT192)</f>
        <v>0</v>
      </c>
      <c r="AX192" s="201" t="str">
        <f t="shared" si="183"/>
        <v>Ignore me</v>
      </c>
      <c r="AY192" s="240">
        <f t="array" ref="AY192">IF(SUM($D$180:$D$186)=0,$E$34,MIN(IF($D$180:$D$186&gt;0,$C$180:$C$186)))</f>
        <v>44599</v>
      </c>
      <c r="AZ192" s="240">
        <f t="array" ref="AZ192">IF(SUM($D$180:$D$186)=0,$AC$34,MAX(IF($D$180:$D$186&gt;0,$C$180:$C$186)))</f>
        <v>44605</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44612</v>
      </c>
      <c r="D193" s="386">
        <f>AC$63</f>
        <v>0</v>
      </c>
      <c r="AR193" s="377"/>
      <c r="AS193" s="328">
        <f>COUNTIF($AT$173:$AT192,$AT193)</f>
        <v>0</v>
      </c>
      <c r="AT193" s="1" t="str">
        <f t="shared" si="181"/>
        <v>9432880</v>
      </c>
      <c r="AV193" s="328" t="str">
        <f t="shared" si="182"/>
        <v>9432880</v>
      </c>
      <c r="AW193" s="328">
        <f>COUNTIF($AT$173:$AT192,$AT193)</f>
        <v>0</v>
      </c>
      <c r="AX193" s="201" t="str">
        <f t="shared" si="183"/>
        <v>Ignore me</v>
      </c>
      <c r="AY193" s="240">
        <f t="array" ref="AY193">IF(SUM($D$180:$D$186)=0,$E$34,MIN(IF($D$180:$D$186&gt;0,$C$180:$C$186)))</f>
        <v>44599</v>
      </c>
      <c r="AZ193" s="240">
        <f t="array" ref="AZ193">IF(SUM($D$180:$D$186)=0,$AC$34,MAX(IF($D$180:$D$186&gt;0,$C$180:$C$186)))</f>
        <v>44605</v>
      </c>
      <c r="BA193" s="241">
        <f t="shared" si="189"/>
        <v>9</v>
      </c>
      <c r="BB193" s="204">
        <f t="shared" si="191"/>
        <v>0</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44613</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44599</v>
      </c>
      <c r="AZ194" s="240">
        <f t="array" ref="AZ194">IF(SUM($D$180:$D$186)=0,$AC$34,MAX(IF($D$180:$D$186&gt;0,$C$180:$C$186)))</f>
        <v>44605</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44614</v>
      </c>
      <c r="D195" s="387">
        <f>I$79</f>
        <v>27.2</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44599</v>
      </c>
      <c r="AZ195" s="240">
        <f t="array" ref="AZ195">IF(SUM($D$180:$D$186)=0,$AC$34,MAX(IF($D$180:$D$186&gt;0,$C$180:$C$186)))</f>
        <v>44605</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44615</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44599</v>
      </c>
      <c r="AZ196" s="240">
        <f t="array" ref="AZ196">IF(SUM($D$180:$D$186)=0,$AC$34,MAX(IF($D$180:$D$186&gt;0,$C$180:$C$186)))</f>
        <v>44605</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44616</v>
      </c>
      <c r="D197" s="387">
        <f>Q$79</f>
        <v>0</v>
      </c>
      <c r="AR197" s="377"/>
      <c r="AS197" s="328">
        <f>COUNTIF($AT$173:$AT196,$AT197)</f>
        <v>0</v>
      </c>
      <c r="AT197" s="1" t="str">
        <f t="shared" si="181"/>
        <v>0261001</v>
      </c>
      <c r="AV197" s="328" t="str">
        <f t="shared" si="182"/>
        <v>0261001</v>
      </c>
      <c r="AW197" s="328">
        <f>COUNTIF($AT$173:$AT196,$AT197)</f>
        <v>0</v>
      </c>
      <c r="AX197" s="201" t="str">
        <f t="shared" si="183"/>
        <v>Ignore me</v>
      </c>
      <c r="AY197" s="240">
        <f t="array" ref="AY197">IF(SUM($D$180:$D$186)=0,$E$34,MIN(IF($D$180:$D$186&gt;0,$C$180:$C$186)))</f>
        <v>44599</v>
      </c>
      <c r="AZ197" s="240">
        <f t="array" ref="AZ197">IF(SUM($D$180:$D$186)=0,$AC$34,MAX(IF($D$180:$D$186&gt;0,$C$180:$C$186)))</f>
        <v>44605</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44617</v>
      </c>
      <c r="D198" s="387">
        <f>U$79</f>
        <v>0</v>
      </c>
      <c r="AR198" s="377"/>
      <c r="AS198" s="328">
        <f>COUNTIF($AT$173:$AT197,$AT198)</f>
        <v>0</v>
      </c>
      <c r="AT198" s="1" t="str">
        <f t="shared" si="181"/>
        <v>0283600</v>
      </c>
      <c r="AV198" s="328" t="str">
        <f t="shared" si="182"/>
        <v>0283600</v>
      </c>
      <c r="AW198" s="328">
        <f>COUNTIF($AT$173:$AT197,$AT198)</f>
        <v>0</v>
      </c>
      <c r="AX198" s="201" t="str">
        <f t="shared" si="183"/>
        <v>Ignore me</v>
      </c>
      <c r="AY198" s="240">
        <f t="array" ref="AY198">IF(SUM($D$180:$D$186)=0,$E$34,MIN(IF($D$180:$D$186&gt;0,$C$180:$C$186)))</f>
        <v>44599</v>
      </c>
      <c r="AZ198" s="240">
        <f t="array" ref="AZ198">IF(SUM($D$180:$D$186)=0,$AC$34,MAX(IF($D$180:$D$186&gt;0,$C$180:$C$186)))</f>
        <v>44605</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2</v>
      </c>
      <c r="DE198" s="35">
        <f t="shared" ref="DE198:DE215" si="195">BT143</f>
        <v>13.6</v>
      </c>
      <c r="DF198" s="35"/>
    </row>
    <row r="199" spans="3:110" hidden="1" x14ac:dyDescent="0.2">
      <c r="C199" s="382">
        <f>Y$66</f>
        <v>44618</v>
      </c>
      <c r="D199" s="387">
        <f>Y$79</f>
        <v>0</v>
      </c>
      <c r="AR199" s="377"/>
      <c r="AS199" s="328">
        <f>COUNTIF($AT$173:$AT198,$AT199)</f>
        <v>0</v>
      </c>
      <c r="AT199" s="1" t="str">
        <f t="shared" si="181"/>
        <v>0432880</v>
      </c>
      <c r="AV199" s="328" t="str">
        <f t="shared" si="182"/>
        <v>0432880</v>
      </c>
      <c r="AW199" s="328">
        <f>COUNTIF($AT$173:$AT198,$AT199)</f>
        <v>0</v>
      </c>
      <c r="AX199" s="201" t="str">
        <f t="shared" si="183"/>
        <v>Ignore me</v>
      </c>
      <c r="AY199" s="240">
        <f t="array" ref="AY199">IF(SUM($D$180:$D$186)=0,$E$34,MIN(IF($D$180:$D$186&gt;0,$C$180:$C$186)))</f>
        <v>44599</v>
      </c>
      <c r="AZ199" s="240">
        <f t="array" ref="AZ199">IF(SUM($D$180:$D$186)=0,$AC$34,MAX(IF($D$180:$D$186&gt;0,$C$180:$C$186)))</f>
        <v>44605</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44619</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44599</v>
      </c>
      <c r="AZ200" s="240">
        <f t="array" ref="AZ200">IF(SUM($D$180:$D$186)=0,$AC$34,MAX(IF($D$180:$D$186&gt;0,$C$180:$C$186)))</f>
        <v>44605</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44620</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44599</v>
      </c>
      <c r="AZ201" s="240">
        <f t="array" ref="AZ201">IF(SUM($D$180:$D$186)=0,$AC$34,MAX(IF($D$180:$D$186&gt;0,$C$180:$C$186)))</f>
        <v>44605</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44621</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44599</v>
      </c>
      <c r="AZ202" s="240">
        <f t="array" ref="AZ202">IF(SUM($D$180:$D$186)=0,$AC$34,MAX(IF($D$180:$D$186&gt;0,$C$180:$C$186)))</f>
        <v>44605</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44622</v>
      </c>
      <c r="D203" s="388">
        <f>M$95</f>
        <v>0</v>
      </c>
      <c r="AR203" s="377"/>
      <c r="AS203" s="328">
        <f>COUNTIF($AT$173:$AT202,$AT203)</f>
        <v>1</v>
      </c>
      <c r="AT203" s="1" t="str">
        <f t="shared" si="181"/>
        <v>0261001</v>
      </c>
      <c r="AV203" s="328" t="str">
        <f t="shared" si="182"/>
        <v>0261001</v>
      </c>
      <c r="AW203" s="328">
        <f>COUNTIF($AT$173:$AT202,$AT203)</f>
        <v>1</v>
      </c>
      <c r="AX203" s="201" t="str">
        <f t="shared" si="183"/>
        <v>Ignore me</v>
      </c>
      <c r="AY203" s="240">
        <f t="array" ref="AY203">IF(SUM($D$180:$D$186)=0,$E$34,MIN(IF($D$180:$D$186&gt;0,$C$180:$C$186)))</f>
        <v>44599</v>
      </c>
      <c r="AZ203" s="240">
        <f t="array" ref="AZ203">IF(SUM($D$180:$D$186)=0,$AC$34,MAX(IF($D$180:$D$186&gt;0,$C$180:$C$186)))</f>
        <v>44605</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44623</v>
      </c>
      <c r="D204" s="388">
        <f>Q$95</f>
        <v>0</v>
      </c>
      <c r="AR204" s="377"/>
      <c r="AS204" s="328">
        <f>COUNTIF($AT$173:$AT203,$AT204)</f>
        <v>1</v>
      </c>
      <c r="AT204" s="1" t="str">
        <f t="shared" si="181"/>
        <v>0283600</v>
      </c>
      <c r="AV204" s="328" t="str">
        <f t="shared" si="182"/>
        <v>0283600</v>
      </c>
      <c r="AW204" s="328">
        <f>COUNTIF($AT$173:$AT203,$AT204)</f>
        <v>1</v>
      </c>
      <c r="AX204" s="201" t="str">
        <f t="shared" si="183"/>
        <v>Ignore me</v>
      </c>
      <c r="AY204" s="240">
        <f t="array" ref="AY204">IF(SUM($D$180:$D$186)=0,$E$34,MIN(IF($D$180:$D$186&gt;0,$C$180:$C$186)))</f>
        <v>44599</v>
      </c>
      <c r="AZ204" s="240">
        <f t="array" ref="AZ204">IF(SUM($D$180:$D$186)=0,$AC$34,MAX(IF($D$180:$D$186&gt;0,$C$180:$C$186)))</f>
        <v>44605</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44624</v>
      </c>
      <c r="D205" s="388">
        <f>U$95</f>
        <v>0</v>
      </c>
      <c r="AR205" s="377"/>
      <c r="AS205" s="328">
        <f>COUNTIF($AT$173:$AT204,$AT205)</f>
        <v>1</v>
      </c>
      <c r="AT205" s="1" t="str">
        <f t="shared" si="181"/>
        <v>0432880</v>
      </c>
      <c r="AV205" s="328" t="str">
        <f t="shared" si="182"/>
        <v>0432880</v>
      </c>
      <c r="AW205" s="328">
        <f>COUNTIF($AT$173:$AT204,$AT205)</f>
        <v>1</v>
      </c>
      <c r="AX205" s="201" t="str">
        <f t="shared" si="183"/>
        <v>Ignore me</v>
      </c>
      <c r="AY205" s="240">
        <f t="array" ref="AY205">IF(SUM($D$180:$D$186)=0,$E$34,MIN(IF($D$180:$D$186&gt;0,$C$180:$C$186)))</f>
        <v>44599</v>
      </c>
      <c r="AZ205" s="240">
        <f t="array" ref="AZ205">IF(SUM($D$180:$D$186)=0,$AC$34,MAX(IF($D$180:$D$186&gt;0,$C$180:$C$186)))</f>
        <v>44605</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44625</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44599</v>
      </c>
      <c r="AZ206" s="240">
        <f t="array" ref="AZ206">IF(SUM($D$180:$D$186)=0,$AC$34,MAX(IF($D$180:$D$186&gt;0,$C$180:$C$186)))</f>
        <v>44605</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44626</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44599</v>
      </c>
      <c r="AZ207" s="240">
        <f t="array" ref="AZ207">IF(SUM($D$180:$D$186)=0,$AC$34,MAX(IF($D$180:$D$186&gt;0,$C$180:$C$186)))</f>
        <v>44605</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44599</v>
      </c>
      <c r="AZ208" s="240">
        <f t="array" ref="AZ208">IF(SUM($D$180:$D$186)=0,$AC$34,MAX(IF($D$180:$D$186&gt;0,$C$180:$C$186)))</f>
        <v>44605</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9283689</v>
      </c>
      <c r="AV209" s="328" t="str">
        <f t="shared" si="182"/>
        <v>9283689</v>
      </c>
      <c r="AW209" s="328">
        <f>COUNTIF($AT$173:$AT208,$AT209)</f>
        <v>0</v>
      </c>
      <c r="AX209" s="201" t="str">
        <f t="shared" si="183"/>
        <v>Ignore me</v>
      </c>
      <c r="AY209" s="246">
        <f t="array" ref="AY209">IF(SUM($D$187:$D$193)=0,$E$50,MIN(IF($D$187:$D$193&gt;0,$C$187:$C$193)))</f>
        <v>44606</v>
      </c>
      <c r="AZ209" s="246">
        <f t="array" ref="AZ209">IF(SUM($D$187:$D$193)=0,$AC$50,MAX(IF($D$187:$D$193&gt;0,$C$187:$C$193)))</f>
        <v>44612</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9433016</v>
      </c>
      <c r="AV210" s="328" t="str">
        <f t="shared" si="182"/>
        <v>9433016</v>
      </c>
      <c r="AW210" s="328">
        <f>COUNTIF($AT$173:$AT209,$AT210)</f>
        <v>0</v>
      </c>
      <c r="AX210" s="201" t="str">
        <f t="shared" si="183"/>
        <v>Ignore me</v>
      </c>
      <c r="AY210" s="246">
        <f t="array" ref="AY210">IF(SUM($D$187:$D$193)=0,$E$50,MIN(IF($D$187:$D$193&gt;0,$C$187:$C$193)))</f>
        <v>44606</v>
      </c>
      <c r="AZ210" s="246">
        <f t="array" ref="AZ210">IF(SUM($D$187:$D$193)=0,$AC$50,MAX(IF($D$187:$D$193&gt;0,$C$187:$C$193)))</f>
        <v>44612</v>
      </c>
      <c r="BA210" s="247">
        <f t="shared" si="200"/>
        <v>9</v>
      </c>
      <c r="BB210" s="213">
        <f t="shared" ref="BB210:BP226" si="202">SUMPRODUCT(($BK$143:$BK$160=$BA210)*($BL$143:$BL$160=BB$170)*($BN$143:$BN$160=BC210)*$BM$143:$BM$160)</f>
        <v>0</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44606</v>
      </c>
      <c r="AZ211" s="246">
        <f t="array" ref="AZ211">IF(SUM($D$187:$D$193)=0,$AC$50,MAX(IF($D$187:$D$193&gt;0,$C$187:$C$193)))</f>
        <v>44612</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44606</v>
      </c>
      <c r="AZ212" s="246">
        <f t="array" ref="AZ212">IF(SUM($D$187:$D$193)=0,$AC$50,MAX(IF($D$187:$D$193&gt;0,$C$187:$C$193)))</f>
        <v>44612</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44606</v>
      </c>
      <c r="AZ213" s="246">
        <f t="array" ref="AZ213">IF(SUM($D$187:$D$193)=0,$AC$50,MAX(IF($D$187:$D$193&gt;0,$C$187:$C$193)))</f>
        <v>44612</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44606</v>
      </c>
      <c r="AZ214" s="246">
        <f t="array" ref="AZ214">IF(SUM($D$187:$D$193)=0,$AC$50,MAX(IF($D$187:$D$193&gt;0,$C$187:$C$193)))</f>
        <v>44612</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0283689</v>
      </c>
      <c r="AV215" s="328" t="str">
        <f t="shared" si="182"/>
        <v>0283689</v>
      </c>
      <c r="AW215" s="328">
        <f>COUNTIF($AT$173:$AT214,$AT215)</f>
        <v>0</v>
      </c>
      <c r="AX215" s="201" t="str">
        <f t="shared" si="183"/>
        <v>Ignore me</v>
      </c>
      <c r="AY215" s="246">
        <f t="array" ref="AY215">IF(SUM($D$187:$D$193)=0,$E$50,MIN(IF($D$187:$D$193&gt;0,$C$187:$C$193)))</f>
        <v>44606</v>
      </c>
      <c r="AZ215" s="246">
        <f t="array" ref="AZ215">IF(SUM($D$187:$D$193)=0,$AC$50,MAX(IF($D$187:$D$193&gt;0,$C$187:$C$193)))</f>
        <v>44612</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0433016</v>
      </c>
      <c r="AV216" s="328" t="str">
        <f t="shared" si="182"/>
        <v>0433016</v>
      </c>
      <c r="AW216" s="328">
        <f>COUNTIF($AT$173:$AT215,$AT216)</f>
        <v>0</v>
      </c>
      <c r="AX216" s="201" t="str">
        <f t="shared" si="183"/>
        <v>Ignore me</v>
      </c>
      <c r="AY216" s="246">
        <f t="array" ref="AY216">IF(SUM($D$187:$D$193)=0,$E$50,MIN(IF($D$187:$D$193&gt;0,$C$187:$C$193)))</f>
        <v>44606</v>
      </c>
      <c r="AZ216" s="246">
        <f t="array" ref="AZ216">IF(SUM($D$187:$D$193)=0,$AC$50,MAX(IF($D$187:$D$193&gt;0,$C$187:$C$193)))</f>
        <v>44612</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44606</v>
      </c>
      <c r="AZ217" s="246">
        <f t="array" ref="AZ217">IF(SUM($D$187:$D$193)=0,$AC$50,MAX(IF($D$187:$D$193&gt;0,$C$187:$C$193)))</f>
        <v>44612</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44606</v>
      </c>
      <c r="AZ218" s="246">
        <f t="array" ref="AZ218">IF(SUM($D$187:$D$193)=0,$AC$50,MAX(IF($D$187:$D$193&gt;0,$C$187:$C$193)))</f>
        <v>44612</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44606</v>
      </c>
      <c r="AZ219" s="246">
        <f t="array" ref="AZ219">IF(SUM($D$187:$D$193)=0,$AC$50,MAX(IF($D$187:$D$193&gt;0,$C$187:$C$193)))</f>
        <v>44612</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44606</v>
      </c>
      <c r="AZ220" s="246">
        <f t="array" ref="AZ220">IF(SUM($D$187:$D$193)=0,$AC$50,MAX(IF($D$187:$D$193&gt;0,$C$187:$C$193)))</f>
        <v>44612</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0283689</v>
      </c>
      <c r="AV221" s="328" t="str">
        <f t="shared" si="182"/>
        <v>0283689</v>
      </c>
      <c r="AW221" s="328">
        <f>COUNTIF($AT$173:$AT220,$AT221)</f>
        <v>1</v>
      </c>
      <c r="AX221" s="201" t="str">
        <f t="shared" si="183"/>
        <v>Ignore me</v>
      </c>
      <c r="AY221" s="246">
        <f t="array" ref="AY221">IF(SUM($D$187:$D$193)=0,$E$50,MIN(IF($D$187:$D$193&gt;0,$C$187:$C$193)))</f>
        <v>44606</v>
      </c>
      <c r="AZ221" s="246">
        <f t="array" ref="AZ221">IF(SUM($D$187:$D$193)=0,$AC$50,MAX(IF($D$187:$D$193&gt;0,$C$187:$C$193)))</f>
        <v>44612</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0433016</v>
      </c>
      <c r="AV222" s="328" t="str">
        <f t="shared" si="182"/>
        <v>0433016</v>
      </c>
      <c r="AW222" s="328">
        <f>COUNTIF($AT$173:$AT221,$AT222)</f>
        <v>1</v>
      </c>
      <c r="AX222" s="201" t="str">
        <f t="shared" si="183"/>
        <v>Ignore me</v>
      </c>
      <c r="AY222" s="246">
        <f t="array" ref="AY222">IF(SUM($D$187:$D$193)=0,$E$50,MIN(IF($D$187:$D$193&gt;0,$C$187:$C$193)))</f>
        <v>44606</v>
      </c>
      <c r="AZ222" s="246">
        <f t="array" ref="AZ222">IF(SUM($D$187:$D$193)=0,$AC$50,MAX(IF($D$187:$D$193&gt;0,$C$187:$C$193)))</f>
        <v>44612</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44606</v>
      </c>
      <c r="AZ223" s="246">
        <f t="array" ref="AZ223">IF(SUM($D$187:$D$193)=0,$AC$50,MAX(IF($D$187:$D$193&gt;0,$C$187:$C$193)))</f>
        <v>44612</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44606</v>
      </c>
      <c r="AZ224" s="246">
        <f t="array" ref="AZ224">IF(SUM($D$187:$D$193)=0,$AC$50,MAX(IF($D$187:$D$193&gt;0,$C$187:$C$193)))</f>
        <v>44612</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44606</v>
      </c>
      <c r="AZ225" s="246">
        <f t="array" ref="AZ225">IF(SUM($D$187:$D$193)=0,$AC$50,MAX(IF($D$187:$D$193&gt;0,$C$187:$C$193)))</f>
        <v>44612</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44606</v>
      </c>
      <c r="AZ226" s="246">
        <f t="array" ref="AZ226">IF(SUM($D$187:$D$193)=0,$AC$50,MAX(IF($D$187:$D$193&gt;0,$C$187:$C$193)))</f>
        <v>44612</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9283753</v>
      </c>
      <c r="AV227" s="328" t="str">
        <f t="shared" si="182"/>
        <v>9283753</v>
      </c>
      <c r="AW227" s="328">
        <f>COUNTIF($AT$173:$AT226,$AT227)</f>
        <v>0</v>
      </c>
      <c r="AX227" s="201" t="str">
        <f t="shared" si="183"/>
        <v>Ignore me</v>
      </c>
      <c r="AY227" s="249">
        <f t="array" ref="AY227">IF(SUM($D$194:$D$200)=0,$E$66,MIN(IF($D$194:$D$200&gt;0,$C$194:$C$200)))</f>
        <v>44614</v>
      </c>
      <c r="AZ227" s="249">
        <f t="array" ref="AZ227">IF(SUM($D$194:$D$200)=0,$AC$66,MAX(IF($D$194:$D$200&gt;0,$C$194:$C$200)))</f>
        <v>44614</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9437094</v>
      </c>
      <c r="AV228" s="328" t="str">
        <f t="shared" si="182"/>
        <v>9437094</v>
      </c>
      <c r="AW228" s="328">
        <f>COUNTIF($AT$173:$AT227,$AT228)</f>
        <v>0</v>
      </c>
      <c r="AX228" s="201" t="str">
        <f t="shared" si="183"/>
        <v>Claim</v>
      </c>
      <c r="AY228" s="249">
        <f t="array" ref="AY228">IF(SUM($D$194:$D$200)=0,$E$66,MIN(IF($D$194:$D$200&gt;0,$C$194:$C$200)))</f>
        <v>44614</v>
      </c>
      <c r="AZ228" s="249">
        <f t="array" ref="AZ228">IF(SUM($D$194:$D$200)=0,$AC$66,MAX(IF($D$194:$D$200&gt;0,$C$194:$C$200)))</f>
        <v>44614</v>
      </c>
      <c r="BA228" s="250">
        <f t="shared" si="210"/>
        <v>9</v>
      </c>
      <c r="BB228" s="222">
        <f t="shared" ref="BB228:BP244" si="212">SUMPRODUCT(($BQ$143:$BQ$160=$BA228)*($BR$143:$BR$160=BB$170)*($BT$143:$BT$160=BC228)*$BS$143:$BS$160)</f>
        <v>2</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44614</v>
      </c>
      <c r="AZ229" s="249">
        <f t="array" ref="AZ229">IF(SUM($D$194:$D$200)=0,$AC$66,MAX(IF($D$194:$D$200&gt;0,$C$194:$C$200)))</f>
        <v>44614</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44614</v>
      </c>
      <c r="AZ230" s="249">
        <f t="array" ref="AZ230">IF(SUM($D$194:$D$200)=0,$AC$66,MAX(IF($D$194:$D$200&gt;0,$C$194:$C$200)))</f>
        <v>44614</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44614</v>
      </c>
      <c r="AZ231" s="249">
        <f t="array" ref="AZ231">IF(SUM($D$194:$D$200)=0,$AC$66,MAX(IF($D$194:$D$200&gt;0,$C$194:$C$200)))</f>
        <v>44614</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44614</v>
      </c>
      <c r="AZ232" s="249">
        <f t="array" ref="AZ232">IF(SUM($D$194:$D$200)=0,$AC$66,MAX(IF($D$194:$D$200&gt;0,$C$194:$C$200)))</f>
        <v>44614</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0283753</v>
      </c>
      <c r="AV233" s="328" t="str">
        <f t="shared" si="182"/>
        <v>0283753</v>
      </c>
      <c r="AW233" s="328">
        <f>COUNTIF($AT$173:$AT232,$AT233)</f>
        <v>0</v>
      </c>
      <c r="AX233" s="201" t="str">
        <f t="shared" si="183"/>
        <v>Ignore me</v>
      </c>
      <c r="AY233" s="249">
        <f t="array" ref="AY233">IF(SUM($D$194:$D$200)=0,$E$66,MIN(IF($D$194:$D$200&gt;0,$C$194:$C$200)))</f>
        <v>44614</v>
      </c>
      <c r="AZ233" s="249">
        <f t="array" ref="AZ233">IF(SUM($D$194:$D$200)=0,$AC$66,MAX(IF($D$194:$D$200&gt;0,$C$194:$C$200)))</f>
        <v>44614</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0433113</v>
      </c>
      <c r="AV234" s="328" t="str">
        <f t="shared" si="182"/>
        <v>0433113</v>
      </c>
      <c r="AW234" s="328">
        <f>COUNTIF($AT$173:$AT233,$AT234)</f>
        <v>0</v>
      </c>
      <c r="AX234" s="201" t="str">
        <f t="shared" si="183"/>
        <v>Ignore me</v>
      </c>
      <c r="AY234" s="249">
        <f t="array" ref="AY234">IF(SUM($D$194:$D$200)=0,$E$66,MIN(IF($D$194:$D$200&gt;0,$C$194:$C$200)))</f>
        <v>44614</v>
      </c>
      <c r="AZ234" s="249">
        <f t="array" ref="AZ234">IF(SUM($D$194:$D$200)=0,$AC$66,MAX(IF($D$194:$D$200&gt;0,$C$194:$C$200)))</f>
        <v>44614</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44614</v>
      </c>
      <c r="AZ235" s="249">
        <f t="array" ref="AZ235">IF(SUM($D$194:$D$200)=0,$AC$66,MAX(IF($D$194:$D$200&gt;0,$C$194:$C$200)))</f>
        <v>44614</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44614</v>
      </c>
      <c r="AZ236" s="249">
        <f t="array" ref="AZ236">IF(SUM($D$194:$D$200)=0,$AC$66,MAX(IF($D$194:$D$200&gt;0,$C$194:$C$200)))</f>
        <v>44614</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44614</v>
      </c>
      <c r="AZ237" s="249">
        <f t="array" ref="AZ237">IF(SUM($D$194:$D$200)=0,$AC$66,MAX(IF($D$194:$D$200&gt;0,$C$194:$C$200)))</f>
        <v>44614</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44614</v>
      </c>
      <c r="AZ238" s="249">
        <f t="array" ref="AZ238">IF(SUM($D$194:$D$200)=0,$AC$66,MAX(IF($D$194:$D$200&gt;0,$C$194:$C$200)))</f>
        <v>44614</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0283753</v>
      </c>
      <c r="AV239" s="328" t="str">
        <f t="shared" si="216"/>
        <v>0283753</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44614</v>
      </c>
      <c r="AZ239" s="249">
        <f t="array" ref="AZ239">IF(SUM($D$194:$D$200)=0,$AC$66,MAX(IF($D$194:$D$200&gt;0,$C$194:$C$200)))</f>
        <v>44614</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0433113</v>
      </c>
      <c r="AV240" s="328" t="str">
        <f t="shared" si="216"/>
        <v>0433113</v>
      </c>
      <c r="AW240" s="328">
        <f>COUNTIF($AT$173:$AT239,$AT240)</f>
        <v>1</v>
      </c>
      <c r="AX240" s="201" t="str">
        <f t="shared" si="217"/>
        <v>Ignore me</v>
      </c>
      <c r="AY240" s="249">
        <f t="array" ref="AY240">IF(SUM($D$194:$D$200)=0,$E$66,MIN(IF($D$194:$D$200&gt;0,$C$194:$C$200)))</f>
        <v>44614</v>
      </c>
      <c r="AZ240" s="249">
        <f t="array" ref="AZ240">IF(SUM($D$194:$D$200)=0,$AC$66,MAX(IF($D$194:$D$200&gt;0,$C$194:$C$200)))</f>
        <v>44614</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44614</v>
      </c>
      <c r="AZ241" s="249">
        <f t="array" ref="AZ241">IF(SUM($D$194:$D$200)=0,$AC$66,MAX(IF($D$194:$D$200&gt;0,$C$194:$C$200)))</f>
        <v>44614</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44614</v>
      </c>
      <c r="AZ242" s="249">
        <f t="array" ref="AZ242">IF(SUM($D$194:$D$200)=0,$AC$66,MAX(IF($D$194:$D$200&gt;0,$C$194:$C$200)))</f>
        <v>44614</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44614</v>
      </c>
      <c r="AZ243" s="249">
        <f t="array" ref="AZ243">IF(SUM($D$194:$D$200)=0,$AC$66,MAX(IF($D$194:$D$200&gt;0,$C$194:$C$200)))</f>
        <v>44614</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44614</v>
      </c>
      <c r="AZ244" s="249">
        <f t="array" ref="AZ244">IF(SUM($D$194:$D$200)=0,$AC$66,MAX(IF($D$194:$D$200&gt;0,$C$194:$C$200)))</f>
        <v>44614</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44620</v>
      </c>
      <c r="AZ245" s="252">
        <f t="array" ref="AZ245">IF(SUM($D$201:$D$207)=0,$AC$82,MAX(IF($D$201:$D$207&gt;0,$C$201:$C$207)))</f>
        <v>44626</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44620</v>
      </c>
      <c r="AZ246" s="252">
        <f t="array" ref="AZ246">IF(SUM($D$201:$D$207)=0,$AC$82,MAX(IF($D$201:$D$207&gt;0,$C$201:$C$207)))</f>
        <v>44626</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44620</v>
      </c>
      <c r="AZ247" s="252">
        <f t="array" ref="AZ247">IF(SUM($D$201:$D$207)=0,$AC$82,MAX(IF($D$201:$D$207&gt;0,$C$201:$C$207)))</f>
        <v>44626</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44620</v>
      </c>
      <c r="AZ248" s="252">
        <f t="array" ref="AZ248">IF(SUM($D$201:$D$207)=0,$AC$82,MAX(IF($D$201:$D$207&gt;0,$C$201:$C$207)))</f>
        <v>44626</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44620</v>
      </c>
      <c r="AZ249" s="252">
        <f t="array" ref="AZ249">IF(SUM($D$201:$D$207)=0,$AC$82,MAX(IF($D$201:$D$207&gt;0,$C$201:$C$207)))</f>
        <v>44626</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44620</v>
      </c>
      <c r="AZ250" s="252">
        <f t="array" ref="AZ250">IF(SUM($D$201:$D$207)=0,$AC$82,MAX(IF($D$201:$D$207&gt;0,$C$201:$C$207)))</f>
        <v>44626</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44620</v>
      </c>
      <c r="AZ251" s="252">
        <f t="array" ref="AZ251">IF(SUM($D$201:$D$207)=0,$AC$82,MAX(IF($D$201:$D$207&gt;0,$C$201:$C$207)))</f>
        <v>44626</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44620</v>
      </c>
      <c r="AZ252" s="252">
        <f t="array" ref="AZ252">IF(SUM($D$201:$D$207)=0,$AC$82,MAX(IF($D$201:$D$207&gt;0,$C$201:$C$207)))</f>
        <v>44626</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44620</v>
      </c>
      <c r="AZ253" s="252">
        <f t="array" ref="AZ253">IF(SUM($D$201:$D$207)=0,$AC$82,MAX(IF($D$201:$D$207&gt;0,$C$201:$C$207)))</f>
        <v>44626</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44620</v>
      </c>
      <c r="AZ254" s="252">
        <f t="array" ref="AZ254">IF(SUM($D$201:$D$207)=0,$AC$82,MAX(IF($D$201:$D$207&gt;0,$C$201:$C$207)))</f>
        <v>44626</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44620</v>
      </c>
      <c r="AZ255" s="252">
        <f t="array" ref="AZ255">IF(SUM($D$201:$D$207)=0,$AC$82,MAX(IF($D$201:$D$207&gt;0,$C$201:$C$207)))</f>
        <v>44626</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44620</v>
      </c>
      <c r="AZ256" s="252">
        <f t="array" ref="AZ256">IF(SUM($D$201:$D$207)=0,$AC$82,MAX(IF($D$201:$D$207&gt;0,$C$201:$C$207)))</f>
        <v>44626</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44620</v>
      </c>
      <c r="AZ257" s="252">
        <f t="array" ref="AZ257">IF(SUM($D$201:$D$207)=0,$AC$82,MAX(IF($D$201:$D$207&gt;0,$C$201:$C$207)))</f>
        <v>44626</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44620</v>
      </c>
      <c r="AZ258" s="252">
        <f t="array" ref="AZ258">IF(SUM($D$201:$D$207)=0,$AC$82,MAX(IF($D$201:$D$207&gt;0,$C$201:$C$207)))</f>
        <v>44626</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44620</v>
      </c>
      <c r="AZ259" s="252">
        <f t="array" ref="AZ259">IF(SUM($D$201:$D$207)=0,$AC$82,MAX(IF($D$201:$D$207&gt;0,$C$201:$C$207)))</f>
        <v>44626</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44620</v>
      </c>
      <c r="AZ260" s="252">
        <f t="array" ref="AZ260">IF(SUM($D$201:$D$207)=0,$AC$82,MAX(IF($D$201:$D$207&gt;0,$C$201:$C$207)))</f>
        <v>44626</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44620</v>
      </c>
      <c r="AZ261" s="252">
        <f t="array" ref="AZ261">IF(SUM($D$201:$D$207)=0,$AC$82,MAX(IF($D$201:$D$207&gt;0,$C$201:$C$207)))</f>
        <v>44626</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44620</v>
      </c>
      <c r="AZ262" s="252">
        <f t="array" ref="AZ262">IF(SUM($D$201:$D$207)=0,$AC$82,MAX(IF($D$201:$D$207&gt;0,$C$201:$C$207)))</f>
        <v>44626</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99263</v>
      </c>
      <c r="AV263" s="328" t="str">
        <f t="shared" si="216"/>
        <v>99263</v>
      </c>
      <c r="AW263" s="328">
        <f>COUNTIF($AT$173:$AT262,$AT263)</f>
        <v>0</v>
      </c>
      <c r="AX263" s="201" t="str">
        <f t="shared" si="217"/>
        <v>Claim</v>
      </c>
      <c r="AY263" s="389">
        <f t="array" ref="AY263">MIN(IF($D$173:$D$207&gt;0,$C$173:$C$207))</f>
        <v>44614</v>
      </c>
      <c r="AZ263" s="271">
        <f t="array" ref="AZ263">MAX(IF($D$173:$D$207&gt;0,$C$173:$C$207))</f>
        <v>44614</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4.6539200000000003</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44614</v>
      </c>
      <c r="AZ264" s="271">
        <f t="array" ref="AZ264">MAX(IF($D$173:$D$207&gt;0,$C$173:$C$207))</f>
        <v>44614</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44614</v>
      </c>
      <c r="AZ265" s="271">
        <f t="array" ref="AZ265">MAX(IF($D$173:$D$207&gt;0,$C$173:$C$207))</f>
        <v>44614</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96094632</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44614</v>
      </c>
      <c r="AZ266" s="397">
        <f t="array" ref="AZ266">MAX(IF($D$173:$D$207&gt;0,$C$173:$C$207))</f>
        <v>44614</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06094632</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44614</v>
      </c>
      <c r="AZ267" s="397">
        <f t="array" ref="AZ267">MAX(IF($D$173:$D$207&gt;0,$C$173:$C$207))</f>
        <v>44614</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06094632</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44614</v>
      </c>
      <c r="AZ268" s="397">
        <f t="array" ref="AZ268">MAX(IF($D$173:$D$207&gt;0,$C$173:$C$207))</f>
        <v>44614</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96984345</v>
      </c>
      <c r="AV269" s="328" t="str">
        <f t="shared" si="216"/>
        <v>90</v>
      </c>
      <c r="AW269" s="328">
        <f>COUNTIF($AT$173:$AT268,$AT269)</f>
        <v>0</v>
      </c>
      <c r="AX269" s="201" t="str">
        <f t="shared" si="228"/>
        <v>Ignore me</v>
      </c>
      <c r="AY269" s="396">
        <f t="array" ref="AY269">MIN(IF($D$173:$D$207&gt;0,$C$173:$C$207))</f>
        <v>44614</v>
      </c>
      <c r="AZ269" s="397">
        <f t="array" ref="AZ269">MAX(IF($D$173:$D$207&gt;0,$C$173:$C$207))</f>
        <v>44614</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06984345</v>
      </c>
      <c r="AV270" s="328" t="str">
        <f t="shared" si="216"/>
        <v>00</v>
      </c>
      <c r="AW270" s="328">
        <f>COUNTIF($AT$173:$AT269,$AT270)</f>
        <v>0</v>
      </c>
      <c r="AX270" s="201" t="str">
        <f t="shared" si="228"/>
        <v>Ignore me</v>
      </c>
      <c r="AY270" s="396">
        <f t="array" ref="AY270">MIN(IF($D$173:$D$207&gt;0,$C$173:$C$207))</f>
        <v>44614</v>
      </c>
      <c r="AZ270" s="397">
        <f t="array" ref="AZ270">MAX(IF($D$173:$D$207&gt;0,$C$173:$C$207))</f>
        <v>44614</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06984345</v>
      </c>
      <c r="AV271" s="328" t="str">
        <f t="shared" si="216"/>
        <v>00</v>
      </c>
      <c r="AW271" s="328">
        <f>COUNTIF($AT$173:$AT270,$AT271)</f>
        <v>1</v>
      </c>
      <c r="AX271" s="201" t="str">
        <f t="shared" si="228"/>
        <v>Ignore me</v>
      </c>
      <c r="AY271" s="396">
        <f t="array" ref="AY271">MIN(IF($D$173:$D$207&gt;0,$C$173:$C$207))</f>
        <v>44614</v>
      </c>
      <c r="AZ271" s="397">
        <f t="array" ref="AZ271">MAX(IF($D$173:$D$207&gt;0,$C$173:$C$207))</f>
        <v>44614</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44614</v>
      </c>
      <c r="AZ275" s="327">
        <f t="array" ref="AZ275">IFERROR(INDEX(AZ$173:AZ$271, SMALL(IF($AX$173:$AX$271="Claim", ROW(AZ$173:AZ$271)-MIN(ROW(AZ$173:AZ$271))+1, ""), ROW(B1))), "")</f>
        <v>44614</v>
      </c>
      <c r="BA275" s="5">
        <f t="array" ref="BA275">IFERROR(INDEX(BA$173:BA$275, SMALL(IF($AX$173:$AX$275="Claim", ROW(BA$173:BA$275)-MIN(ROW(BA$173:BA$275))+1, ""), ROW(C1))), "")</f>
        <v>9</v>
      </c>
      <c r="BB275" s="5">
        <f t="array" ref="BB275">IFERROR(INDEX(BB$173:BB$271, SMALL(IF($AX$173:$AX$271="Claim", ROW(BB$173:BB$271)-MIN(ROW(BB$173:BB$271))+1, ""), ROW(D1))), "")</f>
        <v>2</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44614</v>
      </c>
      <c r="AZ276" s="327">
        <f t="array" ref="AZ276">IFERROR(INDEX(AZ$173:AZ$271, SMALL(IF($AX$173:$AX$271="Claim", ROW(AZ$173:AZ$271)-MIN(ROW(AZ$173:AZ$271))+1, ""), ROW(B2))), "")</f>
        <v>44614</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0</v>
      </c>
      <c r="BD276" s="5">
        <f t="array" ref="BD276">IFERROR(INDEX(BD$173:BD$271, SMALL(IF($AX$173:$AX$271="Claim", ROW(BD$173:BD$271)-MIN(ROW(BD$173:BD$271))+1, ""), ROW(F2))), "")</f>
        <v>0</v>
      </c>
      <c r="BE276" s="5">
        <f t="array" ref="BE276">IFERROR(INDEX(BE$173:BE$271, SMALL(IF($AX$173:$AX$271="Claim", ROW(BE$173:BE$271)-MIN(ROW(BE$173:BE$271))+1, ""), ROW(G2))), "")</f>
        <v>0</v>
      </c>
      <c r="BF276" s="5">
        <f t="array" ref="BF276">IFERROR(INDEX(BF$173:BF$271, SMALL(IF($AX$173:$AX$271="Claim", ROW(BF$173:BF$271)-MIN(ROW(BF$173:BF$271))+1, ""), ROW(H2))), "")</f>
        <v>0</v>
      </c>
      <c r="BG276" s="5">
        <f t="array" ref="BG276">IFERROR(INDEX(BG$173:BG$271, SMALL(IF($AX$173:$AX$271="Claim", ROW(BG$173:BG$271)-MIN(ROW(BG$173:BG$271))+1, ""), ROW(I2))), "")</f>
        <v>0</v>
      </c>
      <c r="BH276" s="5">
        <f t="array" ref="BH276">IFERROR(INDEX(BH$173:BH$271, SMALL(IF($AX$173:$AX$271="Claim", ROW(BH$173:BH$271)-MIN(ROW(BH$173:BH$271))+1, ""), ROW(J2))), "")</f>
        <v>0</v>
      </c>
      <c r="BI276" s="5">
        <f t="array" ref="BI276">IFERROR(INDEX(BI$173:BI$271, SMALL(IF($AX$173:$AX$271="Claim", ROW(BI$173:BI$271)-MIN(ROW(BI$173:BI$271))+1, ""), ROW(K2))), "")</f>
        <v>0</v>
      </c>
      <c r="BJ276" s="5">
        <f t="array" ref="BJ276">IFERROR(INDEX(BJ$173:BJ$271, SMALL(IF($AX$173:$AX$271="Claim", ROW(BJ$173:BJ$271)-MIN(ROW(BJ$173:BJ$271))+1, ""), ROW(L2))), "")</f>
        <v>0</v>
      </c>
      <c r="BK276" s="5">
        <f t="array" ref="BK276">IFERROR(INDEX(BK$173:BK$271, SMALL(IF($AX$173:$AX$271="Claim", ROW(BK$173:BK$271)-MIN(ROW(BK$173:BK$271))+1, ""), ROW(M2))), "")</f>
        <v>0</v>
      </c>
      <c r="BL276" s="5">
        <f t="array" ref="BL276">IFERROR(INDEX(BL$173:BL$271, SMALL(IF($AX$173:$AX$271="Claim", ROW(BL$173:BL$271)-MIN(ROW(BL$173:BL$271))+1, ""), ROW(N2))), "")</f>
        <v>0</v>
      </c>
      <c r="BM276" s="5">
        <f t="array" ref="BM276">IFERROR(INDEX(BM$173:BM$271, SMALL(IF($AX$173:$AX$271="Claim", ROW(BM$173:BM$271)-MIN(ROW(BM$173:BM$271))+1, ""), ROW(O2))), "")</f>
        <v>0</v>
      </c>
      <c r="BN276" s="5">
        <f t="array" ref="BN276">IFERROR(INDEX(BN$173:BN$271, SMALL(IF($AX$173:$AX$271="Claim", ROW(BN$173:BN$271)-MIN(ROW(BN$173:BN$271))+1, ""), ROW(P2))), "")</f>
        <v>0</v>
      </c>
      <c r="BO276" s="5">
        <f t="array" ref="BO276">IFERROR(INDEX(BO$173:BO$271, SMALL(IF($AX$173:$AX$271="Claim", ROW(BO$173:BO$271)-MIN(ROW(BO$173:BO$271))+1, ""), ROW(Q2))), "")</f>
        <v>0</v>
      </c>
      <c r="BP276" s="5">
        <f t="array" ref="BP276">IFERROR(INDEX(BP$173:BP$271, SMALL(IF($AX$173:$AX$271="Claim", ROW(BP$173:BP$271)-MIN(ROW(BP$173:BP$271))+1, ""), ROW(R2))), "")</f>
        <v>0</v>
      </c>
      <c r="BQ276" s="5">
        <f t="array" ref="BQ276">IFERROR(INDEX(BQ$173:BQ$271, SMALL(IF($AX$173:$AX$271="Claim", ROW(BQ$173:BQ$271)-MIN(ROW(BQ$173:BQ$271))+1, ""), ROW(S2))), "")</f>
        <v>0</v>
      </c>
      <c r="BR276" s="5">
        <f t="array" ref="BR276">IFERROR(INDEX(BR$173:BR$271, SMALL(IF($AX$173:$AX$271="Claim", ROW(BR$173:BR$271)-MIN(ROW(BR$173:BR$271))+1, ""), ROW(T2))), "")</f>
        <v>0</v>
      </c>
      <c r="BS276" s="5">
        <f t="array" ref="BS276">IFERROR(INDEX(BS$173:BS$271, SMALL(IF($AX$173:$AX$271="Claim", ROW(BS$173:BS$271)-MIN(ROW(BS$173:BS$271))+1, ""), ROW(U2))), "")</f>
        <v>0</v>
      </c>
      <c r="BT276" s="5">
        <f t="array" ref="BT276">IFERROR(INDEX(BT$173:BT$271, SMALL(IF($AX$173:$AX$271="Claim", ROW(BT$173:BT$271)-MIN(ROW(BT$173:BT$271))+1, ""), ROW(V2))), "")</f>
        <v>0</v>
      </c>
      <c r="BU276" s="5">
        <f t="array" ref="BU276">IFERROR(INDEX(BU$173:BU$271, SMALL(IF($AX$173:$AX$271="Claim", ROW(BU$173:BU$271)-MIN(ROW(BU$173:BU$271))+1, ""), ROW(W2))), "")</f>
        <v>0</v>
      </c>
      <c r="BV276" s="5">
        <f t="array" ref="BV276">IFERROR(INDEX(BV$173:BV$271, SMALL(IF($AX$173:$AX$271="Claim", ROW(BV$173:BV$271)-MIN(ROW(BV$173:BV$271))+1, ""), ROW(X2))), "")</f>
        <v>0</v>
      </c>
      <c r="BW276" s="5">
        <f t="array" ref="BW276">IFERROR(INDEX(BW$173:BW$271, SMALL(IF($AX$173:$AX$271="Claim", ROW(BW$173:BW$271)-MIN(ROW(BW$173:BW$271))+1, ""), ROW(Y2))), "")</f>
        <v>0</v>
      </c>
      <c r="BX276" s="5">
        <f t="array" ref="BX276">IFERROR(INDEX(BX$173:BX$271, SMALL(IF($AX$173:$AX$271="Claim", ROW(BX$173:BX$271)-MIN(ROW(BX$173:BX$271))+1, ""), ROW(Z2))), "")</f>
        <v>0</v>
      </c>
      <c r="BY276" s="5">
        <f t="array" ref="BY276">IFERROR(INDEX(BY$173:BY$271, SMALL(IF($AX$173:$AX$271="Claim", ROW(BY$173:BY$271)-MIN(ROW(BY$173:BY$271))+1, ""), ROW(AA2))), "")</f>
        <v>0</v>
      </c>
      <c r="BZ276" s="5">
        <f t="array" ref="BZ276">IFERROR(INDEX(BZ$173:BZ$271, SMALL(IF($AX$173:$AX$271="Claim", ROW(BZ$173:BZ$271)-MIN(ROW(BZ$173:BZ$271))+1, ""), ROW(AB2))), "")</f>
        <v>0</v>
      </c>
      <c r="CA276" s="5">
        <f t="array" ref="CA276">IFERROR(INDEX(CA$173:CA$271, SMALL(IF($AX$173:$AX$271="Claim", ROW(CA$173:CA$271)-MIN(ROW(CA$173:CA$271))+1, ""), ROW(AC2))), "")</f>
        <v>0</v>
      </c>
      <c r="CB276" s="5">
        <f t="array" ref="CB276">IFERROR(INDEX(CB$173:CB$271, SMALL(IF($AX$173:$AX$271="Claim", ROW(CB$173:CB$271)-MIN(ROW(CB$173:CB$271))+1, ""), ROW(AD2))), "")</f>
        <v>0</v>
      </c>
      <c r="CC276" s="5">
        <f t="array" ref="CC276">IFERROR(INDEX(CC$173:CC$271, SMALL(IF($AX$173:$AX$271="Claim", ROW(CC$173:CC$271)-MIN(ROW(CC$173:CC$271))+1, ""), ROW(AE2))), "")</f>
        <v>0</v>
      </c>
      <c r="CD276" s="5">
        <f t="array" ref="CD276">IFERROR(INDEX(CD$173:CD$271, SMALL(IF($AX$173:$AX$271="Claim", ROW(CD$173:CD$271)-MIN(ROW(CD$173:CD$271))+1, ""), ROW(AF2))), "")</f>
        <v>0</v>
      </c>
      <c r="CE276" s="5">
        <f t="array" ref="CE276">IFERROR(INDEX(CE$173:CE$271, SMALL(IF($AX$173:$AX$271="Claim", ROW(CE$173:CE$271)-MIN(ROW(CE$173:CE$271))+1, ""), ROW(AG2))), "")</f>
        <v>0</v>
      </c>
      <c r="CF276" s="5">
        <f t="array" ref="CF276">IFERROR(INDEX(CF$173:CF$271, SMALL(IF($AX$173:$AX$271="Claim", ROW(CF$173:CF$271)-MIN(ROW(CF$173:CF$271))+1, ""), ROW(AH2))), "")</f>
        <v>0</v>
      </c>
      <c r="CG276" s="5">
        <f t="array" ref="CG276">IFERROR(INDEX(CG$173:CG$271, SMALL(IF($AX$173:$AX$271="Claim", ROW(CG$173:CG$271)-MIN(ROW(CG$173:CG$271))+1, ""), ROW(AI2))), "")</f>
        <v>0</v>
      </c>
      <c r="CH276" s="5">
        <f t="array" ref="CH276">IFERROR(INDEX(CH$173:CH$271, SMALL(IF($AX$173:$AX$271="Claim", ROW(CH$173:CH$271)-MIN(ROW(CH$173:CH$271))+1, ""), ROW(AJ2))), "")</f>
        <v>4.6539200000000003</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22/02/2022</v>
      </c>
      <c r="AZ377" s="5" t="str">
        <f>TEXT(AZ275,"dd/mm/yyyy")</f>
        <v>22/02/2022</v>
      </c>
      <c r="BA377" s="5" t="str">
        <f t="shared" ref="BA377:BA408" si="231">TEXT(BA275,"000000000")</f>
        <v>000000009</v>
      </c>
      <c r="BB377" s="5" t="str">
        <f t="shared" ref="BB377:BB408" si="232">TEXT(IF(BB275=0,"",BB275),"0.0000")</f>
        <v>2.0000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22/02/2022</v>
      </c>
      <c r="AZ378" s="5" t="str">
        <f t="shared" si="265"/>
        <v>22/02/2022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4.65</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31 January - 27 February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School of Electronics and Computer Science</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Georgios</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31 January - 27 February 2022</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217</v>
      </c>
      <c r="S16" s="528"/>
      <c r="T16" s="528"/>
      <c r="U16" s="528"/>
      <c r="V16" s="528"/>
      <c r="W16" s="756" t="str">
        <f>IF(E8&lt;&gt;"Select faculty first",'UniWorkforce Hourly Timesheet'!W9,IF(P8&lt;&gt;"Select faculty first",'UniWorkforce Fixed Fee Claim'!Z9,"Enter details on timesheet first"))</f>
        <v>School of Electronics and Computer Science</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60" t="s">
        <v>220</v>
      </c>
      <c r="F18" s="760"/>
      <c r="G18" s="760"/>
      <c r="H18" s="760"/>
      <c r="I18" s="760"/>
      <c r="J18" s="760"/>
      <c r="K18" s="760"/>
      <c r="L18" s="760"/>
      <c r="M18" s="760"/>
      <c r="N18" s="760"/>
      <c r="O18" s="760" t="s">
        <v>221</v>
      </c>
      <c r="P18" s="760"/>
      <c r="Q18" s="760"/>
      <c r="R18" s="760"/>
      <c r="S18" s="760"/>
      <c r="T18" s="760"/>
      <c r="U18" s="760"/>
      <c r="V18" s="760"/>
      <c r="W18" s="760"/>
      <c r="X18" s="760"/>
      <c r="Y18" s="515" t="s">
        <v>222</v>
      </c>
      <c r="Z18" s="515"/>
      <c r="AA18" s="515"/>
      <c r="AB18" s="515"/>
      <c r="AC18" s="515" t="s">
        <v>223</v>
      </c>
      <c r="AD18" s="515"/>
      <c r="AE18" s="515"/>
      <c r="AF18" s="759" t="s">
        <v>224</v>
      </c>
      <c r="AG18" s="759"/>
      <c r="AH18" s="759"/>
      <c r="AI18" s="759"/>
      <c r="AJ18" s="759"/>
      <c r="AK18" s="61" t="s">
        <v>225</v>
      </c>
      <c r="AL18" s="61" t="s">
        <v>226</v>
      </c>
      <c r="AM18" s="45"/>
      <c r="AP18" s="1" t="s">
        <v>227</v>
      </c>
    </row>
    <row r="19" spans="2:47" ht="15" customHeight="1" x14ac:dyDescent="0.2">
      <c r="B19" s="40"/>
      <c r="D19" s="69"/>
      <c r="E19" s="764" t="s">
        <v>228</v>
      </c>
      <c r="F19" s="526"/>
      <c r="G19" s="526"/>
      <c r="H19" s="526"/>
      <c r="I19" s="526"/>
      <c r="J19" s="526"/>
      <c r="K19" s="526"/>
      <c r="L19" s="526"/>
      <c r="M19" s="526"/>
      <c r="N19" s="527"/>
      <c r="O19" s="764" t="s">
        <v>227</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64" t="s">
        <v>228</v>
      </c>
      <c r="F20" s="526"/>
      <c r="G20" s="526"/>
      <c r="H20" s="526"/>
      <c r="I20" s="526"/>
      <c r="J20" s="526"/>
      <c r="K20" s="526"/>
      <c r="L20" s="526"/>
      <c r="M20" s="526"/>
      <c r="N20" s="527"/>
      <c r="O20" s="764" t="s">
        <v>227</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228</v>
      </c>
      <c r="F21" s="526"/>
      <c r="G21" s="526"/>
      <c r="H21" s="526"/>
      <c r="I21" s="526"/>
      <c r="J21" s="526"/>
      <c r="K21" s="526"/>
      <c r="L21" s="526"/>
      <c r="M21" s="526"/>
      <c r="N21" s="527"/>
      <c r="O21" s="764" t="s">
        <v>227</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64" t="s">
        <v>228</v>
      </c>
      <c r="F22" s="526"/>
      <c r="G22" s="526"/>
      <c r="H22" s="526"/>
      <c r="I22" s="526"/>
      <c r="J22" s="526"/>
      <c r="K22" s="526"/>
      <c r="L22" s="526"/>
      <c r="M22" s="526"/>
      <c r="N22" s="527"/>
      <c r="O22" s="764" t="s">
        <v>227</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64" t="s">
        <v>228</v>
      </c>
      <c r="F23" s="526"/>
      <c r="G23" s="526"/>
      <c r="H23" s="526"/>
      <c r="I23" s="526"/>
      <c r="J23" s="526"/>
      <c r="K23" s="526"/>
      <c r="L23" s="526"/>
      <c r="M23" s="526"/>
      <c r="N23" s="527"/>
      <c r="O23" s="764" t="s">
        <v>227</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64" t="s">
        <v>228</v>
      </c>
      <c r="F24" s="526"/>
      <c r="G24" s="526"/>
      <c r="H24" s="526"/>
      <c r="I24" s="526"/>
      <c r="J24" s="526"/>
      <c r="K24" s="526"/>
      <c r="L24" s="526"/>
      <c r="M24" s="526"/>
      <c r="N24" s="527"/>
      <c r="O24" s="764" t="s">
        <v>227</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64" t="s">
        <v>228</v>
      </c>
      <c r="F25" s="526"/>
      <c r="G25" s="526"/>
      <c r="H25" s="526"/>
      <c r="I25" s="526"/>
      <c r="J25" s="526"/>
      <c r="K25" s="526"/>
      <c r="L25" s="526"/>
      <c r="M25" s="526"/>
      <c r="N25" s="527"/>
      <c r="O25" s="764" t="s">
        <v>227</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64" t="s">
        <v>228</v>
      </c>
      <c r="F26" s="526"/>
      <c r="G26" s="526"/>
      <c r="H26" s="526"/>
      <c r="I26" s="526"/>
      <c r="J26" s="526"/>
      <c r="K26" s="526"/>
      <c r="L26" s="526"/>
      <c r="M26" s="526"/>
      <c r="N26" s="527"/>
      <c r="O26" s="764" t="s">
        <v>227</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64" t="s">
        <v>228</v>
      </c>
      <c r="F27" s="526"/>
      <c r="G27" s="526"/>
      <c r="H27" s="526"/>
      <c r="I27" s="526"/>
      <c r="J27" s="526"/>
      <c r="K27" s="526"/>
      <c r="L27" s="526"/>
      <c r="M27" s="526"/>
      <c r="N27" s="527"/>
      <c r="O27" s="764" t="s">
        <v>227</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64" t="s">
        <v>228</v>
      </c>
      <c r="F28" s="526"/>
      <c r="G28" s="526"/>
      <c r="H28" s="526"/>
      <c r="I28" s="526"/>
      <c r="J28" s="526"/>
      <c r="K28" s="526"/>
      <c r="L28" s="526"/>
      <c r="M28" s="526"/>
      <c r="N28" s="527"/>
      <c r="O28" s="764" t="s">
        <v>227</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64" t="s">
        <v>228</v>
      </c>
      <c r="F29" s="526"/>
      <c r="G29" s="526"/>
      <c r="H29" s="526"/>
      <c r="I29" s="526"/>
      <c r="J29" s="526"/>
      <c r="K29" s="526"/>
      <c r="L29" s="526"/>
      <c r="M29" s="526"/>
      <c r="N29" s="527"/>
      <c r="O29" s="764" t="s">
        <v>227</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64" t="s">
        <v>228</v>
      </c>
      <c r="F30" s="526"/>
      <c r="G30" s="526"/>
      <c r="H30" s="526"/>
      <c r="I30" s="526"/>
      <c r="J30" s="526"/>
      <c r="K30" s="526"/>
      <c r="L30" s="526"/>
      <c r="M30" s="526"/>
      <c r="N30" s="527"/>
      <c r="O30" s="764" t="s">
        <v>227</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64" t="s">
        <v>228</v>
      </c>
      <c r="F31" s="526"/>
      <c r="G31" s="526"/>
      <c r="H31" s="526"/>
      <c r="I31" s="526"/>
      <c r="J31" s="526"/>
      <c r="K31" s="526"/>
      <c r="L31" s="526"/>
      <c r="M31" s="526"/>
      <c r="N31" s="527"/>
      <c r="O31" s="764" t="s">
        <v>227</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228</v>
      </c>
      <c r="F32" s="526"/>
      <c r="G32" s="526"/>
      <c r="H32" s="526"/>
      <c r="I32" s="526"/>
      <c r="J32" s="526"/>
      <c r="K32" s="526"/>
      <c r="L32" s="526"/>
      <c r="M32" s="526"/>
      <c r="N32" s="527"/>
      <c r="O32" s="764" t="s">
        <v>227</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241</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242</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243</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41" t="s">
        <v>246</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247</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31.85</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27.2</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4.6500000000000004</v>
      </c>
      <c r="AK3" s="9">
        <f>SUM(AK4:AK99)</f>
        <v>0</v>
      </c>
      <c r="AL3" s="9">
        <f>SUM(AL4:AL99)</f>
        <v>0</v>
      </c>
    </row>
    <row r="4" spans="1:38" hidden="1" x14ac:dyDescent="0.2">
      <c r="H4" s="9">
        <f>ROUND(IFERROR(H104*I104,0),2)</f>
        <v>27.2</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4.6500000000000004</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22/02/2022</v>
      </c>
      <c r="F104" s="16" t="str">
        <f>'UniWorkforce Hourly Timesheet'!AZ377</f>
        <v>22/02/2022</v>
      </c>
      <c r="G104" s="16" t="str">
        <f>'UniWorkforce Hourly Timesheet'!BA377</f>
        <v>000000009</v>
      </c>
      <c r="H104" s="16" t="str">
        <f>'UniWorkforce Hourly Timesheet'!BB377</f>
        <v>2.0000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22/02/2022</v>
      </c>
      <c r="F105" s="16" t="str">
        <f>'UniWorkforce Hourly Timesheet'!AZ378</f>
        <v>22/02/2022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4.65</v>
      </c>
      <c r="AK105" s="16" t="str">
        <f>'UniWorkforce Hourly Timesheet'!CI378</f>
        <v/>
      </c>
      <c r="AL105" s="16" t="str">
        <f>'UniWorkforce Hourly Timesheet'!CJ378</f>
        <v/>
      </c>
    </row>
    <row r="106" spans="1:38" x14ac:dyDescent="0.2">
      <c r="A106" s="16" t="str">
        <f>IF(AND(E105="",E106=""),"",IF(E106="","&lt;EOD&gt;",TEXT('UniWorkforce Hourly Timesheet'!$Z$5,"0000000")))</f>
        <v>&lt;EOD&gt;</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Props1.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4.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2022-02-24T13:48:17Z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