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Hours Claim/data managment lab/February 2022/"/>
    </mc:Choice>
  </mc:AlternateContent>
  <xr:revisionPtr revIDLastSave="0" documentId="13_ncr:1_{6CDDC277-15E6-1E4F-AEB8-C4A1F993BAB8}"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500" windowWidth="28800" windowHeight="158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CC453" i="1" l="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V16" i="7"/>
  <c r="P4" i="7"/>
  <c r="P58" i="7"/>
  <c r="AD15" i="7"/>
  <c r="R10" i="7"/>
  <c r="AD17" i="7"/>
  <c r="J13" i="7"/>
  <c r="Z9" i="7"/>
  <c r="AH28" i="7"/>
  <c r="AB7" i="7"/>
  <c r="AF54" i="7"/>
  <c r="N5" i="7"/>
  <c r="J5" i="7"/>
  <c r="J78" i="7"/>
  <c r="J21"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AD82" i="7" l="1"/>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<sst xmlns="http://schemas.openxmlformats.org/spreadsheetml/2006/main" count="2295" uniqueCount="823">
  <si>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</si>
  <si>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</si>
  <si>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</si>
  <si>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</si>
  <si>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</si>
  <si>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</si>
  <si>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</si>
  <si>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</si>
  <si>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</si>
  <si>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</si>
  <si>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</si>
  <si>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</si>
  <si>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</si>
  <si>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</si>
  <si>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</si>
  <si>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</si>
  <si>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</si>
  <si>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</si>
  <si>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</si>
  <si>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</si>
  <si>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</si>
  <si>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</si>
  <si>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</si>
  <si>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</si>
  <si>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</si>
  <si>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</si>
  <si>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</si>
  <si>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</si>
  <si>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</si>
  <si>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</si>
  <si>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</si>
  <si>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</si>
  <si>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</si>
  <si>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</si>
  <si>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</si>
  <si>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</si>
  <si>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</si>
  <si>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</si>
  <si>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</si>
  <si>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</si>
  <si>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</si>
  <si>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</si>
  <si>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</si>
  <si>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</si>
  <si>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</si>
  <si>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</si>
  <si>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</si>
  <si>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</si>
  <si>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</si>
  <si>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</si>
  <si>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</si>
  <si>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</si>
  <si>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</si>
  <si>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</si>
  <si>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</si>
  <si>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</si>
  <si>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</si>
  <si>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</si>
  <si>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</si>
  <si>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</si>
  <si>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</si>
  <si>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</si>
  <si>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</si>
  <si>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</si>
  <si>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</si>
  <si>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</si>
  <si>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</si>
  <si>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</si>
  <si>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</si>
  <si>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</si>
  <si>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</si>
  <si>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</si>
  <si>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</si>
  <si>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</si>
  <si>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</si>
  <si>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</si>
  <si>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</si>
  <si>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</si>
  <si>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</si>
  <si>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</si>
  <si>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</si>
  <si>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</si>
  <si>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</si>
  <si>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</si>
  <si>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</si>
  <si>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</si>
  <si>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</si>
  <si>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</si>
  <si>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</si>
  <si>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</si>
  <si>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</si>
  <si>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</si>
  <si>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</si>
  <si>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</si>
  <si>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</si>
  <si>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</si>
  <si>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</si>
  <si>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</si>
  <si>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</si>
  <si>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</si>
  <si>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</si>
  <si>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</si>
  <si>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</si>
  <si>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</si>
  <si>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</si>
  <si>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</si>
  <si>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</si>
  <si>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</si>
  <si>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</si>
  <si>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</si>
  <si>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</si>
  <si>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</si>
  <si>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</si>
  <si>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</si>
  <si>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</si>
  <si>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</si>
  <si>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</si>
  <si>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</si>
  <si>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</si>
  <si>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</si>
  <si>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</si>
  <si>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</si>
  <si>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</si>
  <si>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</si>
  <si>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</si>
  <si>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</si>
  <si>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</si>
  <si>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</si>
  <si>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</si>
  <si>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</si>
  <si>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</si>
  <si>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</si>
  <si>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</si>
  <si>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</si>
  <si>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</si>
  <si>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</si>
  <si>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</si>
  <si>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</si>
  <si>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</si>
  <si>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</si>
  <si>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</si>
  <si>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</si>
  <si>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</si>
  <si>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</si>
  <si>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</si>
  <si>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</si>
  <si>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</si>
  <si>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</si>
  <si>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</si>
  <si>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</si>
  <si>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</si>
  <si>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</si>
  <si>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</si>
  <si>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</si>
  <si>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</si>
  <si>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</si>
  <si>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</si>
  <si>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</si>
  <si>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</si>
  <si>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</si>
  <si>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</si>
  <si>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</si>
  <si>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</si>
  <si>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</si>
  <si>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</si>
  <si>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</si>
  <si>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</si>
  <si>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</si>
  <si>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</si>
  <si>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</si>
  <si>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</si>
  <si>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</si>
  <si>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</si>
  <si>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</si>
  <si>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</si>
  <si>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</si>
  <si>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</si>
  <si>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</si>
  <si>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</si>
  <si>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</si>
  <si>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</si>
  <si>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</si>
  <si>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</si>
  <si>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</si>
  <si>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</si>
  <si>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</si>
  <si>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</si>
  <si>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</si>
  <si>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</si>
  <si>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</si>
  <si>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</si>
  <si>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</si>
  <si>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</si>
  <si>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</si>
  <si>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</si>
  <si>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</si>
  <si>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</si>
  <si>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</si>
  <si>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</si>
  <si>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</si>
  <si>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</si>
  <si>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</si>
  <si>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</si>
  <si>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</si>
  <si>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</si>
  <si>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</si>
  <si>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</si>
  <si>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</si>
  <si>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</si>
  <si>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</si>
  <si>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</si>
  <si>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</si>
  <si>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</si>
  <si>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</si>
  <si>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</si>
  <si>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</si>
  <si>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</si>
  <si>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</si>
  <si>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</si>
  <si>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</si>
  <si>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</si>
  <si>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</si>
  <si>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</si>
  <si>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</si>
  <si>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</si>
  <si>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</si>
  <si>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</si>
  <si>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</si>
  <si>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</si>
  <si>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</si>
  <si>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</si>
  <si>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</si>
  <si>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</si>
  <si>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</si>
  <si>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</si>
  <si>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</si>
  <si>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</si>
  <si>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</si>
  <si>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</si>
  <si>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</si>
  <si>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</si>
  <si>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</si>
  <si>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</si>
  <si>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</si>
  <si>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</si>
  <si>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</si>
  <si>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</si>
  <si>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</si>
  <si>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</si>
  <si>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</si>
  <si>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</si>
  <si>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</si>
  <si>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</si>
  <si>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</si>
  <si>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</si>
  <si>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</si>
  <si>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</si>
  <si>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</si>
  <si>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</si>
  <si>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</si>
  <si>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</si>
  <si>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</si>
  <si>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</si>
  <si>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</si>
  <si>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</si>
  <si>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</si>
  <si>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</si>
  <si>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</si>
  <si>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</si>
  <si>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</si>
  <si>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</si>
  <si>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</si>
  <si>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</si>
  <si>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</si>
  <si>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</si>
  <si>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</si>
  <si>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</si>
  <si>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</si>
  <si>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</si>
  <si>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</si>
  <si>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</si>
  <si>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</si>
  <si>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</si>
  <si>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</si>
  <si>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</si>
  <si>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</si>
  <si>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</si>
  <si>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</si>
  <si>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</si>
  <si>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</si>
  <si>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</si>
  <si>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</si>
  <si>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</si>
  <si>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</si>
  <si>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</si>
  <si>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</si>
  <si>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</si>
  <si>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</si>
  <si>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</si>
  <si>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</si>
  <si>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</si>
  <si>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</si>
  <si>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</si>
  <si>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</si>
  <si>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</si>
  <si>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</si>
  <si>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</si>
  <si>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</si>
  <si>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</si>
  <si>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</si>
  <si>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</si>
  <si>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</si>
  <si>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</si>
  <si>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</si>
  <si>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</si>
  <si>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</si>
  <si>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</si>
  <si>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</si>
  <si>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</si>
  <si>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</si>
  <si>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</si>
  <si>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</si>
  <si>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</si>
  <si>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</si>
  <si>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</si>
  <si>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</si>
  <si>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</si>
  <si>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</si>
  <si>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</si>
  <si>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</si>
  <si>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</si>
  <si>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</si>
  <si>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</si>
  <si>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</si>
  <si>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</si>
  <si>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</si>
  <si>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</si>
  <si>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</si>
  <si>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</si>
  <si>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</si>
  <si>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</si>
  <si>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</si>
  <si>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</si>
  <si>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</si>
  <si>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</si>
  <si>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</si>
  <si>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</si>
  <si>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</si>
  <si>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</si>
  <si>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</si>
  <si>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</si>
  <si>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</si>
  <si>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</si>
  <si>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</si>
  <si>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</si>
  <si>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</si>
  <si>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</si>
  <si>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</si>
  <si>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</si>
  <si>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</si>
  <si>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</si>
  <si>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</si>
  <si>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</si>
  <si>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</si>
  <si>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</si>
  <si>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</si>
  <si>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</si>
  <si>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</si>
  <si>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</si>
  <si>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</si>
  <si>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</si>
  <si>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</si>
  <si>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</si>
  <si>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</si>
  <si>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</si>
  <si>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</si>
  <si>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</si>
  <si>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</si>
  <si>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</si>
  <si>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</si>
  <si>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</si>
  <si>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</si>
  <si>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</si>
  <si>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</si>
  <si>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</si>
  <si>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</si>
  <si>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</si>
  <si>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</si>
  <si>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</si>
  <si>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</si>
  <si>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</si>
  <si>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</si>
  <si>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</si>
  <si>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</si>
  <si>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</si>
  <si>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</si>
  <si>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</si>
  <si>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</si>
  <si>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</si>
  <si>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</si>
  <si>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</si>
  <si>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</si>
  <si>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</si>
  <si>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</si>
  <si>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</si>
  <si>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</si>
  <si>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</si>
  <si>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</si>
  <si>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</si>
  <si>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</si>
  <si>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</si>
  <si>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</si>
  <si>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</si>
  <si>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</si>
  <si>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</si>
  <si>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</si>
  <si>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</si>
  <si>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</si>
  <si>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</si>
  <si>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</si>
  <si>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</si>
  <si>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</si>
  <si>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</si>
  <si>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</si>
  <si>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</si>
  <si>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</si>
  <si>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</si>
  <si>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</si>
  <si>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</si>
  <si>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</si>
  <si>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</si>
  <si>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</si>
  <si>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</si>
  <si>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</si>
  <si>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</si>
  <si>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</si>
  <si>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</si>
  <si>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</si>
  <si>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</si>
  <si>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</si>
  <si>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</si>
  <si>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</si>
  <si>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</si>
  <si>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</si>
  <si>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</si>
  <si>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</si>
  <si>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</si>
  <si>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</si>
  <si>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</si>
  <si>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</si>
  <si>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</si>
  <si>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</si>
  <si>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</si>
  <si>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</si>
  <si>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</si>
  <si>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</si>
  <si>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</si>
  <si>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</si>
  <si>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</si>
  <si>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</si>
  <si>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</si>
  <si>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</si>
  <si>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</si>
  <si>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</si>
  <si>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</si>
  <si>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</si>
  <si>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</si>
  <si>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</si>
  <si>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</si>
  <si>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</si>
  <si>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</si>
  <si>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</si>
  <si>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</si>
  <si>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</si>
  <si>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</si>
  <si>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</si>
  <si>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</si>
  <si>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</si>
  <si>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</si>
  <si>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</si>
  <si>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</si>
  <si>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</si>
  <si>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</si>
  <si>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</si>
  <si>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</si>
  <si>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</si>
  <si>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</si>
  <si>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</si>
  <si>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</si>
  <si>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</si>
  <si>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</si>
  <si>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</si>
  <si>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</si>
  <si>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</si>
  <si>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</si>
  <si>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</si>
  <si>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</si>
  <si>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</si>
  <si>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</si>
  <si>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</si>
  <si>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</si>
  <si>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</si>
  <si>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</si>
  <si>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</si>
  <si>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</si>
  <si>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</si>
  <si>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</si>
  <si>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</si>
  <si>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</si>
  <si>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</si>
  <si>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</si>
  <si>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</si>
  <si>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</si>
  <si>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</si>
  <si>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</si>
  <si>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</si>
  <si>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</si>
  <si>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</si>
  <si>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</si>
  <si>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</si>
  <si>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</si>
  <si>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</si>
  <si>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</si>
  <si>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</si>
  <si>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</si>
  <si>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</si>
  <si>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</si>
  <si>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</si>
  <si>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</si>
  <si>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</si>
  <si>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</si>
  <si>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</si>
  <si>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</si>
  <si>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</si>
  <si>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</si>
  <si>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</si>
  <si>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</si>
  <si>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</si>
  <si>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</si>
  <si>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</si>
  <si>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</si>
  <si>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</si>
  <si>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</si>
  <si>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</si>
  <si>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</si>
  <si>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</si>
  <si>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</si>
  <si>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</si>
  <si>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</si>
  <si>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</si>
  <si>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</si>
  <si>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</si>
  <si>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</si>
  <si>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</si>
  <si>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</si>
  <si>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</si>
  <si>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</si>
  <si>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</si>
  <si>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</si>
  <si>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</si>
  <si>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</si>
  <si>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</si>
  <si>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</si>
  <si>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</si>
  <si>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</si>
  <si>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</si>
  <si>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</si>
  <si>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</si>
  <si>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</si>
  <si>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</si>
  <si>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</si>
  <si>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</si>
  <si>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</si>
  <si>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</si>
  <si>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</si>
  <si>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</si>
  <si>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</si>
  <si>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</si>
  <si>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</si>
  <si>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</si>
  <si>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</si>
  <si>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</si>
  <si>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</si>
  <si>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</si>
  <si>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</si>
  <si>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</si>
  <si>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</si>
  <si>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</si>
  <si>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</si>
  <si>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</si>
  <si>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</si>
  <si>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</si>
  <si>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</si>
  <si>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</si>
  <si>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</si>
  <si>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</si>
  <si>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</si>
  <si>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</si>
  <si>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</si>
  <si>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</si>
  <si>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</si>
  <si>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</si>
  <si>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</si>
  <si>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</si>
  <si>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</si>
  <si>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</si>
  <si>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</si>
  <si>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</si>
  <si>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</si>
  <si>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</si>
  <si>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</si>
  <si>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</si>
  <si>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</si>
  <si>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</si>
  <si>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</si>
  <si>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</si>
  <si>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</si>
  <si>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</si>
  <si>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</si>
  <si>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</si>
  <si>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</si>
  <si>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</si>
  <si>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</si>
  <si>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</si>
  <si>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</si>
  <si>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</si>
  <si>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</si>
  <si>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</si>
  <si>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</si>
  <si>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</si>
  <si>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</si>
  <si>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</si>
  <si>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</si>
  <si>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</si>
  <si>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</si>
  <si>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</si>
  <si>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</si>
  <si>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</si>
  <si>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</si>
  <si>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</si>
  <si>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</si>
  <si>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</si>
  <si>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</si>
  <si>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</si>
  <si>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</si>
  <si>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</si>
  <si>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</si>
  <si>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</si>
  <si>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</si>
  <si>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</si>
  <si>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</si>
  <si>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</si>
  <si>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</si>
  <si>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</si>
  <si>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</si>
  <si>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</si>
  <si>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</si>
  <si>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</si>
  <si>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</si>
  <si>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</si>
  <si>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</si>
  <si>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</si>
  <si>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</si>
  <si>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</si>
  <si>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</si>
  <si>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</si>
  <si>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</si>
  <si>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</si>
  <si>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</si>
  <si>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</si>
  <si>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</si>
  <si>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</si>
  <si>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</si>
  <si>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</si>
  <si>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</si>
  <si>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</si>
  <si>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</si>
  <si>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</si>
  <si>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</si>
  <si>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</si>
  <si>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</si>
  <si>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</si>
  <si>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</si>
  <si>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</si>
  <si>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</si>
  <si>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</si>
  <si>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</si>
  <si>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</si>
  <si>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</si>
  <si>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</si>
  <si>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</si>
  <si>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</si>
  <si>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</si>
  <si>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</si>
  <si>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</si>
  <si>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</si>
  <si>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</si>
  <si>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</si>
  <si>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</si>
  <si>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</si>
  <si>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</si>
  <si>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</si>
  <si>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</si>
  <si>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</si>
  <si>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</si>
  <si>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</si>
  <si>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</si>
  <si>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</si>
  <si>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</si>
  <si>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</si>
  <si>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</si>
  <si>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</si>
  <si>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</si>
  <si>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</si>
  <si>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</si>
  <si>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</si>
  <si>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</si>
  <si>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</si>
  <si>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</si>
  <si>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</si>
  <si>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</si>
  <si>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</si>
  <si>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</si>
  <si>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</si>
  <si>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</si>
  <si>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</si>
  <si>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</si>
  <si>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</si>
  <si>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</si>
  <si>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</si>
  <si>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</si>
  <si>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</si>
  <si>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</si>
  <si>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</si>
  <si>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</si>
  <si>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</si>
  <si>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</si>
  <si>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</si>
  <si>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</si>
  <si>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</si>
  <si>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</si>
  <si>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</si>
  <si>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</si>
  <si>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</si>
  <si>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</si>
  <si>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</si>
  <si>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</si>
  <si>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</si>
  <si>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</si>
  <si>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</si>
  <si>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</si>
  <si>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</si>
  <si>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</si>
  <si>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</si>
  <si>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</si>
  <si>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</si>
  <si>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</si>
  <si>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</si>
  <si>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</si>
  <si>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</si>
  <si>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</si>
  <si>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</si>
  <si>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</si>
  <si>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</si>
  <si>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</si>
  <si>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</si>
  <si>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</si>
  <si>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</si>
  <si>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</si>
  <si>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</si>
  <si>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</si>
  <si>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</si>
  <si>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</si>
  <si>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</si>
  <si>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</si>
  <si>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</si>
  <si>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</si>
  <si>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</si>
  <si>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</si>
  <si>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</si>
  <si>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</si>
  <si>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</si>
  <si>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</si>
  <si>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</si>
  <si>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</si>
  <si>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</si>
  <si>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</si>
  <si>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</si>
  <si>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</si>
  <si>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</si>
  <si>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</si>
  <si>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</si>
  <si>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</si>
  <si>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</si>
  <si>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</si>
  <si>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</si>
  <si>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</si>
  <si>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</si>
  <si>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</si>
  <si>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</si>
  <si>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</si>
  <si>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</si>
  <si>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</si>
  <si>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</si>
  <si>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</si>
  <si>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</si>
  <si>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</si>
  <si>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</si>
  <si>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</si>
  <si>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</si>
  <si>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</si>
  <si>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</si>
  <si>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</si>
  <si>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</si>
  <si>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</si>
  <si>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</si>
  <si>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</si>
  <si>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</si>
  <si>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</si>
  <si>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</si>
  <si>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</si>
  <si>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COMP1204 Lab - Every Monday 09:00-13:00</t>
  </si>
  <si>
    <t>Danesh Tarapore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</si>
</sst>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0" fontId="1" fillId="3" borderId="5"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179" fontId="1" fillId="3" borderId="5" xfId="0" applyNumberFormat="1" applyFont="1" applyFill="1" applyBorder="1" applyAlignment="1">
      <alignment horizontal="center"/>
    </xf>
    <xf numFmtId="0" fontId="1" fillId="3" borderId="15" xfId="0" applyFont="1" applyFill="1" applyBorder="1" applyAlignment="1">
      <alignment horizontal="center"/>
    </xf>
    <xf numFmtId="0" fontId="1" fillId="3" borderId="4"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15" xfId="0" applyNumberFormat="1"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6" fillId="3" borderId="11" xfId="0" applyFont="1" applyFill="1" applyBorder="1" applyAlignment="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lignment horizontal="center"/>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165" fontId="1" fillId="3" borderId="94" xfId="0" applyNumberFormat="1" applyFont="1" applyFill="1" applyBorder="1" applyAlignment="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lignment horizontal="center" vertical="center"/>
    </xf>
    <xf numFmtId="0" fontId="0" fillId="3" borderId="4" xfId="0" applyFill="1" applyBorder="1" applyAlignment="1">
      <alignment horizontal="center"/>
    </xf>
    <xf numFmtId="168" fontId="1" fillId="7" borderId="94" xfId="0" applyNumberFormat="1" applyFont="1" applyFill="1" applyBorder="1" applyAlignment="1">
      <alignment horizontal="center" vertical="center"/>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166" fontId="14" fillId="3" borderId="0" xfId="0" applyNumberFormat="1" applyFont="1" applyFill="1" applyAlignment="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88" fillId="3" borderId="9" xfId="0" applyFont="1" applyFill="1" applyBorder="1" applyAlignment="1">
      <alignment horizont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Alignment="1">
      <alignment horizontal="left" vertical="center" wrapText="1"/>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Border="1" applyAlignment="1">
      <alignment horizontal="center"/>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44592</v>
      </c>
      <c r="G2" s="356">
        <f>IF('UniWorkforce Hourly Timesheet'!E7="Please select claim period",VLOOKUP('UniWorkforce Fixed Fee Claim'!F7,Parameters!A:C,3,FALSE),VLOOKUP('UniWorkforce Hourly Timesheet'!E7,Parameters!A:C,3,FALSE))</f>
        <v>44619</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73" t="s">
        <v>57</v>
      </c>
      <c r="AU2" s="473"/>
      <c r="AV2" s="473"/>
      <c r="AW2" s="473"/>
      <c r="AX2" s="473"/>
      <c r="AY2" s="473"/>
      <c r="AZ2" s="39"/>
    </row>
    <row r="3" spans="2:52" ht="15" customHeight="1" x14ac:dyDescent="0.2">
      <c r="B3" s="40"/>
      <c r="D3" s="475" t="s">
        <v>58</v>
      </c>
      <c r="E3" s="475"/>
      <c r="F3" s="474" t="s">
        <v>59</v>
      </c>
      <c r="G3" s="474"/>
      <c r="H3" s="474"/>
      <c r="I3" s="474"/>
      <c r="J3" s="474"/>
      <c r="K3" s="474"/>
      <c r="L3" s="474"/>
      <c r="M3" s="474"/>
      <c r="N3" s="474"/>
      <c r="O3" s="474"/>
      <c r="P3" s="474"/>
      <c r="Q3" s="474"/>
      <c r="R3" s="474"/>
      <c r="S3" s="2"/>
      <c r="T3" s="475" t="s">
        <v>60</v>
      </c>
      <c r="U3" s="475"/>
      <c r="V3" s="475"/>
      <c r="W3" s="475"/>
      <c r="X3" s="475"/>
      <c r="Y3" s="475"/>
      <c r="Z3" s="475"/>
      <c r="AA3" s="475"/>
      <c r="AB3" s="475"/>
      <c r="AC3" s="474" t="s">
        <v>59</v>
      </c>
      <c r="AD3" s="474"/>
      <c r="AE3" s="474"/>
      <c r="AF3" s="474"/>
      <c r="AG3" s="474"/>
      <c r="AH3" s="474"/>
      <c r="AI3" s="474"/>
      <c r="AJ3" s="474"/>
      <c r="AK3" s="474"/>
      <c r="AL3" s="474"/>
      <c r="AM3" s="4"/>
      <c r="AR3" s="45"/>
      <c r="AS3" s="40"/>
      <c r="AT3" s="481"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481"/>
      <c r="AV3" s="481"/>
      <c r="AW3" s="481"/>
      <c r="AX3" s="481"/>
      <c r="AY3" s="481"/>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481"/>
      <c r="AU4" s="481"/>
      <c r="AV4" s="481"/>
      <c r="AW4" s="481"/>
      <c r="AX4" s="481"/>
      <c r="AY4" s="481"/>
      <c r="AZ4" s="41"/>
    </row>
    <row r="5" spans="2:52" x14ac:dyDescent="0.2">
      <c r="B5" s="40"/>
      <c r="D5" s="475" t="s">
        <v>61</v>
      </c>
      <c r="E5" s="475"/>
      <c r="F5" s="476"/>
      <c r="G5" s="476"/>
      <c r="H5" s="476"/>
      <c r="I5" s="476"/>
      <c r="J5" s="476"/>
      <c r="K5" s="476"/>
      <c r="L5" s="476"/>
      <c r="M5" s="476"/>
      <c r="N5" s="476"/>
      <c r="O5" s="476"/>
      <c r="P5" s="476"/>
      <c r="Q5" s="476"/>
      <c r="R5" s="476"/>
      <c r="S5" s="5"/>
      <c r="T5" s="475" t="s">
        <v>62</v>
      </c>
      <c r="U5" s="475"/>
      <c r="V5" s="475"/>
      <c r="W5" s="475"/>
      <c r="X5" s="475"/>
      <c r="Y5" s="475"/>
      <c r="Z5" s="475"/>
      <c r="AA5" s="475"/>
      <c r="AB5" s="475"/>
      <c r="AC5" s="477">
        <v>0</v>
      </c>
      <c r="AD5" s="477"/>
      <c r="AE5" s="477"/>
      <c r="AF5" s="477"/>
      <c r="AG5" s="477"/>
      <c r="AH5" s="477"/>
      <c r="AI5" s="477"/>
      <c r="AJ5" s="477"/>
      <c r="AK5" s="477"/>
      <c r="AL5" s="477"/>
      <c r="AM5" s="7"/>
      <c r="AN5" s="5"/>
      <c r="AO5" s="5"/>
      <c r="AP5" s="5"/>
      <c r="AQ5" s="5"/>
      <c r="AR5" s="45"/>
      <c r="AS5" s="40"/>
      <c r="AT5" s="481"/>
      <c r="AU5" s="481"/>
      <c r="AV5" s="481"/>
      <c r="AW5" s="481"/>
      <c r="AX5" s="481"/>
      <c r="AY5" s="481"/>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481"/>
      <c r="AU6" s="481"/>
      <c r="AV6" s="481"/>
      <c r="AW6" s="481"/>
      <c r="AX6" s="481"/>
      <c r="AY6" s="481"/>
      <c r="AZ6" s="41"/>
    </row>
    <row r="7" spans="2:52" x14ac:dyDescent="0.2">
      <c r="B7" s="40"/>
      <c r="C7" s="8"/>
      <c r="D7" s="475" t="s">
        <v>63</v>
      </c>
      <c r="E7" s="475"/>
      <c r="F7" s="478" t="s">
        <v>64</v>
      </c>
      <c r="G7" s="479"/>
      <c r="H7" s="479"/>
      <c r="I7" s="479"/>
      <c r="J7" s="479"/>
      <c r="K7" s="479"/>
      <c r="L7" s="479"/>
      <c r="M7" s="479"/>
      <c r="N7" s="479"/>
      <c r="O7" s="479"/>
      <c r="P7" s="479"/>
      <c r="Q7" s="479"/>
      <c r="R7" s="480"/>
      <c r="S7" s="5"/>
      <c r="T7" s="484" t="s">
        <v>65</v>
      </c>
      <c r="U7" s="485"/>
      <c r="V7" s="485"/>
      <c r="W7" s="485"/>
      <c r="X7" s="485"/>
      <c r="Y7" s="485"/>
      <c r="Z7" s="485"/>
      <c r="AA7" s="485"/>
      <c r="AB7" s="485"/>
      <c r="AC7" s="485"/>
      <c r="AD7" s="485"/>
      <c r="AE7" s="492"/>
      <c r="AF7" s="489" t="s">
        <v>66</v>
      </c>
      <c r="AG7" s="490"/>
      <c r="AH7" s="490"/>
      <c r="AI7" s="490"/>
      <c r="AJ7" s="490"/>
      <c r="AK7" s="490"/>
      <c r="AL7" s="491"/>
      <c r="AM7" s="15"/>
      <c r="AN7" s="25">
        <f>VLOOKUP(F7,ClaimPeriods,2,FALSE)</f>
        <v>44193</v>
      </c>
      <c r="AO7" s="26">
        <f>VLOOKUP(F7,ClaimPeriods,4,FALSE)</f>
        <v>5</v>
      </c>
      <c r="AP7" s="5"/>
      <c r="AQ7" s="5"/>
      <c r="AR7" s="45"/>
      <c r="AS7" s="40"/>
      <c r="AT7" s="481"/>
      <c r="AU7" s="481"/>
      <c r="AV7" s="481"/>
      <c r="AW7" s="481"/>
      <c r="AX7" s="481"/>
      <c r="AY7" s="481"/>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481"/>
      <c r="AU8" s="481"/>
      <c r="AV8" s="481"/>
      <c r="AW8" s="481"/>
      <c r="AX8" s="481"/>
      <c r="AY8" s="481"/>
      <c r="AZ8" s="41"/>
    </row>
    <row r="9" spans="2:52" ht="15" customHeight="1" x14ac:dyDescent="0.2">
      <c r="B9" s="40"/>
      <c r="D9" s="475" t="s">
        <v>67</v>
      </c>
      <c r="E9" s="475"/>
      <c r="F9" s="474" t="s">
        <v>68</v>
      </c>
      <c r="G9" s="474"/>
      <c r="H9" s="474"/>
      <c r="I9" s="474"/>
      <c r="J9" s="474"/>
      <c r="K9" s="474"/>
      <c r="L9" s="474"/>
      <c r="M9" s="474"/>
      <c r="N9" s="474"/>
      <c r="O9" s="474"/>
      <c r="P9" s="474"/>
      <c r="Q9" s="474"/>
      <c r="R9" s="474"/>
      <c r="S9" s="3" t="s">
        <v>17</v>
      </c>
      <c r="T9" s="484" t="s">
        <v>69</v>
      </c>
      <c r="U9" s="485"/>
      <c r="V9" s="485"/>
      <c r="W9" s="485"/>
      <c r="X9" s="485"/>
      <c r="Y9" s="485"/>
      <c r="Z9" s="486" t="s">
        <v>70</v>
      </c>
      <c r="AA9" s="487"/>
      <c r="AB9" s="487"/>
      <c r="AC9" s="487"/>
      <c r="AD9" s="487"/>
      <c r="AE9" s="487"/>
      <c r="AF9" s="487"/>
      <c r="AG9" s="487"/>
      <c r="AH9" s="487"/>
      <c r="AI9" s="487"/>
      <c r="AJ9" s="487"/>
      <c r="AK9" s="487"/>
      <c r="AL9" s="488"/>
      <c r="AM9" s="14"/>
      <c r="AP9" s="25"/>
      <c r="AR9" s="45"/>
      <c r="AS9" s="40"/>
      <c r="AT9" s="481"/>
      <c r="AU9" s="481"/>
      <c r="AV9" s="481"/>
      <c r="AW9" s="481"/>
      <c r="AX9" s="481"/>
      <c r="AY9" s="481"/>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481"/>
      <c r="AU10" s="481"/>
      <c r="AV10" s="481"/>
      <c r="AW10" s="481"/>
      <c r="AX10" s="481"/>
      <c r="AY10" s="481"/>
      <c r="AZ10" s="41"/>
    </row>
    <row r="11" spans="2:52" ht="15" customHeight="1" x14ac:dyDescent="0.2">
      <c r="B11" s="40"/>
      <c r="D11" s="475" t="s">
        <v>71</v>
      </c>
      <c r="E11" s="475"/>
      <c r="F11" s="474" t="s">
        <v>72</v>
      </c>
      <c r="G11" s="474"/>
      <c r="H11" s="474"/>
      <c r="I11" s="474"/>
      <c r="J11" s="474"/>
      <c r="K11" s="474"/>
      <c r="L11" s="474"/>
      <c r="M11" s="474"/>
      <c r="N11" s="474"/>
      <c r="O11" s="474"/>
      <c r="P11" s="474"/>
      <c r="Q11" s="474"/>
      <c r="R11" s="474"/>
      <c r="S11" s="157"/>
      <c r="T11" s="493" t="s">
        <v>73</v>
      </c>
      <c r="U11" s="494"/>
      <c r="V11" s="494"/>
      <c r="W11" s="494"/>
      <c r="X11" s="494"/>
      <c r="Y11" s="495"/>
      <c r="Z11" s="482" t="s">
        <v>74</v>
      </c>
      <c r="AA11" s="482"/>
      <c r="AB11" s="482"/>
      <c r="AC11" s="482"/>
      <c r="AD11" s="482"/>
      <c r="AE11" s="482"/>
      <c r="AF11" s="482"/>
      <c r="AG11" s="482"/>
      <c r="AH11" s="482"/>
      <c r="AI11" s="482"/>
      <c r="AJ11" s="482"/>
      <c r="AK11" s="482"/>
      <c r="AL11" s="483"/>
      <c r="AM11" s="15"/>
      <c r="AN11" s="5" t="s">
        <v>75</v>
      </c>
      <c r="AO11" s="5"/>
      <c r="AP11" s="5"/>
      <c r="AQ11" s="5"/>
      <c r="AR11" s="45"/>
      <c r="AS11" s="40"/>
      <c r="AT11" s="481"/>
      <c r="AU11" s="481"/>
      <c r="AV11" s="481"/>
      <c r="AW11" s="481"/>
      <c r="AX11" s="481"/>
      <c r="AY11" s="481"/>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498" t="str">
        <f>IF($F$7="Please select claim period"," - Please select claim period above",CONCATENATE(" - Claim week 1: Work completed from Monday ",TEXT(C13,"d mmmm yyyy")," to Sunday ",TEXT(IF(ISNA(C13),"",C13+6),"d mmmm yyyy")))</f>
        <v xml:space="preserve"> - Please select claim period above</v>
      </c>
      <c r="E13" s="499"/>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500"/>
      <c r="AM13" s="506"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73" t="s">
        <v>76</v>
      </c>
      <c r="AU13" s="473"/>
      <c r="AV13" s="473"/>
      <c r="AW13" s="473"/>
      <c r="AX13" s="473"/>
      <c r="AY13" s="473"/>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506"/>
      <c r="AN14" s="5"/>
      <c r="AO14" s="5"/>
      <c r="AP14" s="5"/>
      <c r="AQ14" s="5"/>
      <c r="AR14" s="45"/>
      <c r="AS14" s="40"/>
      <c r="AZ14" s="41"/>
    </row>
    <row r="15" spans="2:52" ht="15" customHeight="1" x14ac:dyDescent="0.2">
      <c r="B15" s="40"/>
      <c r="C15" s="10"/>
      <c r="D15" s="159"/>
      <c r="E15" s="432" t="s">
        <v>77</v>
      </c>
      <c r="F15" s="432"/>
      <c r="G15" s="433">
        <v>0</v>
      </c>
      <c r="H15" s="433"/>
      <c r="I15" s="433"/>
      <c r="J15" s="3" t="s">
        <v>17</v>
      </c>
      <c r="K15" s="432" t="s">
        <v>78</v>
      </c>
      <c r="L15" s="432"/>
      <c r="M15" s="432"/>
      <c r="N15" s="432"/>
      <c r="O15" s="432"/>
      <c r="P15" s="432"/>
      <c r="Q15" s="432"/>
      <c r="R15" s="432"/>
      <c r="S15" s="496">
        <v>0</v>
      </c>
      <c r="T15" s="496"/>
      <c r="U15" s="496"/>
      <c r="V15" s="496"/>
      <c r="W15" s="3" t="s">
        <v>17</v>
      </c>
      <c r="X15" s="497" t="s">
        <v>79</v>
      </c>
      <c r="Y15" s="497"/>
      <c r="Z15" s="497"/>
      <c r="AA15" s="497"/>
      <c r="AB15" s="497"/>
      <c r="AC15" s="497"/>
      <c r="AD15" s="497"/>
      <c r="AE15" s="497"/>
      <c r="AF15" s="497"/>
      <c r="AG15" s="497"/>
      <c r="AH15" s="155"/>
      <c r="AI15" s="163" t="s">
        <v>80</v>
      </c>
      <c r="AJ15" s="155"/>
      <c r="AK15" s="163" t="s">
        <v>81</v>
      </c>
      <c r="AL15" s="164"/>
      <c r="AM15" s="506"/>
      <c r="AN15" s="47">
        <f>AH15+(AJ15/60)</f>
        <v>0</v>
      </c>
      <c r="AO15" s="47" t="str">
        <f>IF(OR(G15&lt;&gt;0,S15&lt;&gt;0,AN15&lt;&gt;0),"TRUE","FALSE")</f>
        <v>FALSE</v>
      </c>
      <c r="AP15" s="47" t="str">
        <f>IF(AND(AO15="TRUE",OR(G15=0,S15=0,AN15=0)),"INCOMPLETE","OK")</f>
        <v>OK</v>
      </c>
      <c r="AQ15" s="47">
        <f>G15*S15</f>
        <v>0</v>
      </c>
      <c r="AR15" s="45"/>
      <c r="AS15" s="40"/>
      <c r="AT15" s="543" t="s">
        <v>82</v>
      </c>
      <c r="AU15" s="543"/>
      <c r="AV15" s="543"/>
      <c r="AW15" s="543"/>
      <c r="AX15" s="543"/>
      <c r="AY15" s="543"/>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506"/>
      <c r="AO16" s="47"/>
      <c r="AP16" s="47"/>
      <c r="AQ16" s="27"/>
      <c r="AR16" s="45"/>
      <c r="AS16" s="40"/>
      <c r="AT16" s="543"/>
      <c r="AU16" s="543"/>
      <c r="AV16" s="543"/>
      <c r="AW16" s="543"/>
      <c r="AX16" s="543"/>
      <c r="AY16" s="543"/>
      <c r="AZ16" s="41"/>
    </row>
    <row r="17" spans="2:52" ht="15" customHeight="1" x14ac:dyDescent="0.2">
      <c r="B17" s="40"/>
      <c r="C17" s="10"/>
      <c r="D17" s="159"/>
      <c r="E17" s="275"/>
      <c r="F17" s="507">
        <f>IF($F$11=$AN$11,G15*S15,IF($Z$11=$E$63,ROUNDDOWN(G15*S15*0.8923,2),G15*S15))</f>
        <v>0</v>
      </c>
      <c r="G17" s="507"/>
      <c r="H17" s="507"/>
      <c r="I17" s="507"/>
      <c r="J17" s="3"/>
      <c r="K17" s="501" t="s">
        <v>83</v>
      </c>
      <c r="L17" s="501"/>
      <c r="M17" s="501"/>
      <c r="N17" s="501"/>
      <c r="O17" s="501"/>
      <c r="P17" s="501"/>
      <c r="Q17" s="501"/>
      <c r="R17" s="501"/>
      <c r="S17" s="505">
        <f>IF(F17=0,0,IF(AN15=0,0,F17/AN15))</f>
        <v>0</v>
      </c>
      <c r="T17" s="505"/>
      <c r="U17" s="505"/>
      <c r="V17" s="505"/>
      <c r="W17" s="170"/>
      <c r="X17" s="502" t="s">
        <v>84</v>
      </c>
      <c r="Y17" s="502"/>
      <c r="Z17" s="502"/>
      <c r="AA17" s="502"/>
      <c r="AB17" s="502"/>
      <c r="AC17" s="502"/>
      <c r="AD17" s="502"/>
      <c r="AE17" s="502"/>
      <c r="AF17" s="502"/>
      <c r="AG17" s="502"/>
      <c r="AH17" s="155"/>
      <c r="AI17" s="163" t="s">
        <v>80</v>
      </c>
      <c r="AJ17" s="155"/>
      <c r="AK17" s="163" t="s">
        <v>81</v>
      </c>
      <c r="AL17" s="171"/>
      <c r="AM17" s="506"/>
      <c r="AN17" s="47">
        <f t="shared" ref="AN17" si="0">AH17+(AJ17/60)</f>
        <v>0</v>
      </c>
      <c r="AO17" s="5" t="str">
        <f>IF(AND(F17&gt;0,$AF$7="Yes",OR(AH17="",AJ17="")),"FALSE","TRUE")</f>
        <v>TRUE</v>
      </c>
      <c r="AP17" s="5"/>
      <c r="AR17" s="45"/>
      <c r="AS17" s="40"/>
      <c r="AT17" s="543"/>
      <c r="AU17" s="543"/>
      <c r="AV17" s="543"/>
      <c r="AW17" s="543"/>
      <c r="AX17" s="543"/>
      <c r="AY17" s="543"/>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506"/>
      <c r="AN18" s="5"/>
      <c r="AO18" s="5"/>
      <c r="AP18" s="5"/>
      <c r="AQ18" s="5"/>
      <c r="AR18" s="45"/>
      <c r="AS18" s="40"/>
      <c r="AT18" s="543"/>
      <c r="AU18" s="543"/>
      <c r="AV18" s="543"/>
      <c r="AW18" s="543"/>
      <c r="AX18" s="543"/>
      <c r="AY18" s="543"/>
      <c r="AZ18" s="41"/>
    </row>
    <row r="19" spans="2:52" ht="4.25" customHeight="1" x14ac:dyDescent="0.2">
      <c r="B19" s="40"/>
      <c r="C19" s="10"/>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153"/>
      <c r="AN19" s="5"/>
      <c r="AO19" s="5"/>
      <c r="AP19" s="5"/>
      <c r="AQ19" s="5"/>
      <c r="AR19" s="45"/>
      <c r="AS19" s="40"/>
      <c r="AT19" s="544"/>
      <c r="AU19" s="544"/>
      <c r="AV19" s="544"/>
      <c r="AW19" s="544"/>
      <c r="AX19" s="544"/>
      <c r="AY19" s="544"/>
      <c r="AZ19" s="41"/>
    </row>
    <row r="20" spans="2:52" ht="13.5" customHeight="1" x14ac:dyDescent="0.2">
      <c r="B20" s="40"/>
      <c r="C20" s="10">
        <f>C13+7</f>
        <v>44200</v>
      </c>
      <c r="D20" s="518" t="str">
        <f>IF($F$7="Please select claim period"," - Please select claim period above",CONCATENATE(" - Claim week 2: Work completed from Monday ",TEXT(C20,"d mmmm yyyy")," to Sunday ",TEXT(IF(ISNA(C20),"",C20+6),"d mmmm yyyy")))</f>
        <v xml:space="preserve"> - Please select claim period above</v>
      </c>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c r="AE20" s="519"/>
      <c r="AF20" s="519"/>
      <c r="AG20" s="519"/>
      <c r="AH20" s="519"/>
      <c r="AI20" s="519"/>
      <c r="AJ20" s="519"/>
      <c r="AK20" s="519"/>
      <c r="AL20" s="520"/>
      <c r="AM20" s="506"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534"/>
      <c r="AU20" s="535"/>
      <c r="AV20" s="535"/>
      <c r="AW20" s="535"/>
      <c r="AX20" s="535"/>
      <c r="AY20" s="536"/>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506"/>
      <c r="AN21" s="27"/>
      <c r="AO21" s="27"/>
      <c r="AP21" s="27"/>
      <c r="AQ21" s="5"/>
      <c r="AR21" s="45"/>
      <c r="AS21" s="40"/>
      <c r="AT21" s="537"/>
      <c r="AU21" s="538"/>
      <c r="AV21" s="538"/>
      <c r="AW21" s="538"/>
      <c r="AX21" s="538"/>
      <c r="AY21" s="539"/>
      <c r="AZ21" s="41"/>
    </row>
    <row r="22" spans="2:52" ht="15" customHeight="1" x14ac:dyDescent="0.2">
      <c r="B22" s="40"/>
      <c r="C22" s="10"/>
      <c r="D22" s="159"/>
      <c r="E22" s="432" t="s">
        <v>77</v>
      </c>
      <c r="F22" s="432"/>
      <c r="G22" s="433">
        <v>0</v>
      </c>
      <c r="H22" s="433"/>
      <c r="I22" s="433"/>
      <c r="J22" s="3" t="s">
        <v>17</v>
      </c>
      <c r="K22" s="432" t="s">
        <v>78</v>
      </c>
      <c r="L22" s="432"/>
      <c r="M22" s="432"/>
      <c r="N22" s="432"/>
      <c r="O22" s="432"/>
      <c r="P22" s="432"/>
      <c r="Q22" s="432"/>
      <c r="R22" s="432"/>
      <c r="S22" s="496">
        <v>0</v>
      </c>
      <c r="T22" s="496"/>
      <c r="U22" s="496"/>
      <c r="V22" s="496"/>
      <c r="W22" s="3" t="s">
        <v>17</v>
      </c>
      <c r="X22" s="497" t="s">
        <v>79</v>
      </c>
      <c r="Y22" s="497"/>
      <c r="Z22" s="497"/>
      <c r="AA22" s="497"/>
      <c r="AB22" s="497"/>
      <c r="AC22" s="497"/>
      <c r="AD22" s="497"/>
      <c r="AE22" s="497"/>
      <c r="AF22" s="497"/>
      <c r="AG22" s="497"/>
      <c r="AH22" s="155"/>
      <c r="AI22" s="163" t="s">
        <v>80</v>
      </c>
      <c r="AJ22" s="155"/>
      <c r="AK22" s="163" t="s">
        <v>81</v>
      </c>
      <c r="AL22" s="164"/>
      <c r="AM22" s="506"/>
      <c r="AN22" s="47">
        <f>AH22+(AJ22/60)</f>
        <v>0</v>
      </c>
      <c r="AO22" s="47" t="str">
        <f>IF(OR(G22&lt;&gt;0,S22&lt;&gt;0,AN22&lt;&gt;0),"TRUE","FALSE")</f>
        <v>FALSE</v>
      </c>
      <c r="AP22" s="47" t="str">
        <f>IF(AND(AO22="TRUE",OR(G22=0,S22=0,AN22=0)),"INCOMPLETE","OK")</f>
        <v>OK</v>
      </c>
      <c r="AQ22" s="47">
        <f>G22*S22</f>
        <v>0</v>
      </c>
      <c r="AR22" s="45"/>
      <c r="AS22" s="40"/>
      <c r="AT22" s="537"/>
      <c r="AU22" s="538"/>
      <c r="AV22" s="538"/>
      <c r="AW22" s="538"/>
      <c r="AX22" s="538"/>
      <c r="AY22" s="539"/>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506"/>
      <c r="AN23" s="47"/>
      <c r="AO23" s="47"/>
      <c r="AP23" s="47"/>
      <c r="AQ23" s="5"/>
      <c r="AR23" s="45"/>
      <c r="AS23" s="40"/>
      <c r="AT23" s="537"/>
      <c r="AU23" s="538"/>
      <c r="AV23" s="538"/>
      <c r="AW23" s="538"/>
      <c r="AX23" s="538"/>
      <c r="AY23" s="539"/>
      <c r="AZ23" s="41"/>
    </row>
    <row r="24" spans="2:52" ht="15" customHeight="1" x14ac:dyDescent="0.2">
      <c r="B24" s="40"/>
      <c r="C24" s="10"/>
      <c r="D24" s="159"/>
      <c r="E24" s="275" t="s">
        <v>85</v>
      </c>
      <c r="F24" s="507">
        <f>IF($F$11=$AN$11,G22*S22,IF($Z$11=$E$63,ROUNDDOWN(G22*S22*0.8923,2),G22*S22))</f>
        <v>0</v>
      </c>
      <c r="G24" s="507"/>
      <c r="H24" s="507"/>
      <c r="I24" s="507"/>
      <c r="J24" s="3"/>
      <c r="K24" s="501" t="s">
        <v>83</v>
      </c>
      <c r="L24" s="501"/>
      <c r="M24" s="501"/>
      <c r="N24" s="501"/>
      <c r="O24" s="501"/>
      <c r="P24" s="501"/>
      <c r="Q24" s="501"/>
      <c r="R24" s="501"/>
      <c r="S24" s="505">
        <f>IF(F24=0,0,IF(AN22=0,0,F24/AN22))</f>
        <v>0</v>
      </c>
      <c r="T24" s="505"/>
      <c r="U24" s="505"/>
      <c r="V24" s="505"/>
      <c r="W24" s="170"/>
      <c r="X24" s="502" t="s">
        <v>84</v>
      </c>
      <c r="Y24" s="502"/>
      <c r="Z24" s="502"/>
      <c r="AA24" s="502"/>
      <c r="AB24" s="502"/>
      <c r="AC24" s="502"/>
      <c r="AD24" s="502"/>
      <c r="AE24" s="502"/>
      <c r="AF24" s="502"/>
      <c r="AG24" s="502"/>
      <c r="AH24" s="155"/>
      <c r="AI24" s="163" t="s">
        <v>80</v>
      </c>
      <c r="AJ24" s="155"/>
      <c r="AK24" s="163" t="s">
        <v>81</v>
      </c>
      <c r="AL24" s="171"/>
      <c r="AM24" s="506"/>
      <c r="AN24" s="47">
        <f t="shared" ref="AN24" si="1">AH24+(AJ24/60)</f>
        <v>0</v>
      </c>
      <c r="AO24" s="5" t="str">
        <f>IF(AND(F24&gt;0,$AF$7="Yes",OR(AH24="",AJ24="")),"FALSE","TRUE")</f>
        <v>TRUE</v>
      </c>
      <c r="AP24" s="5"/>
      <c r="AR24" s="45"/>
      <c r="AS24" s="40"/>
      <c r="AT24" s="537"/>
      <c r="AU24" s="538"/>
      <c r="AV24" s="538"/>
      <c r="AW24" s="538"/>
      <c r="AX24" s="538"/>
      <c r="AY24" s="539"/>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506"/>
      <c r="AN25" s="47"/>
      <c r="AO25" s="47"/>
      <c r="AP25" s="47"/>
      <c r="AQ25" s="5"/>
      <c r="AR25" s="45"/>
      <c r="AS25" s="40"/>
      <c r="AT25" s="537"/>
      <c r="AU25" s="538"/>
      <c r="AV25" s="538"/>
      <c r="AW25" s="538"/>
      <c r="AX25" s="538"/>
      <c r="AY25" s="539"/>
      <c r="AZ25" s="41"/>
    </row>
    <row r="26" spans="2:52" ht="4.25" customHeight="1" x14ac:dyDescent="0.2">
      <c r="B26" s="40"/>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154"/>
      <c r="AN26" s="47"/>
      <c r="AO26" s="47"/>
      <c r="AP26" s="47"/>
      <c r="AQ26" s="5"/>
      <c r="AR26" s="45"/>
      <c r="AS26" s="40"/>
      <c r="AT26" s="537"/>
      <c r="AU26" s="538"/>
      <c r="AV26" s="538"/>
      <c r="AW26" s="538"/>
      <c r="AX26" s="538"/>
      <c r="AY26" s="539"/>
      <c r="AZ26" s="41"/>
    </row>
    <row r="27" spans="2:52" ht="13.5" customHeight="1" x14ac:dyDescent="0.2">
      <c r="B27" s="40"/>
      <c r="C27" s="10">
        <f>C20+7</f>
        <v>44207</v>
      </c>
      <c r="D27" s="515" t="str">
        <f>IF($F$7="Please select claim period"," - Please select claim period above",CONCATENATE(" - Claim week 3: Work completed from Monday ",TEXT(C27,"d mmmm yyyy")," to Sunday ",TEXT(IF(ISNA(C27),"",C27+6),"d mmmm yyyy")))</f>
        <v xml:space="preserve"> - Please select claim period above</v>
      </c>
      <c r="E27" s="516"/>
      <c r="F27" s="516"/>
      <c r="G27" s="516"/>
      <c r="H27" s="516"/>
      <c r="I27" s="516"/>
      <c r="J27" s="516"/>
      <c r="K27" s="516"/>
      <c r="L27" s="516"/>
      <c r="M27" s="516"/>
      <c r="N27" s="516"/>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7"/>
      <c r="AM27" s="506"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537"/>
      <c r="AU27" s="538"/>
      <c r="AV27" s="538"/>
      <c r="AW27" s="538"/>
      <c r="AX27" s="538"/>
      <c r="AY27" s="539"/>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506"/>
      <c r="AN28" s="47"/>
      <c r="AO28" s="47"/>
      <c r="AP28" s="47"/>
      <c r="AQ28" s="5"/>
      <c r="AR28" s="45"/>
      <c r="AS28" s="40"/>
      <c r="AT28" s="537"/>
      <c r="AU28" s="538"/>
      <c r="AV28" s="538"/>
      <c r="AW28" s="538"/>
      <c r="AX28" s="538"/>
      <c r="AY28" s="539"/>
      <c r="AZ28" s="41"/>
    </row>
    <row r="29" spans="2:52" ht="15" customHeight="1" x14ac:dyDescent="0.2">
      <c r="B29" s="40"/>
      <c r="C29" s="10"/>
      <c r="D29" s="159"/>
      <c r="E29" s="432" t="s">
        <v>77</v>
      </c>
      <c r="F29" s="432"/>
      <c r="G29" s="433">
        <v>0</v>
      </c>
      <c r="H29" s="433"/>
      <c r="I29" s="433"/>
      <c r="J29" s="3" t="s">
        <v>17</v>
      </c>
      <c r="K29" s="432" t="s">
        <v>78</v>
      </c>
      <c r="L29" s="432"/>
      <c r="M29" s="432"/>
      <c r="N29" s="432"/>
      <c r="O29" s="432"/>
      <c r="P29" s="432"/>
      <c r="Q29" s="432"/>
      <c r="R29" s="432"/>
      <c r="S29" s="496">
        <v>0</v>
      </c>
      <c r="T29" s="496"/>
      <c r="U29" s="496"/>
      <c r="V29" s="496"/>
      <c r="W29" s="3" t="s">
        <v>17</v>
      </c>
      <c r="X29" s="497" t="s">
        <v>79</v>
      </c>
      <c r="Y29" s="497"/>
      <c r="Z29" s="497"/>
      <c r="AA29" s="497"/>
      <c r="AB29" s="497"/>
      <c r="AC29" s="497"/>
      <c r="AD29" s="497"/>
      <c r="AE29" s="497"/>
      <c r="AF29" s="497"/>
      <c r="AG29" s="497"/>
      <c r="AH29" s="155"/>
      <c r="AI29" s="163" t="s">
        <v>80</v>
      </c>
      <c r="AJ29" s="155"/>
      <c r="AK29" s="163" t="s">
        <v>81</v>
      </c>
      <c r="AL29" s="164"/>
      <c r="AM29" s="506"/>
      <c r="AN29" s="47">
        <f t="shared" ref="AN29:AN45" si="2">AH29+(AJ29/60)</f>
        <v>0</v>
      </c>
      <c r="AO29" s="47" t="str">
        <f>IF(OR(G29&lt;&gt;0,S29&lt;&gt;0,AN29&lt;&gt;0),"TRUE","FALSE")</f>
        <v>FALSE</v>
      </c>
      <c r="AP29" s="47" t="str">
        <f>IF(AND(AO29="TRUE",OR(G29=0,S29=0,AN29=0)),"INCOMPLETE","OK")</f>
        <v>OK</v>
      </c>
      <c r="AQ29" s="47">
        <f>G29*S29</f>
        <v>0</v>
      </c>
      <c r="AR29" s="45"/>
      <c r="AS29" s="40"/>
      <c r="AT29" s="537"/>
      <c r="AU29" s="538"/>
      <c r="AV29" s="538"/>
      <c r="AW29" s="538"/>
      <c r="AX29" s="538"/>
      <c r="AY29" s="539"/>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506"/>
      <c r="AN30" s="47"/>
      <c r="AO30" s="47"/>
      <c r="AP30" s="47"/>
      <c r="AQ30" s="5"/>
      <c r="AR30" s="45"/>
      <c r="AS30" s="40"/>
      <c r="AT30" s="537"/>
      <c r="AU30" s="538"/>
      <c r="AV30" s="538"/>
      <c r="AW30" s="538"/>
      <c r="AX30" s="538"/>
      <c r="AY30" s="539"/>
      <c r="AZ30" s="41"/>
    </row>
    <row r="31" spans="2:52" ht="15" customHeight="1" x14ac:dyDescent="0.2">
      <c r="B31" s="40"/>
      <c r="C31" s="10"/>
      <c r="D31" s="159"/>
      <c r="E31" s="275" t="s">
        <v>85</v>
      </c>
      <c r="F31" s="507">
        <f>IF($F$11=$AN$11,G29*S29,IF($Z$11=$E$63,ROUNDDOWN(G29*S29*0.8923,2),G29*S29))</f>
        <v>0</v>
      </c>
      <c r="G31" s="507"/>
      <c r="H31" s="507"/>
      <c r="I31" s="507"/>
      <c r="J31" s="3"/>
      <c r="K31" s="501" t="s">
        <v>83</v>
      </c>
      <c r="L31" s="501"/>
      <c r="M31" s="501"/>
      <c r="N31" s="501"/>
      <c r="O31" s="501"/>
      <c r="P31" s="501"/>
      <c r="Q31" s="501"/>
      <c r="R31" s="501"/>
      <c r="S31" s="505">
        <f>IF(F31=0,0,IF(AN29=0,0,F31/AN29))</f>
        <v>0</v>
      </c>
      <c r="T31" s="505"/>
      <c r="U31" s="505"/>
      <c r="V31" s="505"/>
      <c r="W31" s="170"/>
      <c r="X31" s="502" t="s">
        <v>84</v>
      </c>
      <c r="Y31" s="502"/>
      <c r="Z31" s="502"/>
      <c r="AA31" s="502"/>
      <c r="AB31" s="502"/>
      <c r="AC31" s="502"/>
      <c r="AD31" s="502"/>
      <c r="AE31" s="502"/>
      <c r="AF31" s="502"/>
      <c r="AG31" s="502"/>
      <c r="AH31" s="155"/>
      <c r="AI31" s="163" t="s">
        <v>80</v>
      </c>
      <c r="AJ31" s="155"/>
      <c r="AK31" s="163" t="s">
        <v>81</v>
      </c>
      <c r="AL31" s="171"/>
      <c r="AM31" s="506"/>
      <c r="AN31" s="47">
        <f t="shared" si="2"/>
        <v>0</v>
      </c>
      <c r="AO31" s="5" t="str">
        <f>IF(AND(F31&gt;0,$AF$7="Yes",OR(AH31="",AJ31="")),"FALSE","TRUE")</f>
        <v>TRUE</v>
      </c>
      <c r="AP31" s="5"/>
      <c r="AR31" s="45"/>
      <c r="AS31" s="40"/>
      <c r="AT31" s="537"/>
      <c r="AU31" s="538"/>
      <c r="AV31" s="538"/>
      <c r="AW31" s="538"/>
      <c r="AX31" s="538"/>
      <c r="AY31" s="539"/>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506"/>
      <c r="AN32" s="47"/>
      <c r="AO32" s="47"/>
      <c r="AP32" s="47"/>
      <c r="AQ32" s="5"/>
      <c r="AR32" s="45"/>
      <c r="AS32" s="40"/>
      <c r="AT32" s="537"/>
      <c r="AU32" s="538"/>
      <c r="AV32" s="538"/>
      <c r="AW32" s="538"/>
      <c r="AX32" s="538"/>
      <c r="AY32" s="539"/>
      <c r="AZ32" s="41"/>
    </row>
    <row r="33" spans="2:88" ht="4.25" customHeight="1" x14ac:dyDescent="0.2">
      <c r="B33" s="40"/>
      <c r="C33" s="10"/>
      <c r="D33" s="503"/>
      <c r="E33" s="503"/>
      <c r="F33" s="503"/>
      <c r="G33" s="503"/>
      <c r="H33" s="503"/>
      <c r="I33" s="503"/>
      <c r="J33" s="503"/>
      <c r="K33" s="503"/>
      <c r="L33" s="503"/>
      <c r="M33" s="503"/>
      <c r="N33" s="503"/>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154"/>
      <c r="AN33" s="47"/>
      <c r="AO33" s="47"/>
      <c r="AP33" s="47"/>
      <c r="AQ33" s="5"/>
      <c r="AR33" s="45"/>
      <c r="AS33" s="40"/>
      <c r="AT33" s="537"/>
      <c r="AU33" s="538"/>
      <c r="AV33" s="538"/>
      <c r="AW33" s="538"/>
      <c r="AX33" s="538"/>
      <c r="AY33" s="539"/>
      <c r="AZ33" s="41"/>
    </row>
    <row r="34" spans="2:88" ht="13.5" customHeight="1" x14ac:dyDescent="0.2">
      <c r="B34" s="40"/>
      <c r="C34" s="10">
        <f>C27+7</f>
        <v>44214</v>
      </c>
      <c r="D34" s="515" t="str">
        <f>IF($F$7="Please select claim period"," - Please select claim period above",CONCATENATE(" - Claim week 4: Work completed from Monday ",TEXT(C34,"d mmmm yyyy")," to Sunday ",TEXT(IF(ISNA(C34),"",C34+6),"d mmmm yyyy")))</f>
        <v xml:space="preserve"> - Please select claim period above</v>
      </c>
      <c r="E34" s="516"/>
      <c r="F34" s="516"/>
      <c r="G34" s="516"/>
      <c r="H34" s="516"/>
      <c r="I34" s="516"/>
      <c r="J34" s="516"/>
      <c r="K34" s="516"/>
      <c r="L34" s="516"/>
      <c r="M34" s="516"/>
      <c r="N34" s="516"/>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7"/>
      <c r="AM34" s="506"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537"/>
      <c r="AU34" s="538"/>
      <c r="AV34" s="538"/>
      <c r="AW34" s="538"/>
      <c r="AX34" s="538"/>
      <c r="AY34" s="539"/>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506"/>
      <c r="AN35" s="47"/>
      <c r="AO35" s="47"/>
      <c r="AP35" s="47"/>
      <c r="AQ35" s="5"/>
      <c r="AR35" s="45"/>
      <c r="AS35" s="40"/>
      <c r="AT35" s="537"/>
      <c r="AU35" s="538"/>
      <c r="AV35" s="538"/>
      <c r="AW35" s="538"/>
      <c r="AX35" s="538"/>
      <c r="AY35" s="539"/>
      <c r="AZ35" s="41"/>
    </row>
    <row r="36" spans="2:88" ht="15" customHeight="1" x14ac:dyDescent="0.2">
      <c r="B36" s="40"/>
      <c r="C36" s="10"/>
      <c r="D36" s="159"/>
      <c r="E36" s="432" t="s">
        <v>77</v>
      </c>
      <c r="F36" s="432"/>
      <c r="G36" s="433">
        <v>0</v>
      </c>
      <c r="H36" s="433"/>
      <c r="I36" s="433"/>
      <c r="J36" s="3" t="s">
        <v>17</v>
      </c>
      <c r="K36" s="432" t="s">
        <v>78</v>
      </c>
      <c r="L36" s="432"/>
      <c r="M36" s="432"/>
      <c r="N36" s="432"/>
      <c r="O36" s="432"/>
      <c r="P36" s="432"/>
      <c r="Q36" s="432"/>
      <c r="R36" s="432"/>
      <c r="S36" s="496">
        <v>0</v>
      </c>
      <c r="T36" s="496"/>
      <c r="U36" s="496"/>
      <c r="V36" s="496"/>
      <c r="W36" s="3" t="s">
        <v>17</v>
      </c>
      <c r="X36" s="497" t="s">
        <v>79</v>
      </c>
      <c r="Y36" s="497"/>
      <c r="Z36" s="497"/>
      <c r="AA36" s="497"/>
      <c r="AB36" s="497"/>
      <c r="AC36" s="497"/>
      <c r="AD36" s="497"/>
      <c r="AE36" s="497"/>
      <c r="AF36" s="497"/>
      <c r="AG36" s="497"/>
      <c r="AH36" s="155"/>
      <c r="AI36" s="163" t="s">
        <v>80</v>
      </c>
      <c r="AJ36" s="155"/>
      <c r="AK36" s="163" t="s">
        <v>81</v>
      </c>
      <c r="AL36" s="164"/>
      <c r="AM36" s="506"/>
      <c r="AN36" s="47">
        <f t="shared" si="2"/>
        <v>0</v>
      </c>
      <c r="AO36" s="47" t="str">
        <f>IF(OR(G36&lt;&gt;0,S36&lt;&gt;0,AN36&lt;&gt;0),"TRUE","FALSE")</f>
        <v>FALSE</v>
      </c>
      <c r="AP36" s="47" t="str">
        <f>IF(AND(AO36="TRUE",OR(G36=0,S36=0,AN36=0)),"INCOMPLETE","OK")</f>
        <v>OK</v>
      </c>
      <c r="AQ36" s="47">
        <f>G36*S36</f>
        <v>0</v>
      </c>
      <c r="AR36" s="45"/>
      <c r="AS36" s="40"/>
      <c r="AT36" s="537"/>
      <c r="AU36" s="538"/>
      <c r="AV36" s="538"/>
      <c r="AW36" s="538"/>
      <c r="AX36" s="538"/>
      <c r="AY36" s="539"/>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506"/>
      <c r="AN37" s="47"/>
      <c r="AO37" s="47"/>
      <c r="AP37" s="47"/>
      <c r="AQ37" s="5"/>
      <c r="AR37" s="45"/>
      <c r="AS37" s="40"/>
      <c r="AT37" s="537"/>
      <c r="AU37" s="538"/>
      <c r="AV37" s="538"/>
      <c r="AW37" s="538"/>
      <c r="AX37" s="538"/>
      <c r="AY37" s="539"/>
      <c r="AZ37" s="41"/>
    </row>
    <row r="38" spans="2:88" ht="15" customHeight="1" x14ac:dyDescent="0.2">
      <c r="B38" s="40"/>
      <c r="C38" s="10"/>
      <c r="D38" s="159"/>
      <c r="E38" s="275" t="s">
        <v>85</v>
      </c>
      <c r="F38" s="507">
        <f>IF($F$11=$AN$11,G36*S36,IF($Z$11=$E$63,ROUNDDOWN(G36*S36*0.8923,2),G36*S36))</f>
        <v>0</v>
      </c>
      <c r="G38" s="507"/>
      <c r="H38" s="507"/>
      <c r="I38" s="507"/>
      <c r="J38" s="3"/>
      <c r="K38" s="501" t="s">
        <v>83</v>
      </c>
      <c r="L38" s="501"/>
      <c r="M38" s="501"/>
      <c r="N38" s="501"/>
      <c r="O38" s="501"/>
      <c r="P38" s="501"/>
      <c r="Q38" s="501"/>
      <c r="R38" s="501"/>
      <c r="S38" s="505">
        <f>IF(F38=0,0,IF(AN36=0,0,F38/AN36))</f>
        <v>0</v>
      </c>
      <c r="T38" s="505"/>
      <c r="U38" s="505"/>
      <c r="V38" s="505"/>
      <c r="W38" s="170"/>
      <c r="X38" s="502" t="s">
        <v>84</v>
      </c>
      <c r="Y38" s="502"/>
      <c r="Z38" s="502"/>
      <c r="AA38" s="502"/>
      <c r="AB38" s="502"/>
      <c r="AC38" s="502"/>
      <c r="AD38" s="502"/>
      <c r="AE38" s="502"/>
      <c r="AF38" s="502"/>
      <c r="AG38" s="502"/>
      <c r="AH38" s="155"/>
      <c r="AI38" s="163" t="s">
        <v>80</v>
      </c>
      <c r="AJ38" s="155"/>
      <c r="AK38" s="163" t="s">
        <v>81</v>
      </c>
      <c r="AL38" s="171"/>
      <c r="AM38" s="506"/>
      <c r="AN38" s="47">
        <f t="shared" si="2"/>
        <v>0</v>
      </c>
      <c r="AO38" s="5" t="str">
        <f>IF(AND(F38&gt;0,$AF$7="Yes",OR(AH38="",AJ38="")),"FALSE","TRUE")</f>
        <v>TRUE</v>
      </c>
      <c r="AP38" s="5"/>
      <c r="AR38" s="45"/>
      <c r="AS38" s="40"/>
      <c r="AT38" s="537"/>
      <c r="AU38" s="538"/>
      <c r="AV38" s="538"/>
      <c r="AW38" s="538"/>
      <c r="AX38" s="538"/>
      <c r="AY38" s="539"/>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506"/>
      <c r="AN39" s="47"/>
      <c r="AO39" s="47"/>
      <c r="AP39" s="47"/>
      <c r="AQ39" s="5"/>
      <c r="AR39" s="45"/>
      <c r="AS39" s="72"/>
      <c r="AT39" s="537"/>
      <c r="AU39" s="538"/>
      <c r="AV39" s="538"/>
      <c r="AW39" s="538"/>
      <c r="AX39" s="538"/>
      <c r="AY39" s="539"/>
      <c r="AZ39" s="41"/>
    </row>
    <row r="40" spans="2:88" ht="4.25" customHeight="1" x14ac:dyDescent="0.2">
      <c r="B40" s="40"/>
      <c r="C40" s="10"/>
      <c r="D40" s="503"/>
      <c r="E40" s="503"/>
      <c r="F40" s="503"/>
      <c r="G40" s="503"/>
      <c r="H40" s="503"/>
      <c r="I40" s="503"/>
      <c r="J40" s="503"/>
      <c r="K40" s="503"/>
      <c r="L40" s="503"/>
      <c r="M40" s="503"/>
      <c r="N40" s="503"/>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154"/>
      <c r="AN40" s="47"/>
      <c r="AO40" s="47"/>
      <c r="AP40" s="47"/>
      <c r="AQ40" s="5"/>
      <c r="AR40" s="45"/>
      <c r="AS40" s="72"/>
      <c r="AT40" s="537"/>
      <c r="AU40" s="538"/>
      <c r="AV40" s="538"/>
      <c r="AW40" s="538"/>
      <c r="AX40" s="538"/>
      <c r="AY40" s="539"/>
      <c r="AZ40" s="41"/>
    </row>
    <row r="41" spans="2:88" ht="13.5" customHeight="1" x14ac:dyDescent="0.2">
      <c r="B41" s="40"/>
      <c r="C41" s="10">
        <f>C34+7</f>
        <v>44221</v>
      </c>
      <c r="D41" s="518" t="str">
        <f>IF($F$7="Please select claim period"," - Please select claim period above",CONCATENATE(" - Claim week 5: Work completed from Monday ",TEXT(C41,"d mmmm yyyy")," to Sunday ",TEXT(IF(ISNA(C41),"",C41+6),"d mmmm yyyy")))</f>
        <v xml:space="preserve"> - Please select claim period above</v>
      </c>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20"/>
      <c r="AM41" s="506"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540"/>
      <c r="AU41" s="541"/>
      <c r="AV41" s="541"/>
      <c r="AW41" s="541"/>
      <c r="AX41" s="541"/>
      <c r="AY41" s="542"/>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506"/>
      <c r="AN42" s="47"/>
      <c r="AO42" s="47"/>
      <c r="AP42" s="47"/>
      <c r="AQ42" s="5"/>
      <c r="AR42" s="45"/>
      <c r="AS42" s="148"/>
      <c r="AT42" s="276"/>
      <c r="AU42" s="276"/>
      <c r="AV42" s="276"/>
      <c r="AW42" s="276"/>
      <c r="AX42" s="276"/>
      <c r="AY42" s="276"/>
      <c r="AZ42" s="68"/>
    </row>
    <row r="43" spans="2:88" ht="15" customHeight="1" x14ac:dyDescent="0.2">
      <c r="B43" s="40"/>
      <c r="C43" s="10"/>
      <c r="D43" s="159"/>
      <c r="E43" s="432" t="s">
        <v>77</v>
      </c>
      <c r="F43" s="432"/>
      <c r="G43" s="433">
        <v>0</v>
      </c>
      <c r="H43" s="433"/>
      <c r="I43" s="433"/>
      <c r="J43" s="3" t="s">
        <v>17</v>
      </c>
      <c r="K43" s="432" t="s">
        <v>78</v>
      </c>
      <c r="L43" s="432"/>
      <c r="M43" s="432"/>
      <c r="N43" s="432"/>
      <c r="O43" s="432"/>
      <c r="P43" s="432"/>
      <c r="Q43" s="432"/>
      <c r="R43" s="432"/>
      <c r="S43" s="496">
        <v>0</v>
      </c>
      <c r="T43" s="496"/>
      <c r="U43" s="496"/>
      <c r="V43" s="496"/>
      <c r="W43" s="3" t="s">
        <v>17</v>
      </c>
      <c r="X43" s="497" t="s">
        <v>79</v>
      </c>
      <c r="Y43" s="497"/>
      <c r="Z43" s="497"/>
      <c r="AA43" s="497"/>
      <c r="AB43" s="497"/>
      <c r="AC43" s="497"/>
      <c r="AD43" s="497"/>
      <c r="AE43" s="497"/>
      <c r="AF43" s="497"/>
      <c r="AG43" s="497"/>
      <c r="AH43" s="155"/>
      <c r="AI43" s="163" t="s">
        <v>80</v>
      </c>
      <c r="AJ43" s="155"/>
      <c r="AK43" s="163" t="s">
        <v>81</v>
      </c>
      <c r="AL43" s="164"/>
      <c r="AM43" s="506"/>
      <c r="AN43" s="47">
        <f t="shared" si="2"/>
        <v>0</v>
      </c>
      <c r="AO43" s="47" t="str">
        <f>IF(OR(G43&lt;&gt;0,S43&lt;&gt;0,AN43&lt;&gt;0),"TRUE","FALSE")</f>
        <v>FALSE</v>
      </c>
      <c r="AP43" s="47" t="str">
        <f>IF(AND(AO43="TRUE",OR(G43=0,S43=0,AN43=0)),"INCOMPLETE","OK")</f>
        <v>OK</v>
      </c>
      <c r="AQ43" s="47">
        <f>IF($AO$7&lt;&gt;5,0,G43*S43)</f>
        <v>0</v>
      </c>
      <c r="AR43" s="45"/>
      <c r="AS43" s="72"/>
      <c r="AT43" s="527" t="s">
        <v>86</v>
      </c>
      <c r="AU43" s="527"/>
      <c r="AV43" s="527"/>
      <c r="AW43" s="527"/>
      <c r="AX43" s="527"/>
      <c r="AY43" s="527"/>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506"/>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507">
        <f>IF($AO$7&lt;&gt;5,0,IF($F$11=$AN$11,G43*S43,IF($Z$11=$E$63,ROUNDDOWN(G43*S43*0.8923,2),G43*S43)))</f>
        <v>0</v>
      </c>
      <c r="G45" s="507"/>
      <c r="H45" s="507"/>
      <c r="I45" s="507"/>
      <c r="J45" s="3"/>
      <c r="K45" s="501" t="s">
        <v>83</v>
      </c>
      <c r="L45" s="501"/>
      <c r="M45" s="501"/>
      <c r="N45" s="501"/>
      <c r="O45" s="501"/>
      <c r="P45" s="501"/>
      <c r="Q45" s="501"/>
      <c r="R45" s="501"/>
      <c r="S45" s="505">
        <f>IF(F45=0,0,IF(AN43=0,0,F45/AN43))</f>
        <v>0</v>
      </c>
      <c r="T45" s="505"/>
      <c r="U45" s="505"/>
      <c r="V45" s="505"/>
      <c r="W45" s="170"/>
      <c r="X45" s="502" t="s">
        <v>84</v>
      </c>
      <c r="Y45" s="502"/>
      <c r="Z45" s="502"/>
      <c r="AA45" s="502"/>
      <c r="AB45" s="502"/>
      <c r="AC45" s="502"/>
      <c r="AD45" s="502"/>
      <c r="AE45" s="502"/>
      <c r="AF45" s="502"/>
      <c r="AG45" s="502"/>
      <c r="AH45" s="155"/>
      <c r="AI45" s="163" t="s">
        <v>80</v>
      </c>
      <c r="AJ45" s="155"/>
      <c r="AK45" s="163" t="s">
        <v>81</v>
      </c>
      <c r="AL45" s="171"/>
      <c r="AM45" s="506"/>
      <c r="AN45" s="47">
        <f t="shared" si="2"/>
        <v>0</v>
      </c>
      <c r="AO45" s="5" t="str">
        <f>IF(AND(F45&gt;0,$AF$7="Yes",OR(AH45="",AJ45="")),"FALSE","TRUE")</f>
        <v>TRUE</v>
      </c>
      <c r="AP45" s="5"/>
      <c r="AR45" s="45"/>
      <c r="AS45" s="72"/>
      <c r="AT45" s="528" t="s">
        <v>87</v>
      </c>
      <c r="AU45" s="528"/>
      <c r="AV45" s="528"/>
      <c r="AW45" s="528"/>
      <c r="AX45" s="528"/>
      <c r="AY45" s="528"/>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506"/>
      <c r="AN46" s="27">
        <f t="shared" ref="AN46" si="3">(AF46+AB46+X46+S46+O46+K46+F46)</f>
        <v>0</v>
      </c>
      <c r="AO46" s="27"/>
      <c r="AP46" s="27"/>
      <c r="AQ46" s="27">
        <f t="shared" ref="AQ46" si="4">AH46+AD46+Z46+U46+Q46+M46+H46</f>
        <v>0</v>
      </c>
      <c r="AR46" s="45"/>
      <c r="AS46" s="72"/>
      <c r="AT46" s="528"/>
      <c r="AU46" s="528"/>
      <c r="AV46" s="528"/>
      <c r="AW46" s="528"/>
      <c r="AX46" s="528"/>
      <c r="AY46" s="528"/>
      <c r="AZ46" s="265"/>
    </row>
    <row r="47" spans="2:88" ht="9" customHeight="1" x14ac:dyDescent="0.2">
      <c r="B47" s="40"/>
      <c r="D47" s="448" t="s">
        <v>88</v>
      </c>
      <c r="E47" s="448"/>
      <c r="F47" s="448"/>
      <c r="G47" s="448"/>
      <c r="H47" s="448"/>
      <c r="I47" s="448"/>
      <c r="J47" s="448"/>
      <c r="K47" s="448"/>
      <c r="L47" s="448"/>
      <c r="M47" s="448"/>
      <c r="N47" s="448"/>
      <c r="O47" s="51"/>
      <c r="P47" s="448" t="s">
        <v>89</v>
      </c>
      <c r="Q47" s="448"/>
      <c r="R47" s="448"/>
      <c r="S47" s="448"/>
      <c r="T47" s="448"/>
      <c r="U47" s="448"/>
      <c r="V47" s="448"/>
      <c r="W47" s="448"/>
      <c r="X47" s="448"/>
      <c r="Y47" s="448"/>
      <c r="Z47" s="448"/>
      <c r="AA47" s="448"/>
      <c r="AB47" s="448"/>
      <c r="AC47" s="448"/>
      <c r="AD47" s="448"/>
      <c r="AE47" s="448"/>
      <c r="AF47" s="448"/>
      <c r="AG47" s="448"/>
      <c r="AH47" s="448"/>
      <c r="AI47" s="448"/>
      <c r="AJ47" s="448"/>
      <c r="AK47" s="448"/>
      <c r="AL47" s="448"/>
      <c r="AN47" s="5"/>
      <c r="AO47" s="5"/>
      <c r="AP47" s="5"/>
      <c r="AQ47" s="5"/>
      <c r="AR47" s="45"/>
      <c r="AS47" s="143"/>
      <c r="AT47" s="529"/>
      <c r="AU47" s="529"/>
      <c r="AV47" s="529"/>
      <c r="AW47" s="529"/>
      <c r="AX47" s="529"/>
      <c r="AY47" s="529"/>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449"/>
      <c r="E48" s="449"/>
      <c r="F48" s="449"/>
      <c r="G48" s="449"/>
      <c r="H48" s="449"/>
      <c r="I48" s="449"/>
      <c r="J48" s="449"/>
      <c r="K48" s="449"/>
      <c r="L48" s="449"/>
      <c r="M48" s="449"/>
      <c r="N48" s="449"/>
      <c r="O48" s="186"/>
      <c r="P48" s="449"/>
      <c r="Q48" s="449"/>
      <c r="R48" s="449"/>
      <c r="S48" s="449"/>
      <c r="T48" s="449"/>
      <c r="U48" s="449"/>
      <c r="V48" s="449"/>
      <c r="W48" s="449"/>
      <c r="X48" s="449"/>
      <c r="Y48" s="449"/>
      <c r="Z48" s="449"/>
      <c r="AA48" s="449"/>
      <c r="AB48" s="449"/>
      <c r="AC48" s="449"/>
      <c r="AD48" s="449"/>
      <c r="AE48" s="449"/>
      <c r="AF48" s="449"/>
      <c r="AG48" s="449"/>
      <c r="AH48" s="449"/>
      <c r="AI48" s="449"/>
      <c r="AJ48" s="449"/>
      <c r="AK48" s="449"/>
      <c r="AL48" s="449"/>
      <c r="AN48" s="5"/>
      <c r="AO48" s="5"/>
      <c r="AP48" s="5"/>
      <c r="AQ48" s="5"/>
      <c r="AR48" s="45"/>
      <c r="AS48" s="278"/>
      <c r="AT48" s="530" t="str">
        <f>IF(OR(F7="Please select",AC5=0,AC3="Please enter"),"[Pay Ref No] - [Surname] - [Claim Period].xlsx",CONCATENATE(AC5," - ",AC3," - ",VLOOKUP(F7,ClaimPeriods,5,FALSE),".xlsx"))</f>
        <v>[Pay Ref No] - [Surname] - [Claim Period].xlsx</v>
      </c>
      <c r="AU48" s="530"/>
      <c r="AV48" s="530"/>
      <c r="AW48" s="530"/>
      <c r="AX48" s="530"/>
      <c r="AY48" s="531"/>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84" t="s">
        <v>90</v>
      </c>
      <c r="E49" s="492"/>
      <c r="F49" s="554" t="s">
        <v>59</v>
      </c>
      <c r="G49" s="555"/>
      <c r="H49" s="555"/>
      <c r="I49" s="555"/>
      <c r="J49" s="555"/>
      <c r="K49" s="555"/>
      <c r="L49" s="555"/>
      <c r="M49" s="555"/>
      <c r="N49" s="556"/>
      <c r="O49" s="316"/>
      <c r="P49" s="468" t="s">
        <v>91</v>
      </c>
      <c r="Q49" s="468"/>
      <c r="R49" s="469"/>
      <c r="S49" s="470" t="s">
        <v>92</v>
      </c>
      <c r="T49" s="468"/>
      <c r="U49" s="468"/>
      <c r="V49" s="468" t="s">
        <v>93</v>
      </c>
      <c r="W49" s="468"/>
      <c r="X49" s="468"/>
      <c r="Y49" s="469"/>
      <c r="Z49" s="471" t="s">
        <v>94</v>
      </c>
      <c r="AA49" s="468"/>
      <c r="AB49" s="468"/>
      <c r="AC49" s="469"/>
      <c r="AD49" s="470" t="s">
        <v>95</v>
      </c>
      <c r="AE49" s="468"/>
      <c r="AF49" s="468"/>
      <c r="AG49" s="468"/>
      <c r="AH49" s="468" t="s">
        <v>96</v>
      </c>
      <c r="AI49" s="468"/>
      <c r="AJ49" s="468"/>
      <c r="AK49" s="468"/>
      <c r="AL49" s="468"/>
      <c r="AN49" s="48" t="s">
        <v>97</v>
      </c>
      <c r="AO49" s="47" t="str">
        <f>IF(OR(AO15="TRUE",AO22="TRUE",AO29="TRUE",AO36="TRUE",AO43="TRUE"),"TRUE","FALSE")</f>
        <v>FALSE</v>
      </c>
      <c r="AP49" s="47" t="str">
        <f>IF(OR(AP15="INCOMPLETE",AP22="INCOMPLETE",AP29="INCOMPLETE",AP36="INCOMPLETE",AP43="INCOMPLETE"),"INCOMPLETE","OK")</f>
        <v>OK</v>
      </c>
      <c r="AR49" s="45"/>
      <c r="AS49" s="278"/>
      <c r="AT49" s="532"/>
      <c r="AU49" s="532"/>
      <c r="AV49" s="532"/>
      <c r="AW49" s="532"/>
      <c r="AX49" s="532"/>
      <c r="AY49" s="533"/>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563" t="s">
        <v>98</v>
      </c>
      <c r="E50" s="564"/>
      <c r="F50" s="564"/>
      <c r="G50" s="564"/>
      <c r="H50" s="564"/>
      <c r="I50" s="564"/>
      <c r="J50" s="564"/>
      <c r="K50" s="565"/>
      <c r="L50" s="557" t="s">
        <v>99</v>
      </c>
      <c r="M50" s="558"/>
      <c r="N50" s="559"/>
      <c r="P50" s="450" t="str">
        <f>VLOOKUP(F11,SessionalTypesFPE,2,FALSE)</f>
        <v>----</v>
      </c>
      <c r="Q50" s="450"/>
      <c r="R50" s="451"/>
      <c r="S50" s="452" t="s">
        <v>100</v>
      </c>
      <c r="T50" s="450"/>
      <c r="U50" s="450"/>
      <c r="V50" s="453">
        <f>(F17+F24+F31+F38+F45)*(1-(F55+F56))</f>
        <v>0</v>
      </c>
      <c r="W50" s="450"/>
      <c r="X50" s="450"/>
      <c r="Y50" s="451"/>
      <c r="Z50" s="454">
        <f>(F17+F24+F31+F38+F45)*F55</f>
        <v>0</v>
      </c>
      <c r="AA50" s="450"/>
      <c r="AB50" s="450"/>
      <c r="AC50" s="451"/>
      <c r="AD50" s="455">
        <f>(F17+F24+F31+F38+F45)*F56</f>
        <v>0</v>
      </c>
      <c r="AE50" s="450"/>
      <c r="AF50" s="450"/>
      <c r="AG50" s="450"/>
      <c r="AH50" s="453">
        <f>SUM(V50:AG50)</f>
        <v>0</v>
      </c>
      <c r="AI50" s="450"/>
      <c r="AJ50" s="450"/>
      <c r="AK50" s="450"/>
      <c r="AL50" s="450"/>
      <c r="AN50" s="5"/>
      <c r="AO50" s="5"/>
      <c r="AP50" s="5"/>
      <c r="AQ50" s="5"/>
      <c r="AR50" s="45"/>
      <c r="AS50" s="73"/>
      <c r="AT50" s="521" t="s">
        <v>101</v>
      </c>
      <c r="AU50" s="521"/>
      <c r="AV50" s="521"/>
      <c r="AW50" s="521"/>
      <c r="AX50" s="521"/>
      <c r="AY50" s="521"/>
      <c r="AZ50" s="522"/>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566" t="s">
        <v>102</v>
      </c>
      <c r="E51" s="567"/>
      <c r="F51" s="567"/>
      <c r="G51" s="567"/>
      <c r="H51" s="567"/>
      <c r="I51" s="567"/>
      <c r="J51" s="567"/>
      <c r="K51" s="568"/>
      <c r="L51" s="548">
        <f>'UniWorkforce Expenses Claim'!AF34</f>
        <v>0</v>
      </c>
      <c r="M51" s="549"/>
      <c r="N51" s="550"/>
      <c r="P51" s="456"/>
      <c r="Q51" s="457"/>
      <c r="R51" s="458"/>
      <c r="S51" s="459" t="s">
        <v>100</v>
      </c>
      <c r="T51" s="457"/>
      <c r="U51" s="452"/>
      <c r="V51" s="467"/>
      <c r="W51" s="466"/>
      <c r="X51" s="466"/>
      <c r="Y51" s="472"/>
      <c r="Z51" s="465"/>
      <c r="AA51" s="466"/>
      <c r="AB51" s="466"/>
      <c r="AC51" s="472"/>
      <c r="AD51" s="465"/>
      <c r="AE51" s="466"/>
      <c r="AF51" s="466"/>
      <c r="AG51" s="455"/>
      <c r="AH51" s="467">
        <f>SUM(V51:AG51)</f>
        <v>0</v>
      </c>
      <c r="AI51" s="457"/>
      <c r="AJ51" s="457"/>
      <c r="AK51" s="457"/>
      <c r="AL51" s="452"/>
      <c r="AN51" s="5"/>
      <c r="AO51" s="5"/>
      <c r="AP51" s="5"/>
      <c r="AQ51" s="35"/>
      <c r="AR51" s="45"/>
      <c r="AS51" s="144"/>
      <c r="AT51" s="521"/>
      <c r="AU51" s="521"/>
      <c r="AV51" s="521"/>
      <c r="AW51" s="521"/>
      <c r="AX51" s="521"/>
      <c r="AY51" s="521"/>
      <c r="AZ51" s="522"/>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545" t="s">
        <v>103</v>
      </c>
      <c r="E52" s="546"/>
      <c r="F52" s="546"/>
      <c r="G52" s="546"/>
      <c r="H52" s="546"/>
      <c r="I52" s="546"/>
      <c r="J52" s="546"/>
      <c r="K52" s="547"/>
      <c r="L52" s="551">
        <f>'UniWorkforce Expenses Claim'!AF36</f>
        <v>0</v>
      </c>
      <c r="M52" s="552"/>
      <c r="N52" s="553"/>
      <c r="P52" s="450"/>
      <c r="Q52" s="450"/>
      <c r="R52" s="451"/>
      <c r="S52" s="452" t="s">
        <v>100</v>
      </c>
      <c r="T52" s="450"/>
      <c r="U52" s="450"/>
      <c r="V52" s="453"/>
      <c r="W52" s="450"/>
      <c r="X52" s="450"/>
      <c r="Y52" s="451"/>
      <c r="Z52" s="454"/>
      <c r="AA52" s="450"/>
      <c r="AB52" s="450"/>
      <c r="AC52" s="451"/>
      <c r="AD52" s="455"/>
      <c r="AE52" s="450"/>
      <c r="AF52" s="450"/>
      <c r="AG52" s="450"/>
      <c r="AH52" s="453">
        <f>SUM(V52:AG52)</f>
        <v>0</v>
      </c>
      <c r="AI52" s="450"/>
      <c r="AJ52" s="450"/>
      <c r="AK52" s="450"/>
      <c r="AL52" s="450"/>
      <c r="AN52" s="5"/>
      <c r="AO52" s="5"/>
      <c r="AP52" s="5"/>
      <c r="AQ52" s="35"/>
      <c r="AR52" s="45"/>
      <c r="AS52" s="145"/>
      <c r="AT52" s="521"/>
      <c r="AU52" s="521"/>
      <c r="AV52" s="521"/>
      <c r="AW52" s="521"/>
      <c r="AX52" s="521"/>
      <c r="AY52" s="521"/>
      <c r="AZ52" s="522"/>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440" t="s">
        <v>105</v>
      </c>
      <c r="Q53" s="441"/>
      <c r="R53" s="441"/>
      <c r="S53" s="441"/>
      <c r="T53" s="441"/>
      <c r="U53" s="442"/>
      <c r="V53" s="443">
        <f>AH53*(1-(F55+F56))</f>
        <v>0</v>
      </c>
      <c r="W53" s="444"/>
      <c r="X53" s="444"/>
      <c r="Y53" s="445"/>
      <c r="Z53" s="460">
        <f>AH53*F55</f>
        <v>0</v>
      </c>
      <c r="AA53" s="444"/>
      <c r="AB53" s="444"/>
      <c r="AC53" s="445"/>
      <c r="AD53" s="461">
        <f>AH53*F56</f>
        <v>0</v>
      </c>
      <c r="AE53" s="444"/>
      <c r="AF53" s="444"/>
      <c r="AG53" s="444"/>
      <c r="AH53" s="443">
        <f>(IF($F$11=$AN$11,0,IF($Z$11=E64,SUM(AH50:AL52)*0.1207,((AQ43+AQ36+AQ29+AQ22+AQ15)-(F45+F38+F31+F24+F17)))))</f>
        <v>0</v>
      </c>
      <c r="AI53" s="444"/>
      <c r="AJ53" s="444"/>
      <c r="AK53" s="444"/>
      <c r="AL53" s="444"/>
      <c r="AN53" s="5"/>
      <c r="AO53" s="5"/>
      <c r="AP53" s="5"/>
      <c r="AQ53" s="35"/>
      <c r="AR53" s="45"/>
      <c r="AS53" s="145"/>
      <c r="AT53" s="521"/>
      <c r="AU53" s="521"/>
      <c r="AV53" s="521"/>
      <c r="AW53" s="521"/>
      <c r="AX53" s="521"/>
      <c r="AY53" s="521"/>
      <c r="AZ53" s="522"/>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84" t="s">
        <v>106</v>
      </c>
      <c r="E54" s="492"/>
      <c r="F54" s="569">
        <v>1</v>
      </c>
      <c r="G54" s="570"/>
      <c r="H54" s="570"/>
      <c r="I54" s="260" t="s">
        <v>17</v>
      </c>
      <c r="J54" s="573">
        <v>0</v>
      </c>
      <c r="K54" s="573"/>
      <c r="L54" s="573"/>
      <c r="M54" s="573"/>
      <c r="N54" s="573"/>
      <c r="O54" s="190"/>
      <c r="P54" s="322"/>
      <c r="Q54" s="322"/>
      <c r="R54" s="322"/>
      <c r="S54" s="317"/>
      <c r="T54" s="318"/>
      <c r="U54" s="318"/>
      <c r="V54" s="318"/>
      <c r="W54" s="318"/>
      <c r="X54" s="319"/>
      <c r="Y54" s="446" t="s">
        <v>107</v>
      </c>
      <c r="Z54" s="446"/>
      <c r="AA54" s="446"/>
      <c r="AB54" s="446"/>
      <c r="AC54" s="446"/>
      <c r="AD54" s="446"/>
      <c r="AE54" s="446"/>
      <c r="AF54" s="446"/>
      <c r="AG54" s="447"/>
      <c r="AH54" s="462">
        <f>SUM(AH50:AL53)</f>
        <v>0</v>
      </c>
      <c r="AI54" s="463"/>
      <c r="AJ54" s="463"/>
      <c r="AK54" s="463"/>
      <c r="AL54" s="464"/>
      <c r="AN54" s="324" t="e">
        <f>AH53/SUM(AH50:AL52)</f>
        <v>#DIV/0!</v>
      </c>
      <c r="AO54" s="5"/>
      <c r="AP54" s="5"/>
      <c r="AQ54" s="35"/>
      <c r="AR54" s="45"/>
      <c r="AS54" s="146"/>
      <c r="AT54" s="521"/>
      <c r="AU54" s="521"/>
      <c r="AV54" s="521"/>
      <c r="AW54" s="521"/>
      <c r="AX54" s="521"/>
      <c r="AY54" s="521"/>
      <c r="AZ54" s="522"/>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25" t="s">
        <v>108</v>
      </c>
      <c r="E55" s="526"/>
      <c r="F55" s="569">
        <v>0</v>
      </c>
      <c r="G55" s="570"/>
      <c r="H55" s="570"/>
      <c r="I55" s="260" t="s">
        <v>17</v>
      </c>
      <c r="J55" s="573">
        <v>0</v>
      </c>
      <c r="K55" s="573"/>
      <c r="L55" s="573"/>
      <c r="M55" s="573"/>
      <c r="N55" s="573"/>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21"/>
      <c r="AU55" s="521"/>
      <c r="AV55" s="521"/>
      <c r="AW55" s="521"/>
      <c r="AX55" s="521"/>
      <c r="AY55" s="521"/>
      <c r="AZ55" s="522"/>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575" t="s">
        <v>109</v>
      </c>
      <c r="E56" s="576"/>
      <c r="F56" s="571">
        <v>0</v>
      </c>
      <c r="G56" s="572"/>
      <c r="H56" s="572"/>
      <c r="I56" s="312" t="s">
        <v>17</v>
      </c>
      <c r="J56" s="574">
        <v>0</v>
      </c>
      <c r="K56" s="574"/>
      <c r="L56" s="574"/>
      <c r="M56" s="574"/>
      <c r="N56" s="574"/>
      <c r="O56" s="190"/>
      <c r="P56" s="437" t="s">
        <v>110</v>
      </c>
      <c r="Q56" s="438"/>
      <c r="R56" s="438"/>
      <c r="S56" s="438"/>
      <c r="T56" s="438"/>
      <c r="U56" s="438"/>
      <c r="V56" s="438"/>
      <c r="W56" s="438"/>
      <c r="X56" s="438"/>
      <c r="Y56" s="439"/>
      <c r="Z56" s="434" t="str">
        <f>CONCATENATE(IF(ISNA(VLOOKUP(Z9,Bucket,2,FALSE)),IF(ISNA(VLOOKUP(F9,Bucket,2,FALSE)),"----",VLOOKUP(F9,Bucket,2,FALSE)),VLOOKUP(Z9,Bucket,2,FALSE)),"-",VLOOKUP(F11,SessionalTypesFPE,3,FALSE))</f>
        <v>---------</v>
      </c>
      <c r="AA56" s="435"/>
      <c r="AB56" s="435"/>
      <c r="AC56" s="435"/>
      <c r="AD56" s="435"/>
      <c r="AE56" s="435"/>
      <c r="AF56" s="435"/>
      <c r="AG56" s="435"/>
      <c r="AH56" s="435"/>
      <c r="AI56" s="435"/>
      <c r="AJ56" s="435"/>
      <c r="AK56" s="435"/>
      <c r="AL56" s="436"/>
      <c r="AN56" s="48"/>
      <c r="AO56" s="48"/>
      <c r="AP56" s="48"/>
      <c r="AQ56" s="47"/>
      <c r="AR56" s="45"/>
      <c r="AS56" s="144"/>
      <c r="AT56" s="521"/>
      <c r="AU56" s="521"/>
      <c r="AV56" s="521"/>
      <c r="AW56" s="521"/>
      <c r="AX56" s="521"/>
      <c r="AY56" s="521"/>
      <c r="AZ56" s="522"/>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21"/>
      <c r="AU57" s="521"/>
      <c r="AV57" s="521"/>
      <c r="AW57" s="521"/>
      <c r="AX57" s="521"/>
      <c r="AY57" s="521"/>
      <c r="AZ57" s="522"/>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84" t="s">
        <v>111</v>
      </c>
      <c r="E58" s="492"/>
      <c r="F58" s="560" t="s">
        <v>59</v>
      </c>
      <c r="G58" s="561"/>
      <c r="H58" s="561"/>
      <c r="I58" s="561"/>
      <c r="J58" s="561"/>
      <c r="K58" s="561"/>
      <c r="L58" s="561"/>
      <c r="M58" s="561"/>
      <c r="N58" s="562"/>
      <c r="O58" s="2"/>
      <c r="P58" s="2"/>
      <c r="Q58" s="2"/>
      <c r="R58" s="2"/>
      <c r="AN58" s="48"/>
      <c r="AO58" s="48"/>
      <c r="AP58" s="48"/>
      <c r="AQ58" s="47"/>
      <c r="AR58" s="45"/>
      <c r="AS58" s="144"/>
      <c r="AT58" s="521"/>
      <c r="AU58" s="521"/>
      <c r="AV58" s="521"/>
      <c r="AW58" s="521"/>
      <c r="AX58" s="521"/>
      <c r="AY58" s="521"/>
      <c r="AZ58" s="522"/>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23"/>
      <c r="AU59" s="523"/>
      <c r="AV59" s="523"/>
      <c r="AW59" s="523"/>
      <c r="AX59" s="523"/>
      <c r="AY59" s="523"/>
      <c r="AZ59" s="524"/>
    </row>
    <row r="60" spans="1:88" ht="26.25" customHeight="1" x14ac:dyDescent="0.2">
      <c r="B60" s="508" t="s">
        <v>112</v>
      </c>
      <c r="C60" s="509"/>
      <c r="D60" s="509"/>
      <c r="E60" s="509"/>
      <c r="F60" s="509"/>
      <c r="G60" s="509"/>
      <c r="H60" s="509"/>
      <c r="I60" s="509"/>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10"/>
    </row>
    <row r="61" spans="1:88" ht="15" customHeight="1" x14ac:dyDescent="0.2">
      <c r="B61" s="511" t="s">
        <v>113</v>
      </c>
      <c r="C61" s="512"/>
      <c r="D61" s="512"/>
      <c r="E61" s="512"/>
      <c r="F61" s="512"/>
      <c r="G61" s="512"/>
      <c r="H61" s="512"/>
      <c r="I61" s="512"/>
      <c r="J61" s="512"/>
      <c r="K61" s="512"/>
      <c r="L61" s="512"/>
      <c r="M61" s="512"/>
      <c r="N61" s="512"/>
      <c r="O61" s="512"/>
      <c r="P61" s="512"/>
      <c r="Q61" s="51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3"/>
    </row>
    <row r="62" spans="1:88" x14ac:dyDescent="0.2">
      <c r="B62" s="514"/>
      <c r="C62" s="514"/>
      <c r="D62" s="514"/>
      <c r="E62" s="514"/>
      <c r="F62" s="514"/>
      <c r="G62" s="514"/>
      <c r="H62" s="514"/>
      <c r="I62" s="514"/>
      <c r="J62" s="514"/>
      <c r="K62" s="514"/>
      <c r="L62" s="514"/>
      <c r="M62" s="514"/>
      <c r="N62" s="514"/>
      <c r="O62" s="514"/>
      <c r="P62" s="514"/>
      <c r="Q62" s="514"/>
      <c r="R62" s="514"/>
      <c r="S62" s="514"/>
      <c r="T62" s="514"/>
      <c r="U62" s="514"/>
      <c r="V62" s="514"/>
      <c r="W62" s="514"/>
      <c r="X62" s="514"/>
      <c r="Y62" s="514"/>
      <c r="Z62" s="514"/>
      <c r="AA62" s="514"/>
      <c r="AB62" s="514"/>
      <c r="AC62" s="514"/>
      <c r="AD62" s="514"/>
      <c r="AE62" s="514"/>
      <c r="AF62" s="514"/>
      <c r="AG62" s="514"/>
      <c r="AH62" s="514"/>
      <c r="AI62" s="514"/>
      <c r="AJ62" s="514"/>
      <c r="AK62" s="514"/>
      <c r="AL62" s="514"/>
      <c r="AM62" s="514"/>
      <c r="AN62" s="514"/>
      <c r="AO62" s="514"/>
      <c r="AP62" s="514"/>
      <c r="AQ62" s="514"/>
      <c r="AR62" s="514"/>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7" zoomScale="170" zoomScaleNormal="170" workbookViewId="0">
      <selection activeCell="E69" sqref="E69"/>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73" t="s">
        <v>57</v>
      </c>
      <c r="AQ2" s="473"/>
      <c r="AR2" s="473"/>
      <c r="AS2" s="473"/>
      <c r="AT2" s="473"/>
      <c r="AU2" s="473"/>
      <c r="AV2" s="39"/>
    </row>
    <row r="3" spans="2:48" ht="15" customHeight="1" x14ac:dyDescent="0.2">
      <c r="B3" s="40"/>
      <c r="D3" s="70" t="s">
        <v>58</v>
      </c>
      <c r="E3" s="644" t="s">
        <v>819</v>
      </c>
      <c r="F3" s="644"/>
      <c r="G3" s="644"/>
      <c r="H3" s="644"/>
      <c r="I3" s="644"/>
      <c r="J3" s="644"/>
      <c r="K3" s="644"/>
      <c r="L3" s="644"/>
      <c r="M3" s="644"/>
      <c r="N3" s="644"/>
      <c r="O3" s="644"/>
      <c r="P3" s="644"/>
      <c r="Q3" s="2"/>
      <c r="R3" s="475" t="s">
        <v>60</v>
      </c>
      <c r="S3" s="475"/>
      <c r="T3" s="475"/>
      <c r="U3" s="475"/>
      <c r="V3" s="475"/>
      <c r="W3" s="475"/>
      <c r="X3" s="475"/>
      <c r="Y3" s="475"/>
      <c r="Z3" s="644" t="s">
        <v>820</v>
      </c>
      <c r="AA3" s="644"/>
      <c r="AB3" s="644"/>
      <c r="AC3" s="644"/>
      <c r="AD3" s="644"/>
      <c r="AE3" s="644"/>
      <c r="AF3" s="644"/>
      <c r="AG3" s="644"/>
      <c r="AH3" s="644"/>
      <c r="AI3" s="644"/>
      <c r="AJ3" s="644"/>
      <c r="AK3" s="4"/>
      <c r="AN3" s="45"/>
      <c r="AO3" s="40"/>
      <c r="AP3" s="481"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481"/>
      <c r="AR3" s="481"/>
      <c r="AS3" s="481"/>
      <c r="AT3" s="481"/>
      <c r="AU3" s="481"/>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481"/>
      <c r="AQ4" s="481"/>
      <c r="AR4" s="481"/>
      <c r="AS4" s="481"/>
      <c r="AT4" s="481"/>
      <c r="AU4" s="481"/>
      <c r="AV4" s="41"/>
    </row>
    <row r="5" spans="2:48" x14ac:dyDescent="0.2">
      <c r="B5" s="40"/>
      <c r="D5" s="70" t="s">
        <v>61</v>
      </c>
      <c r="E5" s="476">
        <v>35817</v>
      </c>
      <c r="F5" s="476"/>
      <c r="G5" s="476"/>
      <c r="H5" s="476"/>
      <c r="I5" s="476"/>
      <c r="J5" s="476"/>
      <c r="K5" s="476"/>
      <c r="L5" s="476"/>
      <c r="M5" s="476"/>
      <c r="N5" s="476"/>
      <c r="O5" s="476"/>
      <c r="P5" s="476"/>
      <c r="Q5" s="5"/>
      <c r="R5" s="475" t="s">
        <v>62</v>
      </c>
      <c r="S5" s="475"/>
      <c r="T5" s="475"/>
      <c r="U5" s="475"/>
      <c r="V5" s="475"/>
      <c r="W5" s="475"/>
      <c r="X5" s="475"/>
      <c r="Y5" s="475"/>
      <c r="Z5" s="477">
        <v>2915413</v>
      </c>
      <c r="AA5" s="477"/>
      <c r="AB5" s="477"/>
      <c r="AC5" s="477"/>
      <c r="AD5" s="477"/>
      <c r="AE5" s="477"/>
      <c r="AF5" s="477"/>
      <c r="AG5" s="477"/>
      <c r="AH5" s="477"/>
      <c r="AI5" s="477"/>
      <c r="AJ5" s="477"/>
      <c r="AK5" s="7"/>
      <c r="AL5" s="5"/>
      <c r="AM5" s="5"/>
      <c r="AN5" s="45"/>
      <c r="AO5" s="40"/>
      <c r="AP5" s="481"/>
      <c r="AQ5" s="481"/>
      <c r="AR5" s="481"/>
      <c r="AS5" s="481"/>
      <c r="AT5" s="481"/>
      <c r="AU5" s="481"/>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481"/>
      <c r="AQ6" s="481"/>
      <c r="AR6" s="481"/>
      <c r="AS6" s="481"/>
      <c r="AT6" s="481"/>
      <c r="AU6" s="481"/>
      <c r="AV6" s="41"/>
    </row>
    <row r="7" spans="2:48" x14ac:dyDescent="0.2">
      <c r="B7" s="40"/>
      <c r="C7" s="8"/>
      <c r="D7" s="70" t="s">
        <v>63</v>
      </c>
      <c r="E7" s="478" t="s">
        <v>316</v>
      </c>
      <c r="F7" s="479"/>
      <c r="G7" s="479"/>
      <c r="H7" s="479"/>
      <c r="I7" s="479"/>
      <c r="J7" s="479"/>
      <c r="K7" s="479"/>
      <c r="L7" s="479"/>
      <c r="M7" s="479"/>
      <c r="N7" s="479"/>
      <c r="O7" s="479"/>
      <c r="P7" s="480"/>
      <c r="Q7" s="5"/>
      <c r="R7" s="674" t="s">
        <v>115</v>
      </c>
      <c r="S7" s="674"/>
      <c r="T7" s="674"/>
      <c r="U7" s="674"/>
      <c r="V7" s="674"/>
      <c r="W7" s="674"/>
      <c r="X7" s="674"/>
      <c r="Y7" s="674"/>
      <c r="Z7" s="674"/>
      <c r="AA7" s="674"/>
      <c r="AB7" s="674"/>
      <c r="AC7" s="674"/>
      <c r="AD7" s="674"/>
      <c r="AE7" s="637" t="s">
        <v>99</v>
      </c>
      <c r="AF7" s="637"/>
      <c r="AG7" s="637"/>
      <c r="AH7" s="637"/>
      <c r="AI7" s="637"/>
      <c r="AJ7" s="637"/>
      <c r="AK7" s="15"/>
      <c r="AL7" s="5"/>
      <c r="AM7" s="5"/>
      <c r="AN7" s="45"/>
      <c r="AO7" s="40"/>
      <c r="AP7" s="481"/>
      <c r="AQ7" s="481"/>
      <c r="AR7" s="481"/>
      <c r="AS7" s="481"/>
      <c r="AT7" s="481"/>
      <c r="AU7" s="481"/>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481"/>
      <c r="AQ8" s="481"/>
      <c r="AR8" s="481"/>
      <c r="AS8" s="481"/>
      <c r="AT8" s="481"/>
      <c r="AU8" s="481"/>
      <c r="AV8" s="41"/>
    </row>
    <row r="9" spans="2:48" ht="15" customHeight="1" x14ac:dyDescent="0.2">
      <c r="B9" s="40"/>
      <c r="D9" s="70" t="s">
        <v>67</v>
      </c>
      <c r="E9" s="474" t="s">
        <v>467</v>
      </c>
      <c r="F9" s="474"/>
      <c r="G9" s="474"/>
      <c r="H9" s="474"/>
      <c r="I9" s="474"/>
      <c r="J9" s="474"/>
      <c r="K9" s="474"/>
      <c r="L9" s="474"/>
      <c r="M9" s="474"/>
      <c r="N9" s="474"/>
      <c r="O9" s="474"/>
      <c r="P9" s="474"/>
      <c r="Q9" s="3" t="s">
        <v>17</v>
      </c>
      <c r="R9" s="484" t="s">
        <v>69</v>
      </c>
      <c r="S9" s="485"/>
      <c r="T9" s="485"/>
      <c r="U9" s="485"/>
      <c r="V9" s="485"/>
      <c r="W9" s="486" t="s">
        <v>467</v>
      </c>
      <c r="X9" s="487"/>
      <c r="Y9" s="487"/>
      <c r="Z9" s="487"/>
      <c r="AA9" s="487"/>
      <c r="AB9" s="487"/>
      <c r="AC9" s="487"/>
      <c r="AD9" s="487"/>
      <c r="AE9" s="487"/>
      <c r="AF9" s="487"/>
      <c r="AG9" s="487"/>
      <c r="AH9" s="487"/>
      <c r="AI9" s="487"/>
      <c r="AJ9" s="488"/>
      <c r="AK9" s="14"/>
      <c r="AM9" s="5"/>
      <c r="AN9" s="45"/>
      <c r="AO9" s="40"/>
      <c r="AP9" s="481"/>
      <c r="AQ9" s="481"/>
      <c r="AR9" s="481"/>
      <c r="AS9" s="481"/>
      <c r="AT9" s="481"/>
      <c r="AU9" s="481"/>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481"/>
      <c r="AQ10" s="481"/>
      <c r="AR10" s="481"/>
      <c r="AS10" s="481"/>
      <c r="AT10" s="481"/>
      <c r="AU10" s="481"/>
      <c r="AV10" s="41"/>
    </row>
    <row r="11" spans="2:48" ht="15" customHeight="1" x14ac:dyDescent="0.2">
      <c r="B11" s="40"/>
      <c r="D11" s="70" t="s">
        <v>71</v>
      </c>
      <c r="E11" s="474" t="s">
        <v>397</v>
      </c>
      <c r="F11" s="474"/>
      <c r="G11" s="474"/>
      <c r="H11" s="474"/>
      <c r="I11" s="474"/>
      <c r="J11" s="474"/>
      <c r="K11" s="474"/>
      <c r="L11" s="474"/>
      <c r="M11" s="474"/>
      <c r="N11" s="474"/>
      <c r="O11" s="474"/>
      <c r="P11" s="474"/>
      <c r="Q11" s="3" t="s">
        <v>17</v>
      </c>
      <c r="R11" s="484" t="s">
        <v>116</v>
      </c>
      <c r="S11" s="485"/>
      <c r="T11" s="485"/>
      <c r="U11" s="492"/>
      <c r="V11" s="641" t="s">
        <v>345</v>
      </c>
      <c r="W11" s="642"/>
      <c r="X11" s="642"/>
      <c r="Y11" s="642"/>
      <c r="Z11" s="642"/>
      <c r="AA11" s="642"/>
      <c r="AB11" s="642"/>
      <c r="AC11" s="642"/>
      <c r="AD11" s="643"/>
      <c r="AE11" s="8" t="s">
        <v>17</v>
      </c>
      <c r="AF11" s="638">
        <v>0</v>
      </c>
      <c r="AG11" s="639"/>
      <c r="AH11" s="640"/>
      <c r="AI11" s="9" t="s">
        <v>118</v>
      </c>
      <c r="AJ11" s="14"/>
      <c r="AK11" s="14"/>
      <c r="AL11" s="5">
        <f>VLOOKUP(V11,RateRef,3,FALSE)</f>
        <v>14</v>
      </c>
      <c r="AM11" s="5" t="s">
        <v>117</v>
      </c>
      <c r="AN11" s="45"/>
      <c r="AO11" s="40"/>
      <c r="AP11" s="481"/>
      <c r="AQ11" s="481"/>
      <c r="AR11" s="481"/>
      <c r="AS11" s="481"/>
      <c r="AT11" s="481"/>
      <c r="AU11" s="481"/>
      <c r="AV11" s="41"/>
    </row>
    <row r="12" spans="2:48" ht="4.5" customHeight="1" x14ac:dyDescent="0.2">
      <c r="B12" s="40"/>
      <c r="D12" s="8"/>
      <c r="E12" s="8"/>
      <c r="F12" s="8"/>
      <c r="G12" s="8"/>
      <c r="H12" s="8"/>
      <c r="AL12" s="5"/>
      <c r="AM12" s="5"/>
      <c r="AN12" s="45"/>
      <c r="AO12" s="40"/>
      <c r="AP12" s="481"/>
      <c r="AQ12" s="481"/>
      <c r="AR12" s="481"/>
      <c r="AS12" s="481"/>
      <c r="AT12" s="481"/>
      <c r="AU12" s="481"/>
      <c r="AV12" s="41"/>
    </row>
    <row r="13" spans="2:48" ht="9" hidden="1" customHeight="1" x14ac:dyDescent="0.2">
      <c r="B13" s="40"/>
      <c r="D13" s="70" t="s">
        <v>119</v>
      </c>
      <c r="E13" s="474" t="s">
        <v>72</v>
      </c>
      <c r="F13" s="474"/>
      <c r="G13" s="474"/>
      <c r="H13" s="474"/>
      <c r="I13" s="474"/>
      <c r="J13" s="474"/>
      <c r="K13" s="474"/>
      <c r="L13" s="474"/>
      <c r="M13" s="474"/>
      <c r="N13" s="474"/>
      <c r="O13" s="474"/>
      <c r="P13" s="474"/>
      <c r="Q13" s="3" t="s">
        <v>17</v>
      </c>
      <c r="R13" s="484" t="s">
        <v>120</v>
      </c>
      <c r="S13" s="485"/>
      <c r="T13" s="485"/>
      <c r="U13" s="492"/>
      <c r="V13" s="641" t="s">
        <v>121</v>
      </c>
      <c r="W13" s="642"/>
      <c r="X13" s="642"/>
      <c r="Y13" s="642"/>
      <c r="Z13" s="642"/>
      <c r="AA13" s="642"/>
      <c r="AB13" s="642"/>
      <c r="AC13" s="642"/>
      <c r="AD13" s="643"/>
      <c r="AE13" s="8" t="s">
        <v>17</v>
      </c>
      <c r="AF13" s="638"/>
      <c r="AG13" s="639"/>
      <c r="AH13" s="640"/>
      <c r="AI13" s="9" t="s">
        <v>118</v>
      </c>
      <c r="AJ13" s="14"/>
      <c r="AL13" s="5">
        <f>VLOOKUP(V13,RateRef,3,FALSE)</f>
        <v>36</v>
      </c>
      <c r="AM13" s="5" t="s">
        <v>117</v>
      </c>
      <c r="AN13" s="45"/>
      <c r="AO13" s="40"/>
      <c r="AP13" s="481"/>
      <c r="AQ13" s="481"/>
      <c r="AR13" s="481"/>
      <c r="AS13" s="481"/>
      <c r="AT13" s="481"/>
      <c r="AU13" s="481"/>
      <c r="AV13" s="41"/>
    </row>
    <row r="14" spans="2:48" ht="9" hidden="1" customHeight="1" x14ac:dyDescent="0.2">
      <c r="B14" s="40"/>
      <c r="D14" s="8"/>
      <c r="E14" s="8"/>
      <c r="F14" s="8"/>
      <c r="G14" s="8"/>
      <c r="H14" s="8"/>
      <c r="AL14" s="5"/>
      <c r="AM14" s="5"/>
      <c r="AN14" s="45"/>
      <c r="AO14" s="40"/>
      <c r="AP14" s="481"/>
      <c r="AQ14" s="481"/>
      <c r="AR14" s="481"/>
      <c r="AS14" s="481"/>
      <c r="AT14" s="481"/>
      <c r="AU14" s="481"/>
      <c r="AV14" s="41"/>
    </row>
    <row r="15" spans="2:48" ht="9" hidden="1" customHeight="1" x14ac:dyDescent="0.2">
      <c r="B15" s="40"/>
      <c r="D15" s="70" t="s">
        <v>122</v>
      </c>
      <c r="E15" s="474" t="s">
        <v>72</v>
      </c>
      <c r="F15" s="474"/>
      <c r="G15" s="474"/>
      <c r="H15" s="474"/>
      <c r="I15" s="474"/>
      <c r="J15" s="474"/>
      <c r="K15" s="474"/>
      <c r="L15" s="474"/>
      <c r="M15" s="474"/>
      <c r="N15" s="474"/>
      <c r="O15" s="474"/>
      <c r="P15" s="474"/>
      <c r="Q15" s="3" t="s">
        <v>17</v>
      </c>
      <c r="R15" s="484" t="s">
        <v>123</v>
      </c>
      <c r="S15" s="485"/>
      <c r="T15" s="485"/>
      <c r="U15" s="492"/>
      <c r="V15" s="641" t="s">
        <v>121</v>
      </c>
      <c r="W15" s="642"/>
      <c r="X15" s="642"/>
      <c r="Y15" s="642"/>
      <c r="Z15" s="642"/>
      <c r="AA15" s="642"/>
      <c r="AB15" s="642"/>
      <c r="AC15" s="642"/>
      <c r="AD15" s="643"/>
      <c r="AE15" s="8" t="s">
        <v>17</v>
      </c>
      <c r="AF15" s="638"/>
      <c r="AG15" s="639"/>
      <c r="AH15" s="640"/>
      <c r="AI15" s="9" t="s">
        <v>118</v>
      </c>
      <c r="AJ15" s="14"/>
      <c r="AL15" s="5">
        <f>VLOOKUP(V15,RateRef,3,FALSE)</f>
        <v>36</v>
      </c>
      <c r="AM15" s="5" t="s">
        <v>117</v>
      </c>
      <c r="AN15" s="45"/>
      <c r="AO15" s="40"/>
      <c r="AP15" s="481"/>
      <c r="AQ15" s="481"/>
      <c r="AR15" s="481"/>
      <c r="AS15" s="481"/>
      <c r="AT15" s="481"/>
      <c r="AU15" s="481"/>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658" t="s">
        <v>125</v>
      </c>
      <c r="F17" s="651"/>
      <c r="G17" s="651"/>
      <c r="H17" s="652"/>
      <c r="I17" s="645" t="s">
        <v>126</v>
      </c>
      <c r="J17" s="645"/>
      <c r="K17" s="645"/>
      <c r="L17" s="653"/>
      <c r="M17" s="645" t="s">
        <v>127</v>
      </c>
      <c r="N17" s="645"/>
      <c r="O17" s="645"/>
      <c r="P17" s="653"/>
      <c r="Q17" s="645" t="s">
        <v>128</v>
      </c>
      <c r="R17" s="645"/>
      <c r="S17" s="645"/>
      <c r="T17" s="653"/>
      <c r="U17" s="651" t="s">
        <v>129</v>
      </c>
      <c r="V17" s="651"/>
      <c r="W17" s="651"/>
      <c r="X17" s="652"/>
      <c r="Y17" s="645" t="s">
        <v>130</v>
      </c>
      <c r="Z17" s="645"/>
      <c r="AA17" s="645"/>
      <c r="AB17" s="653"/>
      <c r="AC17" s="645" t="s">
        <v>131</v>
      </c>
      <c r="AD17" s="645"/>
      <c r="AE17" s="645"/>
      <c r="AF17" s="645"/>
      <c r="AG17" s="646" t="s">
        <v>132</v>
      </c>
      <c r="AH17" s="645"/>
      <c r="AI17" s="645"/>
      <c r="AJ17" s="647"/>
      <c r="AK17" s="80"/>
      <c r="AL17" s="25">
        <f>VLOOKUP(E7,ClaimPeriods,2,FALSE)</f>
        <v>44592</v>
      </c>
      <c r="AM17" s="26">
        <f>VLOOKUP(E7,ClaimPeriods,4,FALSE)</f>
        <v>4</v>
      </c>
      <c r="AN17" s="45"/>
      <c r="AO17" s="36"/>
      <c r="AP17" s="473" t="s">
        <v>76</v>
      </c>
      <c r="AQ17" s="473"/>
      <c r="AR17" s="473"/>
      <c r="AS17" s="473"/>
      <c r="AT17" s="473"/>
      <c r="AU17" s="473"/>
      <c r="AV17" s="39"/>
    </row>
    <row r="18" spans="2:48" ht="18" customHeight="1" x14ac:dyDescent="0.2">
      <c r="B18" s="40"/>
      <c r="C18" s="10">
        <f>AL17-WEEKDAY(AL17,3)</f>
        <v>44592</v>
      </c>
      <c r="D18" s="71" t="s">
        <v>133</v>
      </c>
      <c r="E18" s="598">
        <f>IF(ISNA(C18),"",C18)</f>
        <v>44592</v>
      </c>
      <c r="F18" s="589"/>
      <c r="G18" s="589"/>
      <c r="H18" s="590"/>
      <c r="I18" s="588">
        <f>IF(ISNA(C18),"",E18+1)</f>
        <v>44593</v>
      </c>
      <c r="J18" s="589"/>
      <c r="K18" s="589"/>
      <c r="L18" s="590"/>
      <c r="M18" s="588">
        <f>IF(ISNA(C18),"",I18+1)</f>
        <v>44594</v>
      </c>
      <c r="N18" s="589"/>
      <c r="O18" s="589"/>
      <c r="P18" s="590"/>
      <c r="Q18" s="588">
        <f>IF(ISNA(C18),"",M18+1)</f>
        <v>44595</v>
      </c>
      <c r="R18" s="589"/>
      <c r="S18" s="589"/>
      <c r="T18" s="590"/>
      <c r="U18" s="588">
        <f>IF(ISNA(C18),"",Q18+1)</f>
        <v>44596</v>
      </c>
      <c r="V18" s="589"/>
      <c r="W18" s="589"/>
      <c r="X18" s="590"/>
      <c r="Y18" s="588">
        <f>IF(ISNA(C18),"",U18+1)</f>
        <v>44597</v>
      </c>
      <c r="Z18" s="589"/>
      <c r="AA18" s="589"/>
      <c r="AB18" s="590"/>
      <c r="AC18" s="588">
        <f>IF(ISNA(C18),"",Y18+1)</f>
        <v>44598</v>
      </c>
      <c r="AD18" s="589"/>
      <c r="AE18" s="589"/>
      <c r="AF18" s="614"/>
      <c r="AG18" s="598" t="str">
        <f>IF(AE7="Yes",VLOOKUP(C18,TermTime,2,FALSE),"Week Total")</f>
        <v>Week Total</v>
      </c>
      <c r="AH18" s="589"/>
      <c r="AI18" s="589"/>
      <c r="AJ18" s="599"/>
      <c r="AK18" s="506" t="str">
        <f>IF(OR(AL31&gt;36,AM31="FALSE",AND(AL31&gt;20,AE7="Yes")),"WARNING","")</f>
        <v/>
      </c>
      <c r="AL18" s="48"/>
      <c r="AM18" s="48"/>
      <c r="AN18" s="45"/>
      <c r="AO18" s="40"/>
      <c r="AP18" s="543" t="s">
        <v>134</v>
      </c>
      <c r="AQ18" s="543"/>
      <c r="AR18" s="543"/>
      <c r="AS18" s="543"/>
      <c r="AT18" s="543"/>
      <c r="AU18" s="543"/>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00"/>
      <c r="AH19" s="601"/>
      <c r="AI19" s="601"/>
      <c r="AJ19" s="602"/>
      <c r="AK19" s="506"/>
      <c r="AL19" s="5"/>
      <c r="AM19" s="5"/>
      <c r="AN19" s="45"/>
      <c r="AO19" s="40"/>
      <c r="AP19" s="543"/>
      <c r="AQ19" s="543"/>
      <c r="AR19" s="543"/>
      <c r="AS19" s="543"/>
      <c r="AT19" s="543"/>
      <c r="AU19" s="543"/>
      <c r="AV19" s="41"/>
    </row>
    <row r="20" spans="2:48" ht="18" hidden="1" customHeight="1" x14ac:dyDescent="0.2">
      <c r="B20" s="40"/>
      <c r="C20" s="10"/>
      <c r="D20" s="104" t="s">
        <v>136</v>
      </c>
      <c r="E20" s="583">
        <f>E21+(G21/60)</f>
        <v>0</v>
      </c>
      <c r="F20" s="577"/>
      <c r="G20" s="577"/>
      <c r="H20" s="578"/>
      <c r="I20" s="577">
        <f t="shared" ref="I20" si="0">I21+(K21/60)</f>
        <v>0</v>
      </c>
      <c r="J20" s="577"/>
      <c r="K20" s="577"/>
      <c r="L20" s="578"/>
      <c r="M20" s="577">
        <f t="shared" ref="M20" si="1">M21+(O21/60)</f>
        <v>0</v>
      </c>
      <c r="N20" s="577"/>
      <c r="O20" s="577"/>
      <c r="P20" s="578"/>
      <c r="Q20" s="577">
        <f t="shared" ref="Q20" si="2">Q21+(S21/60)</f>
        <v>0</v>
      </c>
      <c r="R20" s="577"/>
      <c r="S20" s="577"/>
      <c r="T20" s="578"/>
      <c r="U20" s="577">
        <f t="shared" ref="U20" si="3">U21+(W21/60)</f>
        <v>0</v>
      </c>
      <c r="V20" s="577"/>
      <c r="W20" s="577"/>
      <c r="X20" s="578"/>
      <c r="Y20" s="577">
        <f t="shared" ref="Y20" si="4">Y21+(AA21/60)</f>
        <v>0</v>
      </c>
      <c r="Z20" s="577"/>
      <c r="AA20" s="577"/>
      <c r="AB20" s="578"/>
      <c r="AC20" s="577">
        <f t="shared" ref="AC20" si="5">AC21+(AE21/60)</f>
        <v>0</v>
      </c>
      <c r="AD20" s="577"/>
      <c r="AE20" s="577"/>
      <c r="AF20" s="578"/>
      <c r="AG20" s="583">
        <f>SUM(E20:AF20)</f>
        <v>0</v>
      </c>
      <c r="AH20" s="577"/>
      <c r="AI20" s="577"/>
      <c r="AJ20" s="584"/>
      <c r="AK20" s="506"/>
      <c r="AL20" s="5"/>
      <c r="AM20" s="5"/>
      <c r="AN20" s="45"/>
      <c r="AO20" s="40"/>
      <c r="AP20" s="543"/>
      <c r="AQ20" s="543"/>
      <c r="AR20" s="543"/>
      <c r="AS20" s="543"/>
      <c r="AT20" s="543"/>
      <c r="AU20" s="543"/>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506"/>
      <c r="AL21" s="27"/>
      <c r="AM21" s="27"/>
      <c r="AN21" s="45"/>
      <c r="AO21" s="40"/>
      <c r="AP21" s="544"/>
      <c r="AQ21" s="544"/>
      <c r="AR21" s="544"/>
      <c r="AS21" s="544"/>
      <c r="AT21" s="544"/>
      <c r="AU21" s="544"/>
      <c r="AV21" s="41"/>
    </row>
    <row r="22" spans="2:48" x14ac:dyDescent="0.2">
      <c r="B22" s="40"/>
      <c r="C22" s="10"/>
      <c r="D22" s="105" t="s">
        <v>138</v>
      </c>
      <c r="E22" s="633">
        <f>MAX(G19,IF($V$11=$AM$11,$AF$11,HLOOKUP(H19,Rates,$AL$11,FALSE)))</f>
        <v>13.6</v>
      </c>
      <c r="F22" s="586"/>
      <c r="G22" s="586"/>
      <c r="H22" s="587"/>
      <c r="I22" s="585">
        <f>MAX(K19,IF($V$11=$AM$11,$AF$11,HLOOKUP(L19,Rates,$AL$11,FALSE)))</f>
        <v>13.6</v>
      </c>
      <c r="J22" s="586"/>
      <c r="K22" s="586"/>
      <c r="L22" s="587"/>
      <c r="M22" s="585">
        <f>MAX(O19,IF($V$11=$AM$11,$AF$11,HLOOKUP(P19,Rates,$AL$11,FALSE)))</f>
        <v>13.6</v>
      </c>
      <c r="N22" s="586"/>
      <c r="O22" s="586"/>
      <c r="P22" s="587"/>
      <c r="Q22" s="585">
        <f>MAX(S19,IF($V$11=$AM$11,$AF$11,HLOOKUP(T19,Rates,$AL$11,FALSE)))</f>
        <v>13.6</v>
      </c>
      <c r="R22" s="586"/>
      <c r="S22" s="586"/>
      <c r="T22" s="587"/>
      <c r="U22" s="585">
        <f>MAX(W19,IF($V$11=$AM$11,$AF$11,HLOOKUP(X19,Rates,$AL$11,FALSE)))</f>
        <v>13.6</v>
      </c>
      <c r="V22" s="586"/>
      <c r="W22" s="586"/>
      <c r="X22" s="587"/>
      <c r="Y22" s="585">
        <f>MAX(AA19,IF($V$11=$AM$11,$AF$11,HLOOKUP(AB19,Rates,$AL$11,FALSE)))</f>
        <v>13.6</v>
      </c>
      <c r="Z22" s="586"/>
      <c r="AA22" s="586"/>
      <c r="AB22" s="587"/>
      <c r="AC22" s="585">
        <f>MAX(AE19,IF($V$11=$AM$11,$AF$11,HLOOKUP(AF19,Rates,$AL$11,FALSE)))</f>
        <v>13.6</v>
      </c>
      <c r="AD22" s="586"/>
      <c r="AE22" s="586"/>
      <c r="AF22" s="610"/>
      <c r="AG22" s="668">
        <f>SUMPRODUCT(E22:AF22,E20:AF20)</f>
        <v>0</v>
      </c>
      <c r="AH22" s="669"/>
      <c r="AI22" s="669"/>
      <c r="AJ22" s="670"/>
      <c r="AK22" s="506"/>
      <c r="AL22" s="35">
        <f>AG22*IF($V$11="Demonstrator Rate",0.1711,0.1207)</f>
        <v>0</v>
      </c>
      <c r="AM22" s="5"/>
      <c r="AN22" s="45"/>
      <c r="AO22" s="40"/>
      <c r="AP22" s="692" t="s">
        <v>821</v>
      </c>
      <c r="AQ22" s="693"/>
      <c r="AR22" s="693"/>
      <c r="AS22" s="693"/>
      <c r="AT22" s="693"/>
      <c r="AU22" s="694"/>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00"/>
      <c r="AH23" s="601"/>
      <c r="AI23" s="601"/>
      <c r="AJ23" s="602"/>
      <c r="AK23" s="506"/>
      <c r="AL23" s="5"/>
      <c r="AM23" s="5"/>
      <c r="AN23" s="45"/>
      <c r="AO23" s="40"/>
      <c r="AP23" s="695"/>
      <c r="AQ23" s="696"/>
      <c r="AR23" s="696"/>
      <c r="AS23" s="696"/>
      <c r="AT23" s="696"/>
      <c r="AU23" s="697"/>
      <c r="AV23" s="41"/>
    </row>
    <row r="24" spans="2:48" ht="21.75" hidden="1" customHeight="1" x14ac:dyDescent="0.2">
      <c r="B24" s="40"/>
      <c r="C24" s="10"/>
      <c r="D24" s="104" t="s">
        <v>140</v>
      </c>
      <c r="E24" s="583">
        <f>E25+(G25/60)</f>
        <v>0</v>
      </c>
      <c r="F24" s="577"/>
      <c r="G24" s="577"/>
      <c r="H24" s="578"/>
      <c r="I24" s="577">
        <f t="shared" ref="I24" si="6">I25+(K25/60)</f>
        <v>0</v>
      </c>
      <c r="J24" s="577"/>
      <c r="K24" s="577"/>
      <c r="L24" s="578"/>
      <c r="M24" s="577">
        <f t="shared" ref="M24" si="7">M25+(O25/60)</f>
        <v>0</v>
      </c>
      <c r="N24" s="577"/>
      <c r="O24" s="577"/>
      <c r="P24" s="578"/>
      <c r="Q24" s="577">
        <f t="shared" ref="Q24" si="8">Q25+(S25/60)</f>
        <v>0</v>
      </c>
      <c r="R24" s="577"/>
      <c r="S24" s="577"/>
      <c r="T24" s="578"/>
      <c r="U24" s="577">
        <f t="shared" ref="U24" si="9">U25+(W25/60)</f>
        <v>0</v>
      </c>
      <c r="V24" s="577"/>
      <c r="W24" s="577"/>
      <c r="X24" s="578"/>
      <c r="Y24" s="577">
        <f t="shared" ref="Y24" si="10">Y25+(AA25/60)</f>
        <v>0</v>
      </c>
      <c r="Z24" s="577"/>
      <c r="AA24" s="577"/>
      <c r="AB24" s="578"/>
      <c r="AC24" s="577">
        <f t="shared" ref="AC24" si="11">AC25+(AE25/60)</f>
        <v>0</v>
      </c>
      <c r="AD24" s="577"/>
      <c r="AE24" s="577"/>
      <c r="AF24" s="578"/>
      <c r="AG24" s="583">
        <f>SUM(E24:AF24)</f>
        <v>0</v>
      </c>
      <c r="AH24" s="577"/>
      <c r="AI24" s="577"/>
      <c r="AJ24" s="584"/>
      <c r="AK24" s="506"/>
      <c r="AL24" s="5"/>
      <c r="AM24" s="5"/>
      <c r="AN24" s="45"/>
      <c r="AO24" s="40"/>
      <c r="AP24" s="695"/>
      <c r="AQ24" s="696"/>
      <c r="AR24" s="696"/>
      <c r="AS24" s="696"/>
      <c r="AT24" s="696"/>
      <c r="AU24" s="697"/>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506"/>
      <c r="AL25" s="27"/>
      <c r="AM25" s="27"/>
      <c r="AN25" s="45"/>
      <c r="AO25" s="40"/>
      <c r="AP25" s="695"/>
      <c r="AQ25" s="696"/>
      <c r="AR25" s="696"/>
      <c r="AS25" s="696"/>
      <c r="AT25" s="696"/>
      <c r="AU25" s="697"/>
      <c r="AV25" s="41"/>
    </row>
    <row r="26" spans="2:48" hidden="1" x14ac:dyDescent="0.2">
      <c r="B26" s="40"/>
      <c r="C26" s="10"/>
      <c r="D26" s="105" t="s">
        <v>142</v>
      </c>
      <c r="E26" s="633">
        <f>MAX(G23,IF($V$13=$AM$13,$AF$13,HLOOKUP(H23,Rates,$AL$13,FALSE)))</f>
        <v>8.91</v>
      </c>
      <c r="F26" s="586"/>
      <c r="G26" s="586"/>
      <c r="H26" s="587"/>
      <c r="I26" s="585">
        <f>MAX(K23,IF($V$13=$AM$13,$AF$13,HLOOKUP(L23,Rates,$AL$13,FALSE)))</f>
        <v>8.91</v>
      </c>
      <c r="J26" s="586"/>
      <c r="K26" s="586"/>
      <c r="L26" s="587"/>
      <c r="M26" s="585">
        <f>MAX(O23,IF($V$13=$AM$13,$AF$13,HLOOKUP(P23,Rates,$AL$13,FALSE)))</f>
        <v>8.91</v>
      </c>
      <c r="N26" s="586"/>
      <c r="O26" s="586"/>
      <c r="P26" s="587"/>
      <c r="Q26" s="585">
        <f>MAX(S23,IF($V$13=$AM$13,$AF$13,HLOOKUP(T23,Rates,$AL$13,FALSE)))</f>
        <v>8.1999999999999993</v>
      </c>
      <c r="R26" s="586"/>
      <c r="S26" s="586"/>
      <c r="T26" s="587"/>
      <c r="U26" s="585">
        <f>MAX(W23,IF($V$13=$AM$13,$AF$13,HLOOKUP(X23,Rates,$AL$13,FALSE)))</f>
        <v>8.91</v>
      </c>
      <c r="V26" s="586"/>
      <c r="W26" s="586"/>
      <c r="X26" s="587"/>
      <c r="Y26" s="585">
        <f>MAX(AA23,IF($V$13=$AM$13,$AF$13,HLOOKUP(AB23,Rates,$AL$13,FALSE)))</f>
        <v>8.1999999999999993</v>
      </c>
      <c r="Z26" s="586"/>
      <c r="AA26" s="586"/>
      <c r="AB26" s="587"/>
      <c r="AC26" s="585">
        <f>MAX(AE23,IF($V$13=$AM$13,$AF$13,HLOOKUP(AF23,Rates,$AL$13,FALSE)))</f>
        <v>8.91</v>
      </c>
      <c r="AD26" s="586"/>
      <c r="AE26" s="586"/>
      <c r="AF26" s="610"/>
      <c r="AG26" s="668">
        <f>SUMPRODUCT(E26:AF26,E24:AF24)</f>
        <v>0</v>
      </c>
      <c r="AH26" s="669"/>
      <c r="AI26" s="669"/>
      <c r="AJ26" s="670"/>
      <c r="AK26" s="506"/>
      <c r="AL26" s="35">
        <f>AG26*IF($V$13="Demonstrator Rate",0.1711,0.1207)</f>
        <v>0</v>
      </c>
      <c r="AM26" s="5"/>
      <c r="AN26" s="45"/>
      <c r="AO26" s="40"/>
      <c r="AP26" s="695"/>
      <c r="AQ26" s="696"/>
      <c r="AR26" s="696"/>
      <c r="AS26" s="696"/>
      <c r="AT26" s="696"/>
      <c r="AU26" s="697"/>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00"/>
      <c r="AH27" s="601"/>
      <c r="AI27" s="601"/>
      <c r="AJ27" s="602"/>
      <c r="AK27" s="506"/>
      <c r="AL27" s="5"/>
      <c r="AM27" s="5"/>
      <c r="AN27" s="45"/>
      <c r="AO27" s="40"/>
      <c r="AP27" s="695"/>
      <c r="AQ27" s="696"/>
      <c r="AR27" s="696"/>
      <c r="AS27" s="696"/>
      <c r="AT27" s="696"/>
      <c r="AU27" s="697"/>
      <c r="AV27" s="41"/>
    </row>
    <row r="28" spans="2:48" ht="21.75" hidden="1" customHeight="1" x14ac:dyDescent="0.2">
      <c r="B28" s="40"/>
      <c r="C28" s="10"/>
      <c r="D28" s="104" t="s">
        <v>144</v>
      </c>
      <c r="E28" s="583">
        <f>E29+(G29/60)</f>
        <v>0</v>
      </c>
      <c r="F28" s="577"/>
      <c r="G28" s="577"/>
      <c r="H28" s="578"/>
      <c r="I28" s="577">
        <f t="shared" ref="I28" si="12">I29+(K29/60)</f>
        <v>0</v>
      </c>
      <c r="J28" s="577"/>
      <c r="K28" s="577"/>
      <c r="L28" s="578"/>
      <c r="M28" s="577">
        <f t="shared" ref="M28" si="13">M29+(O29/60)</f>
        <v>0</v>
      </c>
      <c r="N28" s="577"/>
      <c r="O28" s="577"/>
      <c r="P28" s="578"/>
      <c r="Q28" s="577">
        <f t="shared" ref="Q28" si="14">Q29+(S29/60)</f>
        <v>0</v>
      </c>
      <c r="R28" s="577"/>
      <c r="S28" s="577"/>
      <c r="T28" s="578"/>
      <c r="U28" s="577">
        <f t="shared" ref="U28" si="15">U29+(W29/60)</f>
        <v>0</v>
      </c>
      <c r="V28" s="577"/>
      <c r="W28" s="577"/>
      <c r="X28" s="578"/>
      <c r="Y28" s="577">
        <f t="shared" ref="Y28" si="16">Y29+(AA29/60)</f>
        <v>0</v>
      </c>
      <c r="Z28" s="577"/>
      <c r="AA28" s="577"/>
      <c r="AB28" s="578"/>
      <c r="AC28" s="577">
        <f t="shared" ref="AC28" si="17">AC29+(AE29/60)</f>
        <v>0</v>
      </c>
      <c r="AD28" s="577"/>
      <c r="AE28" s="577"/>
      <c r="AF28" s="578"/>
      <c r="AG28" s="583">
        <f>SUM(E28:AF28)</f>
        <v>0</v>
      </c>
      <c r="AH28" s="577"/>
      <c r="AI28" s="577"/>
      <c r="AJ28" s="584"/>
      <c r="AK28" s="506"/>
      <c r="AL28" s="5"/>
      <c r="AM28" s="5"/>
      <c r="AN28" s="45"/>
      <c r="AO28" s="40"/>
      <c r="AP28" s="695"/>
      <c r="AQ28" s="696"/>
      <c r="AR28" s="696"/>
      <c r="AS28" s="696"/>
      <c r="AT28" s="696"/>
      <c r="AU28" s="697"/>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506"/>
      <c r="AL29" s="27"/>
      <c r="AM29" s="27"/>
      <c r="AN29" s="45"/>
      <c r="AO29" s="40"/>
      <c r="AP29" s="695"/>
      <c r="AQ29" s="696"/>
      <c r="AR29" s="696"/>
      <c r="AS29" s="696"/>
      <c r="AT29" s="696"/>
      <c r="AU29" s="697"/>
      <c r="AV29" s="41"/>
    </row>
    <row r="30" spans="2:48" hidden="1" x14ac:dyDescent="0.2">
      <c r="B30" s="40"/>
      <c r="C30" s="10"/>
      <c r="D30" s="105" t="s">
        <v>146</v>
      </c>
      <c r="E30" s="633">
        <f>MAX(G27,IF($V$15=$AM$15,$AF$15,HLOOKUP(H27,Rates,$AL$15,FALSE)))</f>
        <v>8.91</v>
      </c>
      <c r="F30" s="586"/>
      <c r="G30" s="586"/>
      <c r="H30" s="587"/>
      <c r="I30" s="585">
        <f>MAX(K27,IF($V$15=$AM$15,$AF$15,HLOOKUP(L27,Rates,$AL$15,FALSE)))</f>
        <v>8.91</v>
      </c>
      <c r="J30" s="586"/>
      <c r="K30" s="586"/>
      <c r="L30" s="587"/>
      <c r="M30" s="585">
        <f>MAX(O27,IF($V$15=$AM$15,$AF$15,HLOOKUP(P27,Rates,$AL$15,FALSE)))</f>
        <v>8.91</v>
      </c>
      <c r="N30" s="586"/>
      <c r="O30" s="586"/>
      <c r="P30" s="587"/>
      <c r="Q30" s="585">
        <f>MAX(S27,IF($V$15=$AM$15,$AF$15,HLOOKUP(T27,Rates,$AL$15,FALSE)))</f>
        <v>8.91</v>
      </c>
      <c r="R30" s="586"/>
      <c r="S30" s="586"/>
      <c r="T30" s="587"/>
      <c r="U30" s="585">
        <f>MAX(W27,IF($V$15=$AM$15,$AF$15,HLOOKUP(X27,Rates,$AL$15,FALSE)))</f>
        <v>8.91</v>
      </c>
      <c r="V30" s="586"/>
      <c r="W30" s="586"/>
      <c r="X30" s="587"/>
      <c r="Y30" s="585">
        <f>MAX(AA27,IF($V$15=$AM$15,$AF$15,HLOOKUP(AB27,Rates,$AL$15,FALSE)))</f>
        <v>8.91</v>
      </c>
      <c r="Z30" s="586"/>
      <c r="AA30" s="586"/>
      <c r="AB30" s="587"/>
      <c r="AC30" s="585">
        <f>MAX(AE27,IF($V$15=$AM$15,$AF$15,HLOOKUP(AF27,Rates,$AL$15,FALSE)))</f>
        <v>8.91</v>
      </c>
      <c r="AD30" s="586"/>
      <c r="AE30" s="586"/>
      <c r="AF30" s="610"/>
      <c r="AG30" s="668">
        <f>SUMPRODUCT(E30:AF30,E28:AF28)</f>
        <v>0</v>
      </c>
      <c r="AH30" s="669"/>
      <c r="AI30" s="669"/>
      <c r="AJ30" s="670"/>
      <c r="AK30" s="506"/>
      <c r="AL30" s="35">
        <f>AG30*IF($V$15="Demonstrator Rate",0.1711,0.1207)</f>
        <v>0</v>
      </c>
      <c r="AM30" s="5"/>
      <c r="AN30" s="45"/>
      <c r="AO30" s="40"/>
      <c r="AP30" s="695"/>
      <c r="AQ30" s="696"/>
      <c r="AR30" s="696"/>
      <c r="AS30" s="696"/>
      <c r="AT30" s="696"/>
      <c r="AU30" s="697"/>
      <c r="AV30" s="41"/>
    </row>
    <row r="31" spans="2:48" ht="21.75" hidden="1" customHeight="1" x14ac:dyDescent="0.2">
      <c r="B31" s="40"/>
      <c r="C31" s="10"/>
      <c r="D31" s="193" t="s">
        <v>147</v>
      </c>
      <c r="E31" s="604">
        <f>(E20*E22)+(E24*E26)+(E28*E30)</f>
        <v>0</v>
      </c>
      <c r="F31" s="605"/>
      <c r="G31" s="605"/>
      <c r="H31" s="650"/>
      <c r="I31" s="648">
        <f>((I21+(K21/60))*I22)+((I25+(K25/60))*I26)+((I29+(K29/60))*I30)</f>
        <v>0</v>
      </c>
      <c r="J31" s="605"/>
      <c r="K31" s="605"/>
      <c r="L31" s="650"/>
      <c r="M31" s="648">
        <f>((M21+(O21/60))*M22)+((M25+(O25/60))*M26)+((M29+(O29/60))*M30)</f>
        <v>0</v>
      </c>
      <c r="N31" s="605"/>
      <c r="O31" s="605"/>
      <c r="P31" s="650"/>
      <c r="Q31" s="648">
        <f>((Q21+(S21/60))*Q22)+((Q25+(S25/60))*Q26)+((Q29+(S29/60))*Q30)</f>
        <v>0</v>
      </c>
      <c r="R31" s="605"/>
      <c r="S31" s="605"/>
      <c r="T31" s="650"/>
      <c r="U31" s="648">
        <f>((U21+(W21/60))*U22)+((U25+(W25/60))*U26)+((U29+(W29/60))*U30)</f>
        <v>0</v>
      </c>
      <c r="V31" s="605"/>
      <c r="W31" s="605"/>
      <c r="X31" s="650"/>
      <c r="Y31" s="648">
        <f>((Y21+(AA21/60))*Y22)+((Y25+(AA25/60))*Y26)+((Y29+(AA29/60))*Y30)</f>
        <v>0</v>
      </c>
      <c r="Z31" s="605"/>
      <c r="AA31" s="605"/>
      <c r="AB31" s="650"/>
      <c r="AC31" s="648">
        <f>((AC21+(AE21/60))*AC22)+((AC25+(AE25/60))*AC26)+((AC29+(AE29/60))*AC30)</f>
        <v>0</v>
      </c>
      <c r="AD31" s="605"/>
      <c r="AE31" s="605"/>
      <c r="AF31" s="649"/>
      <c r="AG31" s="604">
        <f>AG30+AG26+AG22</f>
        <v>0</v>
      </c>
      <c r="AH31" s="605"/>
      <c r="AI31" s="605"/>
      <c r="AJ31" s="606"/>
      <c r="AK31" s="506"/>
      <c r="AL31" s="28">
        <f>AG32+AG28+AG24+AG20</f>
        <v>0</v>
      </c>
      <c r="AM31" s="27" t="str">
        <f>IF(AND(AL31&gt;0,AE7="Yes",OR(E33="",G33="",I33="",K33="",M33="",O33="",Q33="",S33="",U33="",W33="",Y33="",AA33="",AC33="",AE33="")),"FALSE","TRUE")</f>
        <v>TRUE</v>
      </c>
      <c r="AN31" s="45"/>
      <c r="AO31" s="40"/>
      <c r="AP31" s="695"/>
      <c r="AQ31" s="696"/>
      <c r="AR31" s="696"/>
      <c r="AS31" s="696"/>
      <c r="AT31" s="696"/>
      <c r="AU31" s="697"/>
      <c r="AV31" s="41"/>
    </row>
    <row r="32" spans="2:48" ht="21.75" hidden="1" customHeight="1" x14ac:dyDescent="0.2">
      <c r="B32" s="40"/>
      <c r="C32" s="10"/>
      <c r="D32" s="104" t="s">
        <v>148</v>
      </c>
      <c r="E32" s="581">
        <f>E33+(G33/60)</f>
        <v>0</v>
      </c>
      <c r="F32" s="579"/>
      <c r="G32" s="579"/>
      <c r="H32" s="580"/>
      <c r="I32" s="579">
        <f t="shared" ref="I32" si="18">I33+(K33/60)</f>
        <v>0</v>
      </c>
      <c r="J32" s="579"/>
      <c r="K32" s="579"/>
      <c r="L32" s="580"/>
      <c r="M32" s="579">
        <f t="shared" ref="M32" si="19">M33+(O33/60)</f>
        <v>0</v>
      </c>
      <c r="N32" s="579"/>
      <c r="O32" s="579"/>
      <c r="P32" s="580"/>
      <c r="Q32" s="579">
        <f t="shared" ref="Q32" si="20">Q33+(S33/60)</f>
        <v>0</v>
      </c>
      <c r="R32" s="579"/>
      <c r="S32" s="579"/>
      <c r="T32" s="580"/>
      <c r="U32" s="579">
        <f t="shared" ref="U32" si="21">U33+(W33/60)</f>
        <v>0</v>
      </c>
      <c r="V32" s="579"/>
      <c r="W32" s="579"/>
      <c r="X32" s="580"/>
      <c r="Y32" s="579">
        <f t="shared" ref="Y32" si="22">Y33+(AA33/60)</f>
        <v>0</v>
      </c>
      <c r="Z32" s="579"/>
      <c r="AA32" s="579"/>
      <c r="AB32" s="580"/>
      <c r="AC32" s="579">
        <f t="shared" ref="AC32" si="23">AC33+(AE33/60)</f>
        <v>0</v>
      </c>
      <c r="AD32" s="579"/>
      <c r="AE32" s="579"/>
      <c r="AF32" s="580"/>
      <c r="AG32" s="581">
        <f>SUM(E32:AF32)</f>
        <v>0</v>
      </c>
      <c r="AH32" s="579"/>
      <c r="AI32" s="579"/>
      <c r="AJ32" s="582"/>
      <c r="AK32" s="506"/>
      <c r="AL32" s="28"/>
      <c r="AM32" s="27"/>
      <c r="AN32" s="45"/>
      <c r="AO32" s="40"/>
      <c r="AP32" s="695"/>
      <c r="AQ32" s="696"/>
      <c r="AR32" s="696"/>
      <c r="AS32" s="696"/>
      <c r="AT32" s="696"/>
      <c r="AU32" s="697"/>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506"/>
      <c r="AL33" s="27"/>
      <c r="AM33" s="27"/>
      <c r="AN33" s="45"/>
      <c r="AO33" s="40"/>
      <c r="AP33" s="695"/>
      <c r="AQ33" s="696"/>
      <c r="AR33" s="696"/>
      <c r="AS33" s="696"/>
      <c r="AT33" s="696"/>
      <c r="AU33" s="697"/>
      <c r="AV33" s="41"/>
    </row>
    <row r="34" spans="2:48" ht="11.25" customHeight="1" x14ac:dyDescent="0.2">
      <c r="B34" s="40"/>
      <c r="C34" s="10">
        <f>C18+7</f>
        <v>44599</v>
      </c>
      <c r="D34" s="71" t="s">
        <v>133</v>
      </c>
      <c r="E34" s="598">
        <f>IF(ISNA(C34),"",C34)</f>
        <v>44599</v>
      </c>
      <c r="F34" s="589"/>
      <c r="G34" s="589"/>
      <c r="H34" s="590"/>
      <c r="I34" s="588">
        <f>IF(ISNA(C34),"",E34+1)</f>
        <v>44600</v>
      </c>
      <c r="J34" s="589"/>
      <c r="K34" s="589"/>
      <c r="L34" s="590"/>
      <c r="M34" s="588">
        <f>IF(ISNA(C34),"",I34+1)</f>
        <v>44601</v>
      </c>
      <c r="N34" s="589"/>
      <c r="O34" s="589"/>
      <c r="P34" s="590"/>
      <c r="Q34" s="588">
        <f>IF(ISNA(C34),"",M34+1)</f>
        <v>44602</v>
      </c>
      <c r="R34" s="589"/>
      <c r="S34" s="589"/>
      <c r="T34" s="590"/>
      <c r="U34" s="588">
        <f>IF(ISNA(C34),"",Q34+1)</f>
        <v>44603</v>
      </c>
      <c r="V34" s="589"/>
      <c r="W34" s="589"/>
      <c r="X34" s="590"/>
      <c r="Y34" s="588">
        <f>IF(ISNA(C34),"",U34+1)</f>
        <v>44604</v>
      </c>
      <c r="Z34" s="589"/>
      <c r="AA34" s="589"/>
      <c r="AB34" s="590"/>
      <c r="AC34" s="588">
        <f>IF(ISNA(C34),"",Y34+1)</f>
        <v>44605</v>
      </c>
      <c r="AD34" s="589"/>
      <c r="AE34" s="589"/>
      <c r="AF34" s="614"/>
      <c r="AG34" s="598" t="str">
        <f>IF(AE7="Yes",VLOOKUP(C34,TermTime,2,FALSE),"Week Total")</f>
        <v>Week Total</v>
      </c>
      <c r="AH34" s="589"/>
      <c r="AI34" s="589"/>
      <c r="AJ34" s="599"/>
      <c r="AK34" s="664" t="str">
        <f>IF(OR(AL47&gt;36,AM47="FALSE",AND(AL47&gt;20,AE7="Yes")),"WARNING","")</f>
        <v/>
      </c>
      <c r="AL34" s="27"/>
      <c r="AM34" s="27"/>
      <c r="AN34" s="45"/>
      <c r="AO34" s="40"/>
      <c r="AP34" s="695"/>
      <c r="AQ34" s="696"/>
      <c r="AR34" s="696"/>
      <c r="AS34" s="696"/>
      <c r="AT34" s="696"/>
      <c r="AU34" s="697"/>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00"/>
      <c r="AH35" s="601"/>
      <c r="AI35" s="601"/>
      <c r="AJ35" s="602"/>
      <c r="AK35" s="664"/>
      <c r="AL35" s="27"/>
      <c r="AM35" s="27"/>
      <c r="AN35" s="45"/>
      <c r="AO35" s="40"/>
      <c r="AP35" s="695"/>
      <c r="AQ35" s="696"/>
      <c r="AR35" s="696"/>
      <c r="AS35" s="696"/>
      <c r="AT35" s="696"/>
      <c r="AU35" s="697"/>
      <c r="AV35" s="41"/>
    </row>
    <row r="36" spans="2:48" ht="24" hidden="1" customHeight="1" x14ac:dyDescent="0.2">
      <c r="B36" s="40"/>
      <c r="C36" s="10"/>
      <c r="D36" s="104" t="s">
        <v>136</v>
      </c>
      <c r="E36" s="583">
        <f>E37+(G37/60)</f>
        <v>4</v>
      </c>
      <c r="F36" s="577"/>
      <c r="G36" s="577"/>
      <c r="H36" s="578"/>
      <c r="I36" s="577">
        <f t="shared" ref="I36" si="24">I37+(K37/60)</f>
        <v>0</v>
      </c>
      <c r="J36" s="577"/>
      <c r="K36" s="577"/>
      <c r="L36" s="578"/>
      <c r="M36" s="577">
        <f t="shared" ref="M36" si="25">M37+(O37/60)</f>
        <v>0</v>
      </c>
      <c r="N36" s="577"/>
      <c r="O36" s="577"/>
      <c r="P36" s="578"/>
      <c r="Q36" s="577">
        <f t="shared" ref="Q36" si="26">Q37+(S37/60)</f>
        <v>0</v>
      </c>
      <c r="R36" s="577"/>
      <c r="S36" s="577"/>
      <c r="T36" s="578"/>
      <c r="U36" s="577">
        <f t="shared" ref="U36" si="27">U37+(W37/60)</f>
        <v>0</v>
      </c>
      <c r="V36" s="577"/>
      <c r="W36" s="577"/>
      <c r="X36" s="578"/>
      <c r="Y36" s="577">
        <f t="shared" ref="Y36" si="28">Y37+(AA37/60)</f>
        <v>0</v>
      </c>
      <c r="Z36" s="577"/>
      <c r="AA36" s="577"/>
      <c r="AB36" s="578"/>
      <c r="AC36" s="577">
        <f t="shared" ref="AC36" si="29">AC37+(AE37/60)</f>
        <v>0</v>
      </c>
      <c r="AD36" s="577"/>
      <c r="AE36" s="577"/>
      <c r="AF36" s="578"/>
      <c r="AG36" s="583">
        <f>SUM(E36:AF36)</f>
        <v>4</v>
      </c>
      <c r="AH36" s="577"/>
      <c r="AI36" s="577"/>
      <c r="AJ36" s="584"/>
      <c r="AK36" s="664"/>
      <c r="AL36" s="27"/>
      <c r="AM36" s="27"/>
      <c r="AN36" s="45"/>
      <c r="AO36" s="40"/>
      <c r="AP36" s="695"/>
      <c r="AQ36" s="696"/>
      <c r="AR36" s="696"/>
      <c r="AS36" s="696"/>
      <c r="AT36" s="696"/>
      <c r="AU36" s="697"/>
      <c r="AV36" s="41"/>
    </row>
    <row r="37" spans="2:48" x14ac:dyDescent="0.2">
      <c r="B37" s="40"/>
      <c r="C37" s="10"/>
      <c r="D37" s="91" t="s">
        <v>137</v>
      </c>
      <c r="E37" s="81">
        <v>4</v>
      </c>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4</v>
      </c>
      <c r="AH37" s="79" t="s">
        <v>80</v>
      </c>
      <c r="AI37" s="78">
        <f>(AG36-AG37)*60</f>
        <v>0</v>
      </c>
      <c r="AJ37" s="82" t="s">
        <v>81</v>
      </c>
      <c r="AK37" s="664"/>
      <c r="AL37" s="27"/>
      <c r="AM37" s="27"/>
      <c r="AN37" s="45"/>
      <c r="AO37" s="40"/>
      <c r="AP37" s="695"/>
      <c r="AQ37" s="696"/>
      <c r="AR37" s="696"/>
      <c r="AS37" s="696"/>
      <c r="AT37" s="696"/>
      <c r="AU37" s="697"/>
      <c r="AV37" s="41"/>
    </row>
    <row r="38" spans="2:48" ht="13.5" customHeight="1" x14ac:dyDescent="0.2">
      <c r="B38" s="40"/>
      <c r="C38" s="10"/>
      <c r="D38" s="124" t="s">
        <v>138</v>
      </c>
      <c r="E38" s="633">
        <f>MAX(G35,IF($V$11=$AM$11,$AF$11,HLOOKUP(H35,Rates,$AL$11,FALSE)))</f>
        <v>13.6</v>
      </c>
      <c r="F38" s="586"/>
      <c r="G38" s="586"/>
      <c r="H38" s="587"/>
      <c r="I38" s="585">
        <f>MAX(K35,IF($V$11=$AM$11,$AF$11,HLOOKUP(L35,Rates,$AL$11,FALSE)))</f>
        <v>13.6</v>
      </c>
      <c r="J38" s="586"/>
      <c r="K38" s="586"/>
      <c r="L38" s="587"/>
      <c r="M38" s="585">
        <f>MAX(O35,IF($V$11=$AM$11,$AF$11,HLOOKUP(P35,Rates,$AL$11,FALSE)))</f>
        <v>13.6</v>
      </c>
      <c r="N38" s="586"/>
      <c r="O38" s="586"/>
      <c r="P38" s="587"/>
      <c r="Q38" s="585">
        <f>MAX(S35,IF($V$11=$AM$11,$AF$11,HLOOKUP(T35,Rates,$AL$11,FALSE)))</f>
        <v>13.6</v>
      </c>
      <c r="R38" s="586"/>
      <c r="S38" s="586"/>
      <c r="T38" s="587"/>
      <c r="U38" s="585">
        <f>MAX(W35,IF($V$11=$AM$11,$AF$11,HLOOKUP(X35,Rates,$AL$11,FALSE)))</f>
        <v>13.6</v>
      </c>
      <c r="V38" s="586"/>
      <c r="W38" s="586"/>
      <c r="X38" s="587"/>
      <c r="Y38" s="585">
        <f>MAX(AA35,IF($V$11=$AM$11,$AF$11,HLOOKUP(AB35,Rates,$AL$11,FALSE)))</f>
        <v>13.6</v>
      </c>
      <c r="Z38" s="586"/>
      <c r="AA38" s="586"/>
      <c r="AB38" s="587"/>
      <c r="AC38" s="585">
        <f>MAX(AE35,IF($V$11=$AM$11,$AF$11,HLOOKUP(AF35,Rates,$AL$11,FALSE)))</f>
        <v>13.6</v>
      </c>
      <c r="AD38" s="586"/>
      <c r="AE38" s="586"/>
      <c r="AF38" s="610"/>
      <c r="AG38" s="668">
        <f>SUMPRODUCT(E38:AF38,E36:AF36)</f>
        <v>54.4</v>
      </c>
      <c r="AH38" s="669"/>
      <c r="AI38" s="669"/>
      <c r="AJ38" s="670"/>
      <c r="AK38" s="664"/>
      <c r="AL38" s="35">
        <f>AG38*IF($V$11="Demonstrator Rate",0.1711,0.1207)</f>
        <v>9.3078400000000006</v>
      </c>
      <c r="AM38" s="27"/>
      <c r="AN38" s="45"/>
      <c r="AO38" s="40"/>
      <c r="AP38" s="695"/>
      <c r="AQ38" s="696"/>
      <c r="AR38" s="696"/>
      <c r="AS38" s="696"/>
      <c r="AT38" s="696"/>
      <c r="AU38" s="697"/>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00"/>
      <c r="AH39" s="601"/>
      <c r="AI39" s="601"/>
      <c r="AJ39" s="602"/>
      <c r="AK39" s="664"/>
      <c r="AL39" s="5"/>
      <c r="AM39" s="27"/>
      <c r="AN39" s="45"/>
      <c r="AO39" s="40"/>
      <c r="AP39" s="695"/>
      <c r="AQ39" s="696"/>
      <c r="AR39" s="696"/>
      <c r="AS39" s="696"/>
      <c r="AT39" s="696"/>
      <c r="AU39" s="697"/>
      <c r="AV39" s="41"/>
    </row>
    <row r="40" spans="2:48" ht="13.5" hidden="1" customHeight="1" x14ac:dyDescent="0.2">
      <c r="B40" s="40"/>
      <c r="C40" s="10"/>
      <c r="D40" s="104" t="s">
        <v>140</v>
      </c>
      <c r="E40" s="583">
        <f>E41+(G41/60)</f>
        <v>0</v>
      </c>
      <c r="F40" s="577"/>
      <c r="G40" s="577"/>
      <c r="H40" s="578"/>
      <c r="I40" s="577">
        <f t="shared" ref="I40" si="30">I41+(K41/60)</f>
        <v>0</v>
      </c>
      <c r="J40" s="577"/>
      <c r="K40" s="577"/>
      <c r="L40" s="578"/>
      <c r="M40" s="577">
        <f t="shared" ref="M40" si="31">M41+(O41/60)</f>
        <v>0</v>
      </c>
      <c r="N40" s="577"/>
      <c r="O40" s="577"/>
      <c r="P40" s="578"/>
      <c r="Q40" s="577">
        <f t="shared" ref="Q40" si="32">Q41+(S41/60)</f>
        <v>0</v>
      </c>
      <c r="R40" s="577"/>
      <c r="S40" s="577"/>
      <c r="T40" s="578"/>
      <c r="U40" s="577">
        <f t="shared" ref="U40" si="33">U41+(W41/60)</f>
        <v>0</v>
      </c>
      <c r="V40" s="577"/>
      <c r="W40" s="577"/>
      <c r="X40" s="578"/>
      <c r="Y40" s="577">
        <f t="shared" ref="Y40" si="34">Y41+(AA41/60)</f>
        <v>0</v>
      </c>
      <c r="Z40" s="577"/>
      <c r="AA40" s="577"/>
      <c r="AB40" s="578"/>
      <c r="AC40" s="577">
        <f t="shared" ref="AC40" si="35">AC41+(AE41/60)</f>
        <v>0</v>
      </c>
      <c r="AD40" s="577"/>
      <c r="AE40" s="577"/>
      <c r="AF40" s="578"/>
      <c r="AG40" s="583">
        <f>SUM(E40:AF40)</f>
        <v>0</v>
      </c>
      <c r="AH40" s="577"/>
      <c r="AI40" s="577"/>
      <c r="AJ40" s="584"/>
      <c r="AK40" s="664"/>
      <c r="AL40" s="5"/>
      <c r="AM40" s="27"/>
      <c r="AN40" s="45"/>
      <c r="AO40" s="40"/>
      <c r="AP40" s="695"/>
      <c r="AQ40" s="696"/>
      <c r="AR40" s="696"/>
      <c r="AS40" s="696"/>
      <c r="AT40" s="696"/>
      <c r="AU40" s="697"/>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64"/>
      <c r="AL41" s="27"/>
      <c r="AM41" s="27"/>
      <c r="AN41" s="45"/>
      <c r="AO41" s="40"/>
      <c r="AP41" s="695"/>
      <c r="AQ41" s="696"/>
      <c r="AR41" s="696"/>
      <c r="AS41" s="696"/>
      <c r="AT41" s="696"/>
      <c r="AU41" s="697"/>
      <c r="AV41" s="41"/>
    </row>
    <row r="42" spans="2:48" ht="13.5" hidden="1" customHeight="1" x14ac:dyDescent="0.2">
      <c r="B42" s="40"/>
      <c r="C42" s="10"/>
      <c r="D42" s="124" t="s">
        <v>150</v>
      </c>
      <c r="E42" s="633">
        <f>MAX(G39,IF($V$13=$AM$13,$AF$13,HLOOKUP(H39,Rates,$AL$13,FALSE)))</f>
        <v>8.91</v>
      </c>
      <c r="F42" s="586"/>
      <c r="G42" s="586"/>
      <c r="H42" s="587"/>
      <c r="I42" s="585">
        <f>MAX(K39,IF($V$13=$AM$13,$AF$13,HLOOKUP(L39,Rates,$AL$13,FALSE)))</f>
        <v>8.91</v>
      </c>
      <c r="J42" s="586"/>
      <c r="K42" s="586"/>
      <c r="L42" s="587"/>
      <c r="M42" s="585">
        <f>MAX(O39,IF($V$13=$AM$13,$AF$13,HLOOKUP(P39,Rates,$AL$13,FALSE)))</f>
        <v>8.91</v>
      </c>
      <c r="N42" s="586"/>
      <c r="O42" s="586"/>
      <c r="P42" s="587"/>
      <c r="Q42" s="585">
        <f>MAX(S39,IF($V$13=$AM$13,$AF$13,HLOOKUP(T39,Rates,$AL$13,FALSE)))</f>
        <v>8.91</v>
      </c>
      <c r="R42" s="586"/>
      <c r="S42" s="586"/>
      <c r="T42" s="587"/>
      <c r="U42" s="585">
        <f>MAX(W39,IF($V$13=$AM$13,$AF$13,HLOOKUP(X39,Rates,$AL$13,FALSE)))</f>
        <v>8.91</v>
      </c>
      <c r="V42" s="586"/>
      <c r="W42" s="586"/>
      <c r="X42" s="587"/>
      <c r="Y42" s="585">
        <f>MAX(AA39,IF($V$13=$AM$13,$AF$13,HLOOKUP(AB39,Rates,$AL$13,FALSE)))</f>
        <v>8.91</v>
      </c>
      <c r="Z42" s="586"/>
      <c r="AA42" s="586"/>
      <c r="AB42" s="587"/>
      <c r="AC42" s="585">
        <f>MAX(AE39,IF($V$13=$AM$13,$AF$13,HLOOKUP(AF39,Rates,$AL$13,FALSE)))</f>
        <v>8.91</v>
      </c>
      <c r="AD42" s="586"/>
      <c r="AE42" s="586"/>
      <c r="AF42" s="610"/>
      <c r="AG42" s="668">
        <f>SUMPRODUCT(E42:AF42,E40:AF40)</f>
        <v>0</v>
      </c>
      <c r="AH42" s="669"/>
      <c r="AI42" s="669"/>
      <c r="AJ42" s="670"/>
      <c r="AK42" s="664"/>
      <c r="AL42" s="35">
        <f>AG42*IF($V$13="Demonstrator Rate",0.1711,0.1207)</f>
        <v>0</v>
      </c>
      <c r="AM42" s="27"/>
      <c r="AN42" s="45"/>
      <c r="AO42" s="40"/>
      <c r="AP42" s="695"/>
      <c r="AQ42" s="696"/>
      <c r="AR42" s="696"/>
      <c r="AS42" s="696"/>
      <c r="AT42" s="696"/>
      <c r="AU42" s="697"/>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00"/>
      <c r="AH43" s="601"/>
      <c r="AI43" s="601"/>
      <c r="AJ43" s="602"/>
      <c r="AK43" s="664"/>
      <c r="AL43" s="5"/>
      <c r="AM43" s="27"/>
      <c r="AN43" s="45"/>
      <c r="AO43" s="40"/>
      <c r="AP43" s="695"/>
      <c r="AQ43" s="696"/>
      <c r="AR43" s="696"/>
      <c r="AS43" s="696"/>
      <c r="AT43" s="696"/>
      <c r="AU43" s="697"/>
      <c r="AV43" s="41"/>
    </row>
    <row r="44" spans="2:48" ht="13.5" hidden="1" customHeight="1" x14ac:dyDescent="0.2">
      <c r="B44" s="40"/>
      <c r="C44" s="10"/>
      <c r="D44" s="104" t="s">
        <v>144</v>
      </c>
      <c r="E44" s="583">
        <f>E45+(G45/60)</f>
        <v>0</v>
      </c>
      <c r="F44" s="577"/>
      <c r="G44" s="577"/>
      <c r="H44" s="578"/>
      <c r="I44" s="577">
        <f t="shared" ref="I44" si="36">I45+(K45/60)</f>
        <v>0</v>
      </c>
      <c r="J44" s="577"/>
      <c r="K44" s="577"/>
      <c r="L44" s="578"/>
      <c r="M44" s="577">
        <f t="shared" ref="M44" si="37">M45+(O45/60)</f>
        <v>0</v>
      </c>
      <c r="N44" s="577"/>
      <c r="O44" s="577"/>
      <c r="P44" s="578"/>
      <c r="Q44" s="577">
        <f t="shared" ref="Q44" si="38">Q45+(S45/60)</f>
        <v>0</v>
      </c>
      <c r="R44" s="577"/>
      <c r="S44" s="577"/>
      <c r="T44" s="578"/>
      <c r="U44" s="577">
        <f t="shared" ref="U44" si="39">U45+(W45/60)</f>
        <v>0</v>
      </c>
      <c r="V44" s="577"/>
      <c r="W44" s="577"/>
      <c r="X44" s="578"/>
      <c r="Y44" s="577">
        <f t="shared" ref="Y44" si="40">Y45+(AA45/60)</f>
        <v>0</v>
      </c>
      <c r="Z44" s="577"/>
      <c r="AA44" s="577"/>
      <c r="AB44" s="578"/>
      <c r="AC44" s="577">
        <f t="shared" ref="AC44" si="41">AC45+(AE45/60)</f>
        <v>0</v>
      </c>
      <c r="AD44" s="577"/>
      <c r="AE44" s="577"/>
      <c r="AF44" s="578"/>
      <c r="AG44" s="583">
        <f>SUM(E44:AF44)</f>
        <v>0</v>
      </c>
      <c r="AH44" s="577"/>
      <c r="AI44" s="577"/>
      <c r="AJ44" s="584"/>
      <c r="AK44" s="664"/>
      <c r="AL44" s="5"/>
      <c r="AM44" s="27"/>
      <c r="AN44" s="45"/>
      <c r="AO44" s="40"/>
      <c r="AP44" s="695"/>
      <c r="AQ44" s="696"/>
      <c r="AR44" s="696"/>
      <c r="AS44" s="696"/>
      <c r="AT44" s="696"/>
      <c r="AU44" s="697"/>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64"/>
      <c r="AL45" s="27"/>
      <c r="AM45" s="27"/>
      <c r="AN45" s="45"/>
      <c r="AO45" s="40"/>
      <c r="AP45" s="695"/>
      <c r="AQ45" s="696"/>
      <c r="AR45" s="696"/>
      <c r="AS45" s="696"/>
      <c r="AT45" s="696"/>
      <c r="AU45" s="697"/>
      <c r="AV45" s="41"/>
    </row>
    <row r="46" spans="2:48" ht="13.5" hidden="1" customHeight="1" x14ac:dyDescent="0.2">
      <c r="B46" s="40"/>
      <c r="C46" s="10"/>
      <c r="D46" s="124" t="s">
        <v>146</v>
      </c>
      <c r="E46" s="633">
        <f>MAX(G43,IF($V$15=$AM$15,$AF$15,HLOOKUP(H43,Rates,$AL$15,FALSE)))</f>
        <v>8.91</v>
      </c>
      <c r="F46" s="586"/>
      <c r="G46" s="586"/>
      <c r="H46" s="587"/>
      <c r="I46" s="585">
        <f>MAX(K43,IF($V$15=$AM$15,$AF$15,HLOOKUP(L43,Rates,$AL$15,FALSE)))</f>
        <v>8.91</v>
      </c>
      <c r="J46" s="586"/>
      <c r="K46" s="586"/>
      <c r="L46" s="587"/>
      <c r="M46" s="585">
        <f>MAX(O43,IF($V$15=$AM$15,$AF$15,HLOOKUP(P43,Rates,$AL$15,FALSE)))</f>
        <v>8.91</v>
      </c>
      <c r="N46" s="586"/>
      <c r="O46" s="586"/>
      <c r="P46" s="587"/>
      <c r="Q46" s="585">
        <f>MAX(S43,IF($V$15=$AM$15,$AF$15,HLOOKUP(T43,Rates,$AL$15,FALSE)))</f>
        <v>8.1999999999999993</v>
      </c>
      <c r="R46" s="586"/>
      <c r="S46" s="586"/>
      <c r="T46" s="587"/>
      <c r="U46" s="585">
        <f>MAX(W43,IF($V$15=$AM$15,$AF$15,HLOOKUP(X43,Rates,$AL$15,FALSE)))</f>
        <v>8.91</v>
      </c>
      <c r="V46" s="586"/>
      <c r="W46" s="586"/>
      <c r="X46" s="587"/>
      <c r="Y46" s="585">
        <f>MAX(AA43,IF($V$15=$AM$15,$AF$15,HLOOKUP(AB43,Rates,$AL$15,FALSE)))</f>
        <v>8.1999999999999993</v>
      </c>
      <c r="Z46" s="586"/>
      <c r="AA46" s="586"/>
      <c r="AB46" s="587"/>
      <c r="AC46" s="585">
        <f>MAX(AE43,IF($V$15=$AM$15,$AF$15,HLOOKUP(AF43,Rates,$AL$15,FALSE)))</f>
        <v>8.91</v>
      </c>
      <c r="AD46" s="586"/>
      <c r="AE46" s="586"/>
      <c r="AF46" s="610"/>
      <c r="AG46" s="668">
        <f>SUMPRODUCT(E46:AF46,E44:AF44)</f>
        <v>0</v>
      </c>
      <c r="AH46" s="669"/>
      <c r="AI46" s="669"/>
      <c r="AJ46" s="670"/>
      <c r="AK46" s="664"/>
      <c r="AL46" s="35">
        <f>AG46*IF($V$15="Demonstrator Rate",0.1711,0.1207)</f>
        <v>0</v>
      </c>
      <c r="AM46" s="27"/>
      <c r="AN46" s="45"/>
      <c r="AO46" s="40"/>
      <c r="AP46" s="695"/>
      <c r="AQ46" s="696"/>
      <c r="AR46" s="696"/>
      <c r="AS46" s="696"/>
      <c r="AT46" s="696"/>
      <c r="AU46" s="697"/>
      <c r="AV46" s="41"/>
    </row>
    <row r="47" spans="2:48" ht="13.5" hidden="1" customHeight="1" x14ac:dyDescent="0.2">
      <c r="B47" s="40"/>
      <c r="C47" s="10"/>
      <c r="D47" s="193" t="s">
        <v>147</v>
      </c>
      <c r="E47" s="654">
        <f>((E37+(G37/60))*E38)+((E41+(G41/60))*E42)+((E45+(G45/60))*E46)</f>
        <v>54.4</v>
      </c>
      <c r="F47" s="616"/>
      <c r="G47" s="616"/>
      <c r="H47" s="617"/>
      <c r="I47" s="615">
        <f>((I37+(K37/60))*I38)+((I41+(K41/60))*I42)+((I45+(K45/60))*I46)</f>
        <v>0</v>
      </c>
      <c r="J47" s="616"/>
      <c r="K47" s="616"/>
      <c r="L47" s="617"/>
      <c r="M47" s="615">
        <f>((M37+(O37/60))*M38)+((M41+(O41/60))*M42)+((M45+(O45/60))*M46)</f>
        <v>0</v>
      </c>
      <c r="N47" s="616"/>
      <c r="O47" s="616"/>
      <c r="P47" s="617"/>
      <c r="Q47" s="615">
        <f>((Q37+(S37/60))*Q38)+((Q41+(S41/60))*Q42)+((Q45+(S45/60))*Q46)</f>
        <v>0</v>
      </c>
      <c r="R47" s="616"/>
      <c r="S47" s="616"/>
      <c r="T47" s="617"/>
      <c r="U47" s="615">
        <f>((U37+(W37/60))*U38)+((U41+(W41/60))*U42)+((U45+(W45/60))*U46)</f>
        <v>0</v>
      </c>
      <c r="V47" s="616"/>
      <c r="W47" s="616"/>
      <c r="X47" s="617"/>
      <c r="Y47" s="615">
        <f>((Y37+(AA37/60))*Y38)+((Y41+(AA41/60))*Y42)+((Y45+(AA45/60))*Y46)</f>
        <v>0</v>
      </c>
      <c r="Z47" s="616"/>
      <c r="AA47" s="616"/>
      <c r="AB47" s="617"/>
      <c r="AC47" s="615">
        <f>((AC37+(AE37/60))*AC38)+((AC41+(AE41/60))*AC42)+((AC45+(AE45/60))*AC46)</f>
        <v>0</v>
      </c>
      <c r="AD47" s="616"/>
      <c r="AE47" s="616"/>
      <c r="AF47" s="618"/>
      <c r="AG47" s="604">
        <f>AG46+AG42+AG38</f>
        <v>54.4</v>
      </c>
      <c r="AH47" s="605"/>
      <c r="AI47" s="605"/>
      <c r="AJ47" s="606"/>
      <c r="AK47" s="664"/>
      <c r="AL47" s="28">
        <f>AG36+AG40+AG44+AG48</f>
        <v>4</v>
      </c>
      <c r="AM47" s="27" t="str">
        <f>IF(AND(AL47&gt;0,AE7="Yes",OR(E49="",G49="",I49="",K49="",M49="",O49="",Q49="",S49="",U49="",W49="",Y49="",AA49="",AC49="",AE49="")),"FALSE","TRUE")</f>
        <v>TRUE</v>
      </c>
      <c r="AN47" s="45"/>
      <c r="AO47" s="40"/>
      <c r="AP47" s="695"/>
      <c r="AQ47" s="696"/>
      <c r="AR47" s="696"/>
      <c r="AS47" s="696"/>
      <c r="AT47" s="696"/>
      <c r="AU47" s="697"/>
      <c r="AV47" s="41"/>
    </row>
    <row r="48" spans="2:48" ht="13.5" hidden="1" customHeight="1" x14ac:dyDescent="0.2">
      <c r="B48" s="40"/>
      <c r="C48" s="10"/>
      <c r="D48" s="104" t="s">
        <v>148</v>
      </c>
      <c r="E48" s="581">
        <f>E49+(G49/60)</f>
        <v>0</v>
      </c>
      <c r="F48" s="579"/>
      <c r="G48" s="579"/>
      <c r="H48" s="580"/>
      <c r="I48" s="579">
        <f t="shared" ref="I48" si="42">I49+(K49/60)</f>
        <v>0</v>
      </c>
      <c r="J48" s="579"/>
      <c r="K48" s="579"/>
      <c r="L48" s="580"/>
      <c r="M48" s="579">
        <f t="shared" ref="M48" si="43">M49+(O49/60)</f>
        <v>0</v>
      </c>
      <c r="N48" s="579"/>
      <c r="O48" s="579"/>
      <c r="P48" s="580"/>
      <c r="Q48" s="579">
        <f t="shared" ref="Q48" si="44">Q49+(S49/60)</f>
        <v>0</v>
      </c>
      <c r="R48" s="579"/>
      <c r="S48" s="579"/>
      <c r="T48" s="580"/>
      <c r="U48" s="579">
        <f t="shared" ref="U48" si="45">U49+(W49/60)</f>
        <v>0</v>
      </c>
      <c r="V48" s="579"/>
      <c r="W48" s="579"/>
      <c r="X48" s="580"/>
      <c r="Y48" s="579">
        <f t="shared" ref="Y48" si="46">Y49+(AA49/60)</f>
        <v>0</v>
      </c>
      <c r="Z48" s="579"/>
      <c r="AA48" s="579"/>
      <c r="AB48" s="580"/>
      <c r="AC48" s="579">
        <f t="shared" ref="AC48" si="47">AC49+(AE49/60)</f>
        <v>0</v>
      </c>
      <c r="AD48" s="579"/>
      <c r="AE48" s="579"/>
      <c r="AF48" s="580"/>
      <c r="AG48" s="581">
        <f>SUM(E48:AF48)</f>
        <v>0</v>
      </c>
      <c r="AH48" s="579"/>
      <c r="AI48" s="579"/>
      <c r="AJ48" s="582"/>
      <c r="AK48" s="664"/>
      <c r="AL48" s="28"/>
      <c r="AM48" s="27"/>
      <c r="AN48" s="45"/>
      <c r="AO48" s="40"/>
      <c r="AP48" s="695"/>
      <c r="AQ48" s="696"/>
      <c r="AR48" s="696"/>
      <c r="AS48" s="696"/>
      <c r="AT48" s="696"/>
      <c r="AU48" s="697"/>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64"/>
      <c r="AL49" s="27"/>
      <c r="AM49" s="27"/>
      <c r="AN49" s="45"/>
      <c r="AO49" s="40"/>
      <c r="AP49" s="695"/>
      <c r="AQ49" s="696"/>
      <c r="AR49" s="696"/>
      <c r="AS49" s="696"/>
      <c r="AT49" s="696"/>
      <c r="AU49" s="697"/>
      <c r="AV49" s="41"/>
    </row>
    <row r="50" spans="2:48" ht="12" customHeight="1" x14ac:dyDescent="0.2">
      <c r="B50" s="40"/>
      <c r="C50" s="10">
        <f>C34+7</f>
        <v>44606</v>
      </c>
      <c r="D50" s="71" t="s">
        <v>133</v>
      </c>
      <c r="E50" s="598">
        <f>IF(ISNA(C50),"",C50)</f>
        <v>44606</v>
      </c>
      <c r="F50" s="589"/>
      <c r="G50" s="589"/>
      <c r="H50" s="590"/>
      <c r="I50" s="588">
        <f>IF(ISNA(C50),"",E50+1)</f>
        <v>44607</v>
      </c>
      <c r="J50" s="589"/>
      <c r="K50" s="589"/>
      <c r="L50" s="590"/>
      <c r="M50" s="588">
        <f>IF(ISNA(C50),"",I50+1)</f>
        <v>44608</v>
      </c>
      <c r="N50" s="589"/>
      <c r="O50" s="589"/>
      <c r="P50" s="590"/>
      <c r="Q50" s="588">
        <f>IF(ISNA(C50),"",M50+1)</f>
        <v>44609</v>
      </c>
      <c r="R50" s="589"/>
      <c r="S50" s="589"/>
      <c r="T50" s="590"/>
      <c r="U50" s="588">
        <f>IF(ISNA(C50),"",Q50+1)</f>
        <v>44610</v>
      </c>
      <c r="V50" s="589"/>
      <c r="W50" s="589"/>
      <c r="X50" s="590"/>
      <c r="Y50" s="588">
        <f>IF(ISNA(C50),"",U50+1)</f>
        <v>44611</v>
      </c>
      <c r="Z50" s="589"/>
      <c r="AA50" s="589"/>
      <c r="AB50" s="590"/>
      <c r="AC50" s="588">
        <f>IF(ISNA(C50),"",Y50+1)</f>
        <v>44612</v>
      </c>
      <c r="AD50" s="589"/>
      <c r="AE50" s="589"/>
      <c r="AF50" s="614"/>
      <c r="AG50" s="598" t="str">
        <f>IF(AE7="Yes",VLOOKUP(C50,TermTime,2,FALSE),"Week Total")</f>
        <v>Week Total</v>
      </c>
      <c r="AH50" s="589"/>
      <c r="AI50" s="589"/>
      <c r="AJ50" s="599"/>
      <c r="AK50" s="664" t="str">
        <f>IF(OR(AL63&gt;36,AM63="FALSE",AND(AL63&gt;20,AE7="Yes")),"WARNING","")</f>
        <v/>
      </c>
      <c r="AL50" s="27"/>
      <c r="AM50" s="27"/>
      <c r="AN50" s="45"/>
      <c r="AO50" s="40"/>
      <c r="AP50" s="695"/>
      <c r="AQ50" s="696"/>
      <c r="AR50" s="696"/>
      <c r="AS50" s="696"/>
      <c r="AT50" s="696"/>
      <c r="AU50" s="697"/>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00"/>
      <c r="AH51" s="601"/>
      <c r="AI51" s="601"/>
      <c r="AJ51" s="602"/>
      <c r="AK51" s="664"/>
      <c r="AL51" s="27"/>
      <c r="AM51" s="27"/>
      <c r="AN51" s="45"/>
      <c r="AO51" s="40"/>
      <c r="AP51" s="695"/>
      <c r="AQ51" s="696"/>
      <c r="AR51" s="696"/>
      <c r="AS51" s="696"/>
      <c r="AT51" s="696"/>
      <c r="AU51" s="697"/>
      <c r="AV51" s="41"/>
    </row>
    <row r="52" spans="2:48" ht="12" hidden="1" customHeight="1" x14ac:dyDescent="0.2">
      <c r="B52" s="40"/>
      <c r="C52" s="10"/>
      <c r="D52" s="104" t="s">
        <v>136</v>
      </c>
      <c r="E52" s="583">
        <f>E53+(G53/60)</f>
        <v>4</v>
      </c>
      <c r="F52" s="577"/>
      <c r="G52" s="577"/>
      <c r="H52" s="578"/>
      <c r="I52" s="577">
        <f t="shared" ref="I52" si="48">I53+(K53/60)</f>
        <v>0</v>
      </c>
      <c r="J52" s="577"/>
      <c r="K52" s="577"/>
      <c r="L52" s="578"/>
      <c r="M52" s="577">
        <f t="shared" ref="M52" si="49">M53+(O53/60)</f>
        <v>0</v>
      </c>
      <c r="N52" s="577"/>
      <c r="O52" s="577"/>
      <c r="P52" s="578"/>
      <c r="Q52" s="577">
        <f t="shared" ref="Q52" si="50">Q53+(S53/60)</f>
        <v>0</v>
      </c>
      <c r="R52" s="577"/>
      <c r="S52" s="577"/>
      <c r="T52" s="578"/>
      <c r="U52" s="577">
        <f t="shared" ref="U52" si="51">U53+(W53/60)</f>
        <v>0</v>
      </c>
      <c r="V52" s="577"/>
      <c r="W52" s="577"/>
      <c r="X52" s="578"/>
      <c r="Y52" s="577">
        <f t="shared" ref="Y52" si="52">Y53+(AA53/60)</f>
        <v>0</v>
      </c>
      <c r="Z52" s="577"/>
      <c r="AA52" s="577"/>
      <c r="AB52" s="578"/>
      <c r="AC52" s="577">
        <f t="shared" ref="AC52" si="53">AC53+(AE53/60)</f>
        <v>0</v>
      </c>
      <c r="AD52" s="577"/>
      <c r="AE52" s="577"/>
      <c r="AF52" s="578"/>
      <c r="AG52" s="583">
        <f>SUM(E52:AF52)</f>
        <v>4</v>
      </c>
      <c r="AH52" s="577"/>
      <c r="AI52" s="577"/>
      <c r="AJ52" s="584"/>
      <c r="AK52" s="664"/>
      <c r="AL52" s="27"/>
      <c r="AM52" s="27"/>
      <c r="AN52" s="45"/>
      <c r="AO52" s="40"/>
      <c r="AP52" s="695"/>
      <c r="AQ52" s="696"/>
      <c r="AR52" s="696"/>
      <c r="AS52" s="696"/>
      <c r="AT52" s="696"/>
      <c r="AU52" s="697"/>
      <c r="AV52" s="41"/>
    </row>
    <row r="53" spans="2:48" ht="15" customHeight="1" x14ac:dyDescent="0.2">
      <c r="B53" s="40"/>
      <c r="C53" s="10"/>
      <c r="D53" s="91" t="s">
        <v>137</v>
      </c>
      <c r="E53" s="81">
        <v>4</v>
      </c>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4</v>
      </c>
      <c r="AH53" s="79" t="s">
        <v>80</v>
      </c>
      <c r="AI53" s="78">
        <f>(AG52-AG53)*60</f>
        <v>0</v>
      </c>
      <c r="AJ53" s="82" t="s">
        <v>81</v>
      </c>
      <c r="AK53" s="664"/>
      <c r="AL53" s="27"/>
      <c r="AM53" s="27"/>
      <c r="AN53" s="45"/>
      <c r="AO53" s="40"/>
      <c r="AP53" s="695"/>
      <c r="AQ53" s="696"/>
      <c r="AR53" s="696"/>
      <c r="AS53" s="696"/>
      <c r="AT53" s="696"/>
      <c r="AU53" s="697"/>
      <c r="AV53" s="41"/>
    </row>
    <row r="54" spans="2:48" ht="15" customHeight="1" x14ac:dyDescent="0.2">
      <c r="B54" s="40"/>
      <c r="C54" s="10"/>
      <c r="D54" s="124" t="s">
        <v>138</v>
      </c>
      <c r="E54" s="633">
        <f>MAX(G51,IF($V$11=$AM$11,$AF$11,HLOOKUP(H51,Rates,$AL$11,FALSE)))</f>
        <v>13.6</v>
      </c>
      <c r="F54" s="586"/>
      <c r="G54" s="586"/>
      <c r="H54" s="587"/>
      <c r="I54" s="585">
        <f>MAX(K51,IF($V$11=$AM$11,$AF$11,HLOOKUP(L51,Rates,$AL$11,FALSE)))</f>
        <v>13.6</v>
      </c>
      <c r="J54" s="586"/>
      <c r="K54" s="586"/>
      <c r="L54" s="587"/>
      <c r="M54" s="585">
        <f>MAX(O51,IF($V$11=$AM$11,$AF$11,HLOOKUP(P51,Rates,$AL$11,FALSE)))</f>
        <v>13.6</v>
      </c>
      <c r="N54" s="586"/>
      <c r="O54" s="586"/>
      <c r="P54" s="587"/>
      <c r="Q54" s="585">
        <f>MAX(S51,IF($V$11=$AM$11,$AF$11,HLOOKUP(T51,Rates,$AL$11,FALSE)))</f>
        <v>13.6</v>
      </c>
      <c r="R54" s="586"/>
      <c r="S54" s="586"/>
      <c r="T54" s="587"/>
      <c r="U54" s="585">
        <f>MAX(W51,IF($V$11=$AM$11,$AF$11,HLOOKUP(X51,Rates,$AL$11,FALSE)))</f>
        <v>13.6</v>
      </c>
      <c r="V54" s="586"/>
      <c r="W54" s="586"/>
      <c r="X54" s="587"/>
      <c r="Y54" s="585">
        <f>MAX(AA51,IF($V$11=$AM$11,$AF$11,HLOOKUP(AB51,Rates,$AL$11,FALSE)))</f>
        <v>13.6</v>
      </c>
      <c r="Z54" s="586"/>
      <c r="AA54" s="586"/>
      <c r="AB54" s="587"/>
      <c r="AC54" s="585">
        <f>MAX(AE51,IF($V$11=$AM$11,$AF$11,HLOOKUP(AF51,Rates,$AL$11,FALSE)))</f>
        <v>13.6</v>
      </c>
      <c r="AD54" s="586"/>
      <c r="AE54" s="586"/>
      <c r="AF54" s="610"/>
      <c r="AG54" s="668">
        <f>SUMPRODUCT(E54:AF54,E52:AF52)</f>
        <v>54.4</v>
      </c>
      <c r="AH54" s="669"/>
      <c r="AI54" s="669"/>
      <c r="AJ54" s="670"/>
      <c r="AK54" s="664"/>
      <c r="AL54" s="35">
        <f>AG54*IF($V$11="Demonstrator Rate",0.1711,0.1207)</f>
        <v>9.3078400000000006</v>
      </c>
      <c r="AM54" s="27"/>
      <c r="AN54" s="45"/>
      <c r="AO54" s="40"/>
      <c r="AP54" s="695"/>
      <c r="AQ54" s="696"/>
      <c r="AR54" s="696"/>
      <c r="AS54" s="696"/>
      <c r="AT54" s="696"/>
      <c r="AU54" s="697"/>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00"/>
      <c r="AH55" s="601"/>
      <c r="AI55" s="601"/>
      <c r="AJ55" s="602"/>
      <c r="AK55" s="664"/>
      <c r="AL55" s="5"/>
      <c r="AM55" s="27"/>
      <c r="AN55" s="45"/>
      <c r="AO55" s="40"/>
      <c r="AP55" s="695"/>
      <c r="AQ55" s="696"/>
      <c r="AR55" s="696"/>
      <c r="AS55" s="696"/>
      <c r="AT55" s="696"/>
      <c r="AU55" s="697"/>
      <c r="AV55" s="41"/>
    </row>
    <row r="56" spans="2:48" ht="12" hidden="1" customHeight="1" x14ac:dyDescent="0.2">
      <c r="B56" s="40"/>
      <c r="C56" s="10"/>
      <c r="D56" s="104" t="s">
        <v>140</v>
      </c>
      <c r="E56" s="583">
        <f>E57+(G57/60)</f>
        <v>0</v>
      </c>
      <c r="F56" s="577"/>
      <c r="G56" s="577"/>
      <c r="H56" s="578"/>
      <c r="I56" s="577">
        <f t="shared" ref="I56" si="54">I57+(K57/60)</f>
        <v>0</v>
      </c>
      <c r="J56" s="577"/>
      <c r="K56" s="577"/>
      <c r="L56" s="578"/>
      <c r="M56" s="577">
        <f t="shared" ref="M56" si="55">M57+(O57/60)</f>
        <v>0</v>
      </c>
      <c r="N56" s="577"/>
      <c r="O56" s="577"/>
      <c r="P56" s="578"/>
      <c r="Q56" s="577">
        <f t="shared" ref="Q56" si="56">Q57+(S57/60)</f>
        <v>0</v>
      </c>
      <c r="R56" s="577"/>
      <c r="S56" s="577"/>
      <c r="T56" s="578"/>
      <c r="U56" s="577">
        <f t="shared" ref="U56" si="57">U57+(W57/60)</f>
        <v>0</v>
      </c>
      <c r="V56" s="577"/>
      <c r="W56" s="577"/>
      <c r="X56" s="578"/>
      <c r="Y56" s="577">
        <f t="shared" ref="Y56" si="58">Y57+(AA57/60)</f>
        <v>0</v>
      </c>
      <c r="Z56" s="577"/>
      <c r="AA56" s="577"/>
      <c r="AB56" s="578"/>
      <c r="AC56" s="577">
        <f t="shared" ref="AC56" si="59">AC57+(AE57/60)</f>
        <v>0</v>
      </c>
      <c r="AD56" s="577"/>
      <c r="AE56" s="577"/>
      <c r="AF56" s="578"/>
      <c r="AG56" s="583">
        <f>SUM(E56:AF56)</f>
        <v>0</v>
      </c>
      <c r="AH56" s="577"/>
      <c r="AI56" s="577"/>
      <c r="AJ56" s="584"/>
      <c r="AK56" s="664"/>
      <c r="AL56" s="5"/>
      <c r="AM56" s="27"/>
      <c r="AN56" s="45"/>
      <c r="AO56" s="40"/>
      <c r="AP56" s="695"/>
      <c r="AQ56" s="696"/>
      <c r="AR56" s="696"/>
      <c r="AS56" s="696"/>
      <c r="AT56" s="696"/>
      <c r="AU56" s="697"/>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64"/>
      <c r="AL57" s="27"/>
      <c r="AM57" s="27"/>
      <c r="AN57" s="45"/>
      <c r="AO57" s="40"/>
      <c r="AP57" s="695"/>
      <c r="AQ57" s="696"/>
      <c r="AR57" s="696"/>
      <c r="AS57" s="696"/>
      <c r="AT57" s="696"/>
      <c r="AU57" s="697"/>
      <c r="AV57" s="41"/>
    </row>
    <row r="58" spans="2:48" ht="15" hidden="1" customHeight="1" x14ac:dyDescent="0.2">
      <c r="B58" s="40"/>
      <c r="C58" s="10"/>
      <c r="D58" s="91" t="s">
        <v>142</v>
      </c>
      <c r="E58" s="687">
        <f>MAX(G55,IF($V$13=$AM$13,$AF$13,HLOOKUP(H55,Rates,$AL$13,FALSE)))</f>
        <v>8.91</v>
      </c>
      <c r="F58" s="595"/>
      <c r="G58" s="595"/>
      <c r="H58" s="596"/>
      <c r="I58" s="594">
        <f>MAX(K55,IF($V$13=$AM$13,$AF$13,HLOOKUP(L55,Rates,$AL$13,FALSE)))</f>
        <v>8.91</v>
      </c>
      <c r="J58" s="595"/>
      <c r="K58" s="595"/>
      <c r="L58" s="596"/>
      <c r="M58" s="594">
        <f>MAX(O55,IF($V$13=$AM$13,$AF$13,HLOOKUP(P55,Rates,$AL$13,FALSE)))</f>
        <v>8.91</v>
      </c>
      <c r="N58" s="595"/>
      <c r="O58" s="595"/>
      <c r="P58" s="596"/>
      <c r="Q58" s="594">
        <f>MAX(S55,IF($V$13=$AM$13,$AF$13,HLOOKUP(T55,Rates,$AL$13,FALSE)))</f>
        <v>8.91</v>
      </c>
      <c r="R58" s="595"/>
      <c r="S58" s="595"/>
      <c r="T58" s="596"/>
      <c r="U58" s="594">
        <f>MAX(W55,IF($V$13=$AM$13,$AF$13,HLOOKUP(X55,Rates,$AL$13,FALSE)))</f>
        <v>8.91</v>
      </c>
      <c r="V58" s="595"/>
      <c r="W58" s="595"/>
      <c r="X58" s="596"/>
      <c r="Y58" s="594">
        <f>MAX(AA55,IF($V$13=$AM$13,$AF$13,HLOOKUP(AB55,Rates,$AL$13,FALSE)))</f>
        <v>8.91</v>
      </c>
      <c r="Z58" s="595"/>
      <c r="AA58" s="595"/>
      <c r="AB58" s="596"/>
      <c r="AC58" s="594">
        <f>MAX(AE55,IF($V$13=$AM$13,$AF$13,HLOOKUP(AF55,Rates,$AL$13,FALSE)))</f>
        <v>8.91</v>
      </c>
      <c r="AD58" s="595"/>
      <c r="AE58" s="595"/>
      <c r="AF58" s="597"/>
      <c r="AG58" s="668">
        <f>SUMPRODUCT(E58:AF58,E56:AF56)</f>
        <v>0</v>
      </c>
      <c r="AH58" s="669"/>
      <c r="AI58" s="669"/>
      <c r="AJ58" s="670"/>
      <c r="AK58" s="664"/>
      <c r="AL58" s="35">
        <f>AG58*IF($V$13="Demonstrator Rate",0.1711,0.1207)</f>
        <v>0</v>
      </c>
      <c r="AM58" s="27"/>
      <c r="AN58" s="45"/>
      <c r="AO58" s="40"/>
      <c r="AP58" s="695"/>
      <c r="AQ58" s="696"/>
      <c r="AR58" s="696"/>
      <c r="AS58" s="696"/>
      <c r="AT58" s="696"/>
      <c r="AU58" s="697"/>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00"/>
      <c r="AH59" s="601"/>
      <c r="AI59" s="601"/>
      <c r="AJ59" s="602"/>
      <c r="AK59" s="664"/>
      <c r="AL59" s="5"/>
      <c r="AM59" s="27"/>
      <c r="AN59" s="45"/>
      <c r="AO59" s="40"/>
      <c r="AP59" s="695"/>
      <c r="AQ59" s="696"/>
      <c r="AR59" s="696"/>
      <c r="AS59" s="696"/>
      <c r="AT59" s="696"/>
      <c r="AU59" s="697"/>
      <c r="AV59" s="41"/>
    </row>
    <row r="60" spans="2:48" ht="12" hidden="1" customHeight="1" x14ac:dyDescent="0.2">
      <c r="B60" s="40"/>
      <c r="C60" s="10"/>
      <c r="D60" s="104" t="s">
        <v>144</v>
      </c>
      <c r="E60" s="583">
        <f>E61+(G61/60)</f>
        <v>0</v>
      </c>
      <c r="F60" s="577"/>
      <c r="G60" s="577"/>
      <c r="H60" s="578"/>
      <c r="I60" s="577">
        <f t="shared" ref="I60" si="60">I61+(K61/60)</f>
        <v>0</v>
      </c>
      <c r="J60" s="577"/>
      <c r="K60" s="577"/>
      <c r="L60" s="578"/>
      <c r="M60" s="577">
        <f t="shared" ref="M60" si="61">M61+(O61/60)</f>
        <v>0</v>
      </c>
      <c r="N60" s="577"/>
      <c r="O60" s="577"/>
      <c r="P60" s="578"/>
      <c r="Q60" s="577">
        <f t="shared" ref="Q60" si="62">Q61+(S61/60)</f>
        <v>0</v>
      </c>
      <c r="R60" s="577"/>
      <c r="S60" s="577"/>
      <c r="T60" s="578"/>
      <c r="U60" s="577">
        <f t="shared" ref="U60" si="63">U61+(W61/60)</f>
        <v>0</v>
      </c>
      <c r="V60" s="577"/>
      <c r="W60" s="577"/>
      <c r="X60" s="578"/>
      <c r="Y60" s="577">
        <f t="shared" ref="Y60" si="64">Y61+(AA61/60)</f>
        <v>0</v>
      </c>
      <c r="Z60" s="577"/>
      <c r="AA60" s="577"/>
      <c r="AB60" s="578"/>
      <c r="AC60" s="577">
        <f t="shared" ref="AC60" si="65">AC61+(AE61/60)</f>
        <v>0</v>
      </c>
      <c r="AD60" s="577"/>
      <c r="AE60" s="577"/>
      <c r="AF60" s="578"/>
      <c r="AG60" s="583">
        <f>SUM(E60:AF60)</f>
        <v>0</v>
      </c>
      <c r="AH60" s="577"/>
      <c r="AI60" s="577"/>
      <c r="AJ60" s="584"/>
      <c r="AK60" s="664"/>
      <c r="AL60" s="5"/>
      <c r="AM60" s="27"/>
      <c r="AN60" s="45"/>
      <c r="AO60" s="40"/>
      <c r="AP60" s="695"/>
      <c r="AQ60" s="696"/>
      <c r="AR60" s="696"/>
      <c r="AS60" s="696"/>
      <c r="AT60" s="696"/>
      <c r="AU60" s="697"/>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64"/>
      <c r="AL61" s="27"/>
      <c r="AM61" s="27"/>
      <c r="AN61" s="45"/>
      <c r="AO61" s="40"/>
      <c r="AP61" s="695"/>
      <c r="AQ61" s="696"/>
      <c r="AR61" s="696"/>
      <c r="AS61" s="696"/>
      <c r="AT61" s="696"/>
      <c r="AU61" s="697"/>
      <c r="AV61" s="41"/>
    </row>
    <row r="62" spans="2:48" ht="15" hidden="1" customHeight="1" x14ac:dyDescent="0.2">
      <c r="B62" s="40"/>
      <c r="C62" s="10"/>
      <c r="D62" s="124" t="s">
        <v>146</v>
      </c>
      <c r="E62" s="633">
        <f>MAX(G59,IF($V$15=$AM$15,$AF$15,HLOOKUP(H59,Rates,$AL$15,FALSE)))</f>
        <v>8.91</v>
      </c>
      <c r="F62" s="586"/>
      <c r="G62" s="586"/>
      <c r="H62" s="587"/>
      <c r="I62" s="585">
        <f>MAX(K59,IF($V$15=$AM$15,$AF$15,HLOOKUP(L59,Rates,$AL$15,FALSE)))</f>
        <v>8.91</v>
      </c>
      <c r="J62" s="586"/>
      <c r="K62" s="586"/>
      <c r="L62" s="587"/>
      <c r="M62" s="585">
        <f>MAX(O59,IF($V$15=$AM$15,$AF$15,HLOOKUP(P59,Rates,$AL$15,FALSE)))</f>
        <v>8.91</v>
      </c>
      <c r="N62" s="586"/>
      <c r="O62" s="586"/>
      <c r="P62" s="587"/>
      <c r="Q62" s="585">
        <f>MAX(S59,IF($V$15=$AM$15,$AF$15,HLOOKUP(T59,Rates,$AL$15,FALSE)))</f>
        <v>8.91</v>
      </c>
      <c r="R62" s="586"/>
      <c r="S62" s="586"/>
      <c r="T62" s="587"/>
      <c r="U62" s="585">
        <f>MAX(W59,IF($V$15=$AM$15,$AF$15,HLOOKUP(X59,Rates,$AL$15,FALSE)))</f>
        <v>8.91</v>
      </c>
      <c r="V62" s="586"/>
      <c r="W62" s="586"/>
      <c r="X62" s="587"/>
      <c r="Y62" s="585">
        <f>MAX(AA59,IF($V$15=$AM$15,$AF$15,HLOOKUP(AB59,Rates,$AL$15,FALSE)))</f>
        <v>8.91</v>
      </c>
      <c r="Z62" s="586"/>
      <c r="AA62" s="586"/>
      <c r="AB62" s="587"/>
      <c r="AC62" s="585">
        <f>MAX(AE59,IF($V$15=$AM$15,$AF$15,HLOOKUP(AF59,Rates,$AL$15,FALSE)))</f>
        <v>8.91</v>
      </c>
      <c r="AD62" s="586"/>
      <c r="AE62" s="586"/>
      <c r="AF62" s="610"/>
      <c r="AG62" s="668">
        <f>SUMPRODUCT(E62:AF62,E60:AF60)</f>
        <v>0</v>
      </c>
      <c r="AH62" s="669"/>
      <c r="AI62" s="669"/>
      <c r="AJ62" s="670"/>
      <c r="AK62" s="664"/>
      <c r="AL62" s="35">
        <f>AG62*IF($V$15="Demonstrator Rate",0.1711,0.1207)</f>
        <v>0</v>
      </c>
      <c r="AM62" s="27"/>
      <c r="AN62" s="45"/>
      <c r="AO62" s="40"/>
      <c r="AP62" s="695"/>
      <c r="AQ62" s="696"/>
      <c r="AR62" s="696"/>
      <c r="AS62" s="696"/>
      <c r="AT62" s="696"/>
      <c r="AU62" s="697"/>
      <c r="AV62" s="41"/>
    </row>
    <row r="63" spans="2:48" ht="12" hidden="1" customHeight="1" x14ac:dyDescent="0.2">
      <c r="B63" s="40"/>
      <c r="C63" s="10"/>
      <c r="D63" s="193" t="s">
        <v>147</v>
      </c>
      <c r="E63" s="654">
        <f>((E53+(G53/60))*E54)+((E57+(G57/60))*E58)+((E61+(G61/60))*E62)</f>
        <v>54.4</v>
      </c>
      <c r="F63" s="616"/>
      <c r="G63" s="616"/>
      <c r="H63" s="617"/>
      <c r="I63" s="615">
        <f>((I53+(K53/60))*I54)+((I57+(K57/60))*I58)+((I61+(K61/60))*I62)</f>
        <v>0</v>
      </c>
      <c r="J63" s="616"/>
      <c r="K63" s="616"/>
      <c r="L63" s="617"/>
      <c r="M63" s="615">
        <f>((M53+(O53/60))*M54)+((M57+(O57/60))*M58)+((M61+(O61/60))*M62)</f>
        <v>0</v>
      </c>
      <c r="N63" s="616"/>
      <c r="O63" s="616"/>
      <c r="P63" s="617"/>
      <c r="Q63" s="615">
        <f>((Q53+(S53/60))*Q54)+((Q57+(S57/60))*Q58)+((Q61+(S61/60))*Q62)</f>
        <v>0</v>
      </c>
      <c r="R63" s="616"/>
      <c r="S63" s="616"/>
      <c r="T63" s="617"/>
      <c r="U63" s="615">
        <f>((U53+(W53/60))*U54)+((U57+(W57/60))*U58)+((U61+(W61/60))*U62)</f>
        <v>0</v>
      </c>
      <c r="V63" s="616"/>
      <c r="W63" s="616"/>
      <c r="X63" s="617"/>
      <c r="Y63" s="615">
        <f>((Y53+(AA53/60))*Y54)+((Y57+(AA57/60))*Y58)+((Y61+(AA61/60))*Y62)</f>
        <v>0</v>
      </c>
      <c r="Z63" s="616"/>
      <c r="AA63" s="616"/>
      <c r="AB63" s="617"/>
      <c r="AC63" s="615">
        <f>((AC53+(AE53/60))*AC54)+((AC57+(AE57/60))*AC58)+((AC61+(AE61/60))*AC62)</f>
        <v>0</v>
      </c>
      <c r="AD63" s="616"/>
      <c r="AE63" s="616"/>
      <c r="AF63" s="618"/>
      <c r="AG63" s="604">
        <f>AG62+AG58+AG54</f>
        <v>54.4</v>
      </c>
      <c r="AH63" s="605"/>
      <c r="AI63" s="605"/>
      <c r="AJ63" s="606"/>
      <c r="AK63" s="664"/>
      <c r="AL63" s="28">
        <f>AG52+AG56+AG60+AG64</f>
        <v>4</v>
      </c>
      <c r="AM63" s="27" t="str">
        <f>IF(AND(AL63&gt;0,AE7="Yes",OR(E65="",G65="",I65="",K65="",M65="",O65="",Q65="",S65="",U65="",W65="",Y65="",AA65="",AC65="",AE65="")),"FALSE","TRUE")</f>
        <v>TRUE</v>
      </c>
      <c r="AN63" s="45"/>
      <c r="AO63" s="40"/>
      <c r="AP63" s="695"/>
      <c r="AQ63" s="696"/>
      <c r="AR63" s="696"/>
      <c r="AS63" s="696"/>
      <c r="AT63" s="696"/>
      <c r="AU63" s="697"/>
      <c r="AV63" s="41"/>
    </row>
    <row r="64" spans="2:48" ht="12" hidden="1" customHeight="1" x14ac:dyDescent="0.2">
      <c r="B64" s="40"/>
      <c r="C64" s="10"/>
      <c r="D64" s="104" t="s">
        <v>148</v>
      </c>
      <c r="E64" s="581">
        <f>E65+(G65/60)</f>
        <v>0</v>
      </c>
      <c r="F64" s="579"/>
      <c r="G64" s="579"/>
      <c r="H64" s="580"/>
      <c r="I64" s="579">
        <f t="shared" ref="I64" si="66">I65+(K65/60)</f>
        <v>0</v>
      </c>
      <c r="J64" s="579"/>
      <c r="K64" s="579"/>
      <c r="L64" s="580"/>
      <c r="M64" s="579">
        <f t="shared" ref="M64" si="67">M65+(O65/60)</f>
        <v>0</v>
      </c>
      <c r="N64" s="579"/>
      <c r="O64" s="579"/>
      <c r="P64" s="580"/>
      <c r="Q64" s="579">
        <f t="shared" ref="Q64" si="68">Q65+(S65/60)</f>
        <v>0</v>
      </c>
      <c r="R64" s="579"/>
      <c r="S64" s="579"/>
      <c r="T64" s="580"/>
      <c r="U64" s="579">
        <f t="shared" ref="U64" si="69">U65+(W65/60)</f>
        <v>0</v>
      </c>
      <c r="V64" s="579"/>
      <c r="W64" s="579"/>
      <c r="X64" s="580"/>
      <c r="Y64" s="579">
        <f t="shared" ref="Y64" si="70">Y65+(AA65/60)</f>
        <v>0</v>
      </c>
      <c r="Z64" s="579"/>
      <c r="AA64" s="579"/>
      <c r="AB64" s="580"/>
      <c r="AC64" s="579">
        <f t="shared" ref="AC64" si="71">AC65+(AE65/60)</f>
        <v>0</v>
      </c>
      <c r="AD64" s="579"/>
      <c r="AE64" s="579"/>
      <c r="AF64" s="580"/>
      <c r="AG64" s="581">
        <f>SUM(E64:AF64)</f>
        <v>0</v>
      </c>
      <c r="AH64" s="579"/>
      <c r="AI64" s="579"/>
      <c r="AJ64" s="582"/>
      <c r="AK64" s="664"/>
      <c r="AL64" s="28"/>
      <c r="AM64" s="27"/>
      <c r="AN64" s="45"/>
      <c r="AO64" s="40"/>
      <c r="AP64" s="695"/>
      <c r="AQ64" s="696"/>
      <c r="AR64" s="696"/>
      <c r="AS64" s="696"/>
      <c r="AT64" s="696"/>
      <c r="AU64" s="697"/>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64"/>
      <c r="AL65" s="27"/>
      <c r="AM65" s="27"/>
      <c r="AN65" s="45"/>
      <c r="AO65" s="40"/>
      <c r="AP65" s="695"/>
      <c r="AQ65" s="696"/>
      <c r="AR65" s="696"/>
      <c r="AS65" s="696"/>
      <c r="AT65" s="696"/>
      <c r="AU65" s="697"/>
      <c r="AV65" s="41"/>
    </row>
    <row r="66" spans="2:48" ht="13.5" customHeight="1" x14ac:dyDescent="0.2">
      <c r="B66" s="40"/>
      <c r="C66" s="10">
        <f>C50+7</f>
        <v>44613</v>
      </c>
      <c r="D66" s="152" t="s">
        <v>133</v>
      </c>
      <c r="E66" s="634">
        <f>IF(ISNA(C66),"",C66)</f>
        <v>44613</v>
      </c>
      <c r="F66" s="635"/>
      <c r="G66" s="635"/>
      <c r="H66" s="636"/>
      <c r="I66" s="701">
        <f>IF(ISNA(C66),"",E66+1)</f>
        <v>44614</v>
      </c>
      <c r="J66" s="635"/>
      <c r="K66" s="635"/>
      <c r="L66" s="636"/>
      <c r="M66" s="701">
        <f>IF(ISNA(C66),"",I66+1)</f>
        <v>44615</v>
      </c>
      <c r="N66" s="635"/>
      <c r="O66" s="635"/>
      <c r="P66" s="636"/>
      <c r="Q66" s="701">
        <f>IF(ISNA(C66),"",M66+1)</f>
        <v>44616</v>
      </c>
      <c r="R66" s="635"/>
      <c r="S66" s="635"/>
      <c r="T66" s="636"/>
      <c r="U66" s="701">
        <f>IF(ISNA(C66),"",Q66+1)</f>
        <v>44617</v>
      </c>
      <c r="V66" s="635"/>
      <c r="W66" s="635"/>
      <c r="X66" s="636"/>
      <c r="Y66" s="701">
        <f>IF(ISNA(C66),"",U66+1)</f>
        <v>44618</v>
      </c>
      <c r="Z66" s="635"/>
      <c r="AA66" s="635"/>
      <c r="AB66" s="636"/>
      <c r="AC66" s="701">
        <f>IF(ISNA(C66),"",Y66+1)</f>
        <v>44619</v>
      </c>
      <c r="AD66" s="635"/>
      <c r="AE66" s="635"/>
      <c r="AF66" s="702"/>
      <c r="AG66" s="689" t="str">
        <f>IF(AE7="Yes",VLOOKUP(C66,TermTime,2,FALSE),"Week Total")</f>
        <v>Week Total</v>
      </c>
      <c r="AH66" s="690"/>
      <c r="AI66" s="690"/>
      <c r="AJ66" s="691"/>
      <c r="AK66" s="664" t="str">
        <f>IF(OR(AL79&gt;36,AM79="FALSE",AND(AL79&gt;20,AE7="Yes")),"WARNING","")</f>
        <v/>
      </c>
      <c r="AL66" s="27"/>
      <c r="AM66" s="27"/>
      <c r="AN66" s="45"/>
      <c r="AO66" s="40"/>
      <c r="AP66" s="695"/>
      <c r="AQ66" s="696"/>
      <c r="AR66" s="696"/>
      <c r="AS66" s="696"/>
      <c r="AT66" s="696"/>
      <c r="AU66" s="697"/>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00"/>
      <c r="AH67" s="601"/>
      <c r="AI67" s="601"/>
      <c r="AJ67" s="602"/>
      <c r="AK67" s="664"/>
      <c r="AL67" s="27"/>
      <c r="AM67" s="27"/>
      <c r="AN67" s="45"/>
      <c r="AO67" s="40"/>
      <c r="AP67" s="695"/>
      <c r="AQ67" s="696"/>
      <c r="AR67" s="696"/>
      <c r="AS67" s="696"/>
      <c r="AT67" s="696"/>
      <c r="AU67" s="697"/>
      <c r="AV67" s="41"/>
    </row>
    <row r="68" spans="2:48" ht="13.5" hidden="1" customHeight="1" x14ac:dyDescent="0.2">
      <c r="B68" s="40"/>
      <c r="C68" s="10"/>
      <c r="D68" s="104" t="s">
        <v>136</v>
      </c>
      <c r="E68" s="583">
        <f>E69+(G69/60)</f>
        <v>4</v>
      </c>
      <c r="F68" s="577"/>
      <c r="G68" s="577"/>
      <c r="H68" s="578"/>
      <c r="I68" s="577">
        <f t="shared" ref="I68" si="72">I69+(K69/60)</f>
        <v>0</v>
      </c>
      <c r="J68" s="577"/>
      <c r="K68" s="577"/>
      <c r="L68" s="578"/>
      <c r="M68" s="577">
        <f t="shared" ref="M68" si="73">M69+(O69/60)</f>
        <v>0</v>
      </c>
      <c r="N68" s="577"/>
      <c r="O68" s="577"/>
      <c r="P68" s="578"/>
      <c r="Q68" s="577">
        <f t="shared" ref="Q68" si="74">Q69+(S69/60)</f>
        <v>0</v>
      </c>
      <c r="R68" s="577"/>
      <c r="S68" s="577"/>
      <c r="T68" s="578"/>
      <c r="U68" s="577">
        <f t="shared" ref="U68" si="75">U69+(W69/60)</f>
        <v>0</v>
      </c>
      <c r="V68" s="577"/>
      <c r="W68" s="577"/>
      <c r="X68" s="578"/>
      <c r="Y68" s="577">
        <f t="shared" ref="Y68" si="76">Y69+(AA69/60)</f>
        <v>0</v>
      </c>
      <c r="Z68" s="577"/>
      <c r="AA68" s="577"/>
      <c r="AB68" s="578"/>
      <c r="AC68" s="577">
        <f t="shared" ref="AC68" si="77">AC69+(AE69/60)</f>
        <v>0</v>
      </c>
      <c r="AD68" s="577"/>
      <c r="AE68" s="577"/>
      <c r="AF68" s="578"/>
      <c r="AG68" s="583">
        <f>SUM(E68:AF68)</f>
        <v>4</v>
      </c>
      <c r="AH68" s="577"/>
      <c r="AI68" s="577"/>
      <c r="AJ68" s="584"/>
      <c r="AK68" s="664"/>
      <c r="AL68" s="27"/>
      <c r="AM68" s="27"/>
      <c r="AN68" s="45"/>
      <c r="AO68" s="40"/>
      <c r="AP68" s="695"/>
      <c r="AQ68" s="696"/>
      <c r="AR68" s="696"/>
      <c r="AS68" s="696"/>
      <c r="AT68" s="696"/>
      <c r="AU68" s="697"/>
      <c r="AV68" s="41"/>
    </row>
    <row r="69" spans="2:48" x14ac:dyDescent="0.2">
      <c r="B69" s="40"/>
      <c r="C69" s="10"/>
      <c r="D69" s="91" t="s">
        <v>137</v>
      </c>
      <c r="E69" s="81">
        <v>4</v>
      </c>
      <c r="F69" s="77" t="s">
        <v>80</v>
      </c>
      <c r="G69" s="76"/>
      <c r="H69" s="95" t="s">
        <v>81</v>
      </c>
      <c r="I69" s="93"/>
      <c r="J69" s="77" t="s">
        <v>80</v>
      </c>
      <c r="K69" s="76"/>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4</v>
      </c>
      <c r="AH69" s="79" t="s">
        <v>80</v>
      </c>
      <c r="AI69" s="78">
        <f>(AG68-AG69)*60</f>
        <v>0</v>
      </c>
      <c r="AJ69" s="82" t="s">
        <v>81</v>
      </c>
      <c r="AK69" s="664"/>
      <c r="AL69" s="27"/>
      <c r="AM69" s="27"/>
      <c r="AN69" s="45"/>
      <c r="AO69" s="40"/>
      <c r="AP69" s="695"/>
      <c r="AQ69" s="696"/>
      <c r="AR69" s="696"/>
      <c r="AS69" s="696"/>
      <c r="AT69" s="696"/>
      <c r="AU69" s="697"/>
      <c r="AV69" s="41"/>
    </row>
    <row r="70" spans="2:48" ht="17.25" customHeight="1" x14ac:dyDescent="0.2">
      <c r="B70" s="40"/>
      <c r="C70" s="10"/>
      <c r="D70" s="124" t="s">
        <v>138</v>
      </c>
      <c r="E70" s="633">
        <f>MAX(G67,IF($V$11=$AM$11,$AF$11,HLOOKUP(H67,Rates,$AL$11,FALSE)))</f>
        <v>13.6</v>
      </c>
      <c r="F70" s="586"/>
      <c r="G70" s="586"/>
      <c r="H70" s="587"/>
      <c r="I70" s="585">
        <f>MAX(K67,IF($V$11=$AM$11,$AF$11,HLOOKUP(L67,Rates,$AL$11,FALSE)))</f>
        <v>13.6</v>
      </c>
      <c r="J70" s="586"/>
      <c r="K70" s="586"/>
      <c r="L70" s="587"/>
      <c r="M70" s="585">
        <f>MAX(O67,IF($V$11=$AM$11,$AF$11,HLOOKUP(P67,Rates,$AL$11,FALSE)))</f>
        <v>13.6</v>
      </c>
      <c r="N70" s="586"/>
      <c r="O70" s="586"/>
      <c r="P70" s="587"/>
      <c r="Q70" s="585">
        <f>MAX(S67,IF($V$11=$AM$11,$AF$11,HLOOKUP(T67,Rates,$AL$11,FALSE)))</f>
        <v>13.6</v>
      </c>
      <c r="R70" s="586"/>
      <c r="S70" s="586"/>
      <c r="T70" s="587"/>
      <c r="U70" s="585">
        <f>MAX(W67,IF($V$11=$AM$11,$AF$11,HLOOKUP(X67,Rates,$AL$11,FALSE)))</f>
        <v>13.6</v>
      </c>
      <c r="V70" s="586"/>
      <c r="W70" s="586"/>
      <c r="X70" s="587"/>
      <c r="Y70" s="585">
        <f>MAX(AA67,IF($V$11=$AM$11,$AF$11,HLOOKUP(AB67,Rates,$AL$11,FALSE)))</f>
        <v>13.6</v>
      </c>
      <c r="Z70" s="586"/>
      <c r="AA70" s="586"/>
      <c r="AB70" s="587"/>
      <c r="AC70" s="585">
        <f>MAX(AE67,IF($V$11=$AM$11,$AF$11,HLOOKUP(AF67,Rates,$AL$11,FALSE)))</f>
        <v>13.6</v>
      </c>
      <c r="AD70" s="586"/>
      <c r="AE70" s="586"/>
      <c r="AF70" s="610"/>
      <c r="AG70" s="668">
        <f>SUMPRODUCT(E70:AF70,E68:AF68)</f>
        <v>54.4</v>
      </c>
      <c r="AH70" s="669"/>
      <c r="AI70" s="669"/>
      <c r="AJ70" s="670"/>
      <c r="AK70" s="664"/>
      <c r="AL70" s="35">
        <f>AG70*IF($V$11="Demonstrator Rate",0.1711,0.1207)</f>
        <v>9.3078400000000006</v>
      </c>
      <c r="AM70" s="27"/>
      <c r="AN70" s="45"/>
      <c r="AO70" s="40"/>
      <c r="AP70" s="695"/>
      <c r="AQ70" s="696"/>
      <c r="AR70" s="696"/>
      <c r="AS70" s="696"/>
      <c r="AT70" s="696"/>
      <c r="AU70" s="697"/>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00"/>
      <c r="AH71" s="601"/>
      <c r="AI71" s="601"/>
      <c r="AJ71" s="602"/>
      <c r="AK71" s="664"/>
      <c r="AL71" s="5"/>
      <c r="AM71" s="27"/>
      <c r="AN71" s="45"/>
      <c r="AO71" s="40"/>
      <c r="AP71" s="695"/>
      <c r="AQ71" s="696"/>
      <c r="AR71" s="696"/>
      <c r="AS71" s="696"/>
      <c r="AT71" s="696"/>
      <c r="AU71" s="697"/>
      <c r="AV71" s="41"/>
    </row>
    <row r="72" spans="2:48" ht="17.25" hidden="1" customHeight="1" x14ac:dyDescent="0.2">
      <c r="B72" s="40"/>
      <c r="C72" s="10"/>
      <c r="D72" s="104" t="s">
        <v>140</v>
      </c>
      <c r="E72" s="583">
        <f>E73+(G73/60)</f>
        <v>0</v>
      </c>
      <c r="F72" s="577"/>
      <c r="G72" s="577"/>
      <c r="H72" s="578"/>
      <c r="I72" s="577">
        <f t="shared" ref="I72" si="78">I73+(K73/60)</f>
        <v>0</v>
      </c>
      <c r="J72" s="577"/>
      <c r="K72" s="577"/>
      <c r="L72" s="578"/>
      <c r="M72" s="577">
        <f t="shared" ref="M72" si="79">M73+(O73/60)</f>
        <v>0</v>
      </c>
      <c r="N72" s="577"/>
      <c r="O72" s="577"/>
      <c r="P72" s="578"/>
      <c r="Q72" s="577">
        <f t="shared" ref="Q72" si="80">Q73+(S73/60)</f>
        <v>0</v>
      </c>
      <c r="R72" s="577"/>
      <c r="S72" s="577"/>
      <c r="T72" s="578"/>
      <c r="U72" s="577">
        <f t="shared" ref="U72" si="81">U73+(W73/60)</f>
        <v>0</v>
      </c>
      <c r="V72" s="577"/>
      <c r="W72" s="577"/>
      <c r="X72" s="578"/>
      <c r="Y72" s="577">
        <f t="shared" ref="Y72" si="82">Y73+(AA73/60)</f>
        <v>0</v>
      </c>
      <c r="Z72" s="577"/>
      <c r="AA72" s="577"/>
      <c r="AB72" s="578"/>
      <c r="AC72" s="577">
        <f t="shared" ref="AC72" si="83">AC73+(AE73/60)</f>
        <v>0</v>
      </c>
      <c r="AD72" s="577"/>
      <c r="AE72" s="577"/>
      <c r="AF72" s="578"/>
      <c r="AG72" s="583">
        <f>SUM(E72:AF72)</f>
        <v>0</v>
      </c>
      <c r="AH72" s="577"/>
      <c r="AI72" s="577"/>
      <c r="AJ72" s="584"/>
      <c r="AK72" s="664"/>
      <c r="AL72" s="5"/>
      <c r="AM72" s="27"/>
      <c r="AN72" s="45"/>
      <c r="AO72" s="40"/>
      <c r="AP72" s="695"/>
      <c r="AQ72" s="696"/>
      <c r="AR72" s="696"/>
      <c r="AS72" s="696"/>
      <c r="AT72" s="696"/>
      <c r="AU72" s="697"/>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64"/>
      <c r="AL73" s="27"/>
      <c r="AM73" s="27"/>
      <c r="AN73" s="45"/>
      <c r="AO73" s="40"/>
      <c r="AP73" s="695"/>
      <c r="AQ73" s="696"/>
      <c r="AR73" s="696"/>
      <c r="AS73" s="696"/>
      <c r="AT73" s="696"/>
      <c r="AU73" s="697"/>
      <c r="AV73" s="41"/>
    </row>
    <row r="74" spans="2:48" ht="17.25" hidden="1" customHeight="1" x14ac:dyDescent="0.2">
      <c r="B74" s="40"/>
      <c r="C74" s="10"/>
      <c r="D74" s="124" t="s">
        <v>142</v>
      </c>
      <c r="E74" s="633">
        <f>MAX(G71,IF($V$13=$AM$13,$AF$13,HLOOKUP(H71,Rates,$AL$13,FALSE)))</f>
        <v>8.91</v>
      </c>
      <c r="F74" s="586"/>
      <c r="G74" s="586"/>
      <c r="H74" s="587"/>
      <c r="I74" s="585">
        <f>MAX(K71,IF($V$13=$AM$13,$AF$13,HLOOKUP(L71,Rates,$AL$13,FALSE)))</f>
        <v>8.91</v>
      </c>
      <c r="J74" s="586"/>
      <c r="K74" s="586"/>
      <c r="L74" s="587"/>
      <c r="M74" s="585">
        <f>MAX(O71,IF($V$13=$AM$13,$AF$13,HLOOKUP(P71,Rates,$AL$13,FALSE)))</f>
        <v>8.91</v>
      </c>
      <c r="N74" s="586"/>
      <c r="O74" s="586"/>
      <c r="P74" s="587"/>
      <c r="Q74" s="585">
        <f>MAX(S71,IF($V$13=$AM$13,$AF$13,HLOOKUP(T71,Rates,$AL$13,FALSE)))</f>
        <v>8.91</v>
      </c>
      <c r="R74" s="586"/>
      <c r="S74" s="586"/>
      <c r="T74" s="587"/>
      <c r="U74" s="585">
        <f>MAX(W71,IF($V$13=$AM$13,$AF$13,HLOOKUP(X71,Rates,$AL$13,FALSE)))</f>
        <v>8.91</v>
      </c>
      <c r="V74" s="586"/>
      <c r="W74" s="586"/>
      <c r="X74" s="587"/>
      <c r="Y74" s="585">
        <f>MAX(AA71,IF($V$13=$AM$13,$AF$13,HLOOKUP(AB71,Rates,$AL$13,FALSE)))</f>
        <v>8.91</v>
      </c>
      <c r="Z74" s="586"/>
      <c r="AA74" s="586"/>
      <c r="AB74" s="587"/>
      <c r="AC74" s="585">
        <f>MAX(AE71,IF($V$13=$AM$13,$AF$13,HLOOKUP(AF71,Rates,$AL$13,FALSE)))</f>
        <v>8.91</v>
      </c>
      <c r="AD74" s="586"/>
      <c r="AE74" s="586"/>
      <c r="AF74" s="610"/>
      <c r="AG74" s="668">
        <f>SUMPRODUCT(E74:AF74,E72:AF72)</f>
        <v>0</v>
      </c>
      <c r="AH74" s="669"/>
      <c r="AI74" s="669"/>
      <c r="AJ74" s="670"/>
      <c r="AK74" s="664"/>
      <c r="AL74" s="35">
        <f>AG74*IF($V$13="Demonstrator Rate",0.1711,0.1207)</f>
        <v>0</v>
      </c>
      <c r="AM74" s="27"/>
      <c r="AN74" s="45"/>
      <c r="AO74" s="40"/>
      <c r="AP74" s="695"/>
      <c r="AQ74" s="696"/>
      <c r="AR74" s="696"/>
      <c r="AS74" s="696"/>
      <c r="AT74" s="696"/>
      <c r="AU74" s="697"/>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00"/>
      <c r="AH75" s="601"/>
      <c r="AI75" s="601"/>
      <c r="AJ75" s="602"/>
      <c r="AK75" s="664"/>
      <c r="AL75" s="5"/>
      <c r="AM75" s="27"/>
      <c r="AN75" s="45"/>
      <c r="AO75" s="40"/>
      <c r="AP75" s="695"/>
      <c r="AQ75" s="696"/>
      <c r="AR75" s="696"/>
      <c r="AS75" s="696"/>
      <c r="AT75" s="696"/>
      <c r="AU75" s="697"/>
      <c r="AV75" s="41"/>
    </row>
    <row r="76" spans="2:48" ht="17.25" hidden="1" customHeight="1" x14ac:dyDescent="0.2">
      <c r="B76" s="40"/>
      <c r="C76" s="10"/>
      <c r="D76" s="104" t="s">
        <v>144</v>
      </c>
      <c r="E76" s="583">
        <f>E77+(G77/60)</f>
        <v>0</v>
      </c>
      <c r="F76" s="577"/>
      <c r="G76" s="577"/>
      <c r="H76" s="578"/>
      <c r="I76" s="577">
        <f t="shared" ref="I76" si="84">I77+(K77/60)</f>
        <v>0</v>
      </c>
      <c r="J76" s="577"/>
      <c r="K76" s="577"/>
      <c r="L76" s="578"/>
      <c r="M76" s="577">
        <f t="shared" ref="M76" si="85">M77+(O77/60)</f>
        <v>0</v>
      </c>
      <c r="N76" s="577"/>
      <c r="O76" s="577"/>
      <c r="P76" s="578"/>
      <c r="Q76" s="577">
        <f t="shared" ref="Q76" si="86">Q77+(S77/60)</f>
        <v>0</v>
      </c>
      <c r="R76" s="577"/>
      <c r="S76" s="577"/>
      <c r="T76" s="578"/>
      <c r="U76" s="577">
        <f t="shared" ref="U76" si="87">U77+(W77/60)</f>
        <v>0</v>
      </c>
      <c r="V76" s="577"/>
      <c r="W76" s="577"/>
      <c r="X76" s="578"/>
      <c r="Y76" s="577">
        <f t="shared" ref="Y76" si="88">Y77+(AA77/60)</f>
        <v>0</v>
      </c>
      <c r="Z76" s="577"/>
      <c r="AA76" s="577"/>
      <c r="AB76" s="578"/>
      <c r="AC76" s="577">
        <f t="shared" ref="AC76" si="89">AC77+(AE77/60)</f>
        <v>0</v>
      </c>
      <c r="AD76" s="577"/>
      <c r="AE76" s="577"/>
      <c r="AF76" s="578"/>
      <c r="AG76" s="583">
        <f>SUM(E76:AF76)</f>
        <v>0</v>
      </c>
      <c r="AH76" s="577"/>
      <c r="AI76" s="577"/>
      <c r="AJ76" s="584"/>
      <c r="AK76" s="664"/>
      <c r="AL76" s="5"/>
      <c r="AM76" s="27"/>
      <c r="AN76" s="45"/>
      <c r="AO76" s="40"/>
      <c r="AP76" s="695"/>
      <c r="AQ76" s="696"/>
      <c r="AR76" s="696"/>
      <c r="AS76" s="696"/>
      <c r="AT76" s="696"/>
      <c r="AU76" s="697"/>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64"/>
      <c r="AL77" s="27"/>
      <c r="AM77" s="27"/>
      <c r="AN77" s="45"/>
      <c r="AO77" s="40"/>
      <c r="AP77" s="695"/>
      <c r="AQ77" s="696"/>
      <c r="AR77" s="696"/>
      <c r="AS77" s="696"/>
      <c r="AT77" s="696"/>
      <c r="AU77" s="697"/>
      <c r="AV77" s="41"/>
    </row>
    <row r="78" spans="2:48" ht="17.25" hidden="1" customHeight="1" x14ac:dyDescent="0.2">
      <c r="B78" s="40"/>
      <c r="C78" s="10"/>
      <c r="D78" s="91" t="s">
        <v>146</v>
      </c>
      <c r="E78" s="687">
        <f>MAX(G75,IF($V$15=$AM$15,$AF$15,HLOOKUP(H75,Rates,$AL$15,FALSE)))</f>
        <v>8.91</v>
      </c>
      <c r="F78" s="595"/>
      <c r="G78" s="595"/>
      <c r="H78" s="596"/>
      <c r="I78" s="594">
        <f>MAX(K75,IF($V$15=$AM$15,$AF$15,HLOOKUP(L75,Rates,$AL$15,FALSE)))</f>
        <v>8.91</v>
      </c>
      <c r="J78" s="595"/>
      <c r="K78" s="595"/>
      <c r="L78" s="596"/>
      <c r="M78" s="594">
        <f>MAX(O75,IF($V$15=$AM$15,$AF$15,HLOOKUP(P75,Rates,$AL$15,FALSE)))</f>
        <v>8.91</v>
      </c>
      <c r="N78" s="595"/>
      <c r="O78" s="595"/>
      <c r="P78" s="596"/>
      <c r="Q78" s="594">
        <f>MAX(S75,IF($V$15=$AM$15,$AF$15,HLOOKUP(T75,Rates,$AL$15,FALSE)))</f>
        <v>8.91</v>
      </c>
      <c r="R78" s="595"/>
      <c r="S78" s="595"/>
      <c r="T78" s="596"/>
      <c r="U78" s="594">
        <f>MAX(W75,IF($V$15=$AM$15,$AF$15,HLOOKUP(X75,Rates,$AL$15,FALSE)))</f>
        <v>8.91</v>
      </c>
      <c r="V78" s="595"/>
      <c r="W78" s="595"/>
      <c r="X78" s="596"/>
      <c r="Y78" s="594">
        <f>MAX(AA75,IF($V$15=$AM$15,$AF$15,HLOOKUP(AB75,Rates,$AL$15,FALSE)))</f>
        <v>8.91</v>
      </c>
      <c r="Z78" s="595"/>
      <c r="AA78" s="595"/>
      <c r="AB78" s="596"/>
      <c r="AC78" s="594">
        <f>MAX(AE75,IF($V$15=$AM$15,$AF$15,HLOOKUP(AF75,Rates,$AL$15,FALSE)))</f>
        <v>8.91</v>
      </c>
      <c r="AD78" s="595"/>
      <c r="AE78" s="595"/>
      <c r="AF78" s="597"/>
      <c r="AG78" s="668">
        <f>SUMPRODUCT(E78:AF78,E76:AF76)</f>
        <v>0</v>
      </c>
      <c r="AH78" s="669"/>
      <c r="AI78" s="669"/>
      <c r="AJ78" s="670"/>
      <c r="AK78" s="664"/>
      <c r="AL78" s="35">
        <f>AG78*IF($V$15="Demonstrator Rate",0.1711,0.1207)</f>
        <v>0</v>
      </c>
      <c r="AM78" s="27"/>
      <c r="AN78" s="45"/>
      <c r="AO78" s="40"/>
      <c r="AP78" s="695"/>
      <c r="AQ78" s="696"/>
      <c r="AR78" s="696"/>
      <c r="AS78" s="696"/>
      <c r="AT78" s="696"/>
      <c r="AU78" s="697"/>
      <c r="AV78" s="41"/>
    </row>
    <row r="79" spans="2:48" ht="17.25" hidden="1" customHeight="1" x14ac:dyDescent="0.2">
      <c r="B79" s="40"/>
      <c r="C79" s="10"/>
      <c r="D79" s="194" t="s">
        <v>147</v>
      </c>
      <c r="E79" s="705">
        <f>((E69+(G69/60))*E70)+((E73+(G73/60))*E74)+((E77+(G77/60))*E78)</f>
        <v>54.4</v>
      </c>
      <c r="F79" s="592"/>
      <c r="G79" s="592"/>
      <c r="H79" s="593"/>
      <c r="I79" s="591">
        <f>((I69+(K69/60))*I70)+((I73+(K73/60))*I74)+((I77+(K77/60))*I78)</f>
        <v>0</v>
      </c>
      <c r="J79" s="592"/>
      <c r="K79" s="592"/>
      <c r="L79" s="593"/>
      <c r="M79" s="591">
        <f>((M69+(O69/60))*M70)+((M73+(O73/60))*M74)+((M77+(O77/60))*M78)</f>
        <v>0</v>
      </c>
      <c r="N79" s="592"/>
      <c r="O79" s="592"/>
      <c r="P79" s="593"/>
      <c r="Q79" s="591">
        <f>((Q69+(S69/60))*Q70)+((Q73+(S73/60))*Q74)+((Q77+(S77/60))*Q78)</f>
        <v>0</v>
      </c>
      <c r="R79" s="592"/>
      <c r="S79" s="592"/>
      <c r="T79" s="593"/>
      <c r="U79" s="591">
        <f>((U69+(W69/60))*U70)+((U73+(W73/60))*U74)+((U77+(W77/60))*U78)</f>
        <v>0</v>
      </c>
      <c r="V79" s="592"/>
      <c r="W79" s="592"/>
      <c r="X79" s="593"/>
      <c r="Y79" s="591">
        <f>((Y69+(AA69/60))*Y70)+((Y73+(AA73/60))*Y74)+((Y77+(AA77/60))*Y78)</f>
        <v>0</v>
      </c>
      <c r="Z79" s="592"/>
      <c r="AA79" s="592"/>
      <c r="AB79" s="593"/>
      <c r="AC79" s="591">
        <f>((AC69+(AE69/60))*AC70)+((AC73+(AE73/60))*AC74)+((AC77+(AE77/60))*AC78)</f>
        <v>0</v>
      </c>
      <c r="AD79" s="592"/>
      <c r="AE79" s="592"/>
      <c r="AF79" s="688"/>
      <c r="AG79" s="604">
        <f>AG78+AG74+AG70</f>
        <v>54.4</v>
      </c>
      <c r="AH79" s="605"/>
      <c r="AI79" s="605"/>
      <c r="AJ79" s="606"/>
      <c r="AK79" s="664"/>
      <c r="AL79" s="28">
        <f>AG68+AG72+AG76+AG80</f>
        <v>4</v>
      </c>
      <c r="AM79" s="27" t="str">
        <f>IF(AND(AL79&gt;0,AE7="Yes",OR(E81="",G81="",I81="",K81="",M81="",O81="",Q81="",S81="",U81="",W81="",Y81="",AA81="",AC81="",AE81="")),"FALSE","TRUE")</f>
        <v>TRUE</v>
      </c>
      <c r="AN79" s="45"/>
      <c r="AO79" s="40"/>
      <c r="AP79" s="695"/>
      <c r="AQ79" s="696"/>
      <c r="AR79" s="696"/>
      <c r="AS79" s="696"/>
      <c r="AT79" s="696"/>
      <c r="AU79" s="697"/>
      <c r="AV79" s="41"/>
    </row>
    <row r="80" spans="2:48" ht="17.25" hidden="1" customHeight="1" x14ac:dyDescent="0.2">
      <c r="B80" s="40"/>
      <c r="C80" s="10"/>
      <c r="D80" s="104" t="s">
        <v>148</v>
      </c>
      <c r="E80" s="581">
        <f>E81+(G81/60)</f>
        <v>0</v>
      </c>
      <c r="F80" s="579"/>
      <c r="G80" s="579"/>
      <c r="H80" s="580"/>
      <c r="I80" s="579">
        <f t="shared" ref="I80" si="90">I81+(K81/60)</f>
        <v>0</v>
      </c>
      <c r="J80" s="579"/>
      <c r="K80" s="579"/>
      <c r="L80" s="580"/>
      <c r="M80" s="579">
        <f t="shared" ref="M80" si="91">M81+(O81/60)</f>
        <v>0</v>
      </c>
      <c r="N80" s="579"/>
      <c r="O80" s="579"/>
      <c r="P80" s="580"/>
      <c r="Q80" s="579">
        <f t="shared" ref="Q80" si="92">Q81+(S81/60)</f>
        <v>0</v>
      </c>
      <c r="R80" s="579"/>
      <c r="S80" s="579"/>
      <c r="T80" s="580"/>
      <c r="U80" s="579">
        <f t="shared" ref="U80" si="93">U81+(W81/60)</f>
        <v>0</v>
      </c>
      <c r="V80" s="579"/>
      <c r="W80" s="579"/>
      <c r="X80" s="580"/>
      <c r="Y80" s="579">
        <f t="shared" ref="Y80" si="94">Y81+(AA81/60)</f>
        <v>0</v>
      </c>
      <c r="Z80" s="579"/>
      <c r="AA80" s="579"/>
      <c r="AB80" s="580"/>
      <c r="AC80" s="579">
        <f t="shared" ref="AC80" si="95">AC81+(AE81/60)</f>
        <v>0</v>
      </c>
      <c r="AD80" s="579"/>
      <c r="AE80" s="579"/>
      <c r="AF80" s="580"/>
      <c r="AG80" s="581">
        <f>SUM(E80:AF80)</f>
        <v>0</v>
      </c>
      <c r="AH80" s="579"/>
      <c r="AI80" s="579"/>
      <c r="AJ80" s="582"/>
      <c r="AK80" s="664"/>
      <c r="AL80" s="28"/>
      <c r="AM80" s="27"/>
      <c r="AN80" s="45"/>
      <c r="AO80" s="40"/>
      <c r="AP80" s="695"/>
      <c r="AQ80" s="696"/>
      <c r="AR80" s="696"/>
      <c r="AS80" s="696"/>
      <c r="AT80" s="696"/>
      <c r="AU80" s="697"/>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64"/>
      <c r="AL81" s="27"/>
      <c r="AM81" s="27"/>
      <c r="AN81" s="45"/>
      <c r="AO81" s="72"/>
      <c r="AP81" s="695"/>
      <c r="AQ81" s="696"/>
      <c r="AR81" s="696"/>
      <c r="AS81" s="696"/>
      <c r="AT81" s="696"/>
      <c r="AU81" s="697"/>
      <c r="AV81" s="41"/>
    </row>
    <row r="82" spans="2:48" ht="9.75" customHeight="1" x14ac:dyDescent="0.2">
      <c r="B82" s="40"/>
      <c r="C82" s="10">
        <f>C66+7</f>
        <v>44620</v>
      </c>
      <c r="D82" s="71" t="s">
        <v>133</v>
      </c>
      <c r="E82" s="598">
        <f>IF(ISNA(C82),"",C82)</f>
        <v>44620</v>
      </c>
      <c r="F82" s="589"/>
      <c r="G82" s="589"/>
      <c r="H82" s="590"/>
      <c r="I82" s="588">
        <f>IF(ISNA(C82),"",E82+1)</f>
        <v>44621</v>
      </c>
      <c r="J82" s="589"/>
      <c r="K82" s="589"/>
      <c r="L82" s="590"/>
      <c r="M82" s="588">
        <f>IF(ISNA(C82),"",I82+1)</f>
        <v>44622</v>
      </c>
      <c r="N82" s="589"/>
      <c r="O82" s="589"/>
      <c r="P82" s="590"/>
      <c r="Q82" s="588">
        <f>IF(ISNA(C82),"",M82+1)</f>
        <v>44623</v>
      </c>
      <c r="R82" s="589"/>
      <c r="S82" s="589"/>
      <c r="T82" s="590"/>
      <c r="U82" s="588">
        <f>IF(ISNA(C82),"",Q82+1)</f>
        <v>44624</v>
      </c>
      <c r="V82" s="589"/>
      <c r="W82" s="589"/>
      <c r="X82" s="590"/>
      <c r="Y82" s="588">
        <f>IF(ISNA(C82),"",U82+1)</f>
        <v>44625</v>
      </c>
      <c r="Z82" s="589"/>
      <c r="AA82" s="589"/>
      <c r="AB82" s="590"/>
      <c r="AC82" s="588">
        <f>IF(ISNA(C82),"",Y82+1)</f>
        <v>44626</v>
      </c>
      <c r="AD82" s="589"/>
      <c r="AE82" s="589"/>
      <c r="AF82" s="614"/>
      <c r="AG82" s="611" t="str">
        <f>IF(AE7="Yes",VLOOKUP(C82,TermTime,2,FALSE),"Week Total")</f>
        <v>Week Total</v>
      </c>
      <c r="AH82" s="612"/>
      <c r="AI82" s="612"/>
      <c r="AJ82" s="613"/>
      <c r="AK82" s="664" t="str">
        <f>IF(OR(AL95&gt;36,AM95="FALSE",AND(AL95&gt;20,AE7="Yes")),"WARNING","")</f>
        <v/>
      </c>
      <c r="AL82" s="27"/>
      <c r="AM82" s="27"/>
      <c r="AN82" s="45"/>
      <c r="AO82" s="72"/>
      <c r="AP82" s="695"/>
      <c r="AQ82" s="696"/>
      <c r="AR82" s="696"/>
      <c r="AS82" s="696"/>
      <c r="AT82" s="696"/>
      <c r="AU82" s="697"/>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00"/>
      <c r="AH83" s="601"/>
      <c r="AI83" s="601"/>
      <c r="AJ83" s="602"/>
      <c r="AK83" s="664"/>
      <c r="AL83" s="27"/>
      <c r="AM83" s="27"/>
      <c r="AN83" s="45"/>
      <c r="AO83" s="72"/>
      <c r="AP83" s="695"/>
      <c r="AQ83" s="696"/>
      <c r="AR83" s="696"/>
      <c r="AS83" s="696"/>
      <c r="AT83" s="696"/>
      <c r="AU83" s="697"/>
      <c r="AV83" s="41"/>
    </row>
    <row r="84" spans="2:48" ht="9.75" hidden="1" customHeight="1" x14ac:dyDescent="0.2">
      <c r="B84" s="40"/>
      <c r="C84" s="10"/>
      <c r="D84" s="104" t="s">
        <v>136</v>
      </c>
      <c r="E84" s="583">
        <f>E85+(G85/60)</f>
        <v>0</v>
      </c>
      <c r="F84" s="577"/>
      <c r="G84" s="577"/>
      <c r="H84" s="578"/>
      <c r="I84" s="577">
        <f t="shared" ref="I84" si="96">I85+(K85/60)</f>
        <v>0</v>
      </c>
      <c r="J84" s="577"/>
      <c r="K84" s="577"/>
      <c r="L84" s="578"/>
      <c r="M84" s="577">
        <f t="shared" ref="M84" si="97">M85+(O85/60)</f>
        <v>0</v>
      </c>
      <c r="N84" s="577"/>
      <c r="O84" s="577"/>
      <c r="P84" s="578"/>
      <c r="Q84" s="577">
        <f t="shared" ref="Q84" si="98">Q85+(S85/60)</f>
        <v>0</v>
      </c>
      <c r="R84" s="577"/>
      <c r="S84" s="577"/>
      <c r="T84" s="578"/>
      <c r="U84" s="577">
        <f t="shared" ref="U84" si="99">U85+(W85/60)</f>
        <v>0</v>
      </c>
      <c r="V84" s="577"/>
      <c r="W84" s="577"/>
      <c r="X84" s="578"/>
      <c r="Y84" s="577">
        <f t="shared" ref="Y84" si="100">Y85+(AA85/60)</f>
        <v>0</v>
      </c>
      <c r="Z84" s="577"/>
      <c r="AA84" s="577"/>
      <c r="AB84" s="578"/>
      <c r="AC84" s="577">
        <f t="shared" ref="AC84" si="101">AC85+(AE85/60)</f>
        <v>0</v>
      </c>
      <c r="AD84" s="577"/>
      <c r="AE84" s="577"/>
      <c r="AF84" s="578"/>
      <c r="AG84" s="583">
        <f>SUM(E84:AF84)</f>
        <v>0</v>
      </c>
      <c r="AH84" s="577"/>
      <c r="AI84" s="577"/>
      <c r="AJ84" s="584"/>
      <c r="AK84" s="664"/>
      <c r="AL84" s="27"/>
      <c r="AM84" s="27"/>
      <c r="AN84" s="45"/>
      <c r="AO84" s="72"/>
      <c r="AP84" s="695"/>
      <c r="AQ84" s="696"/>
      <c r="AR84" s="696"/>
      <c r="AS84" s="696"/>
      <c r="AT84" s="696"/>
      <c r="AU84" s="697"/>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64"/>
      <c r="AL85" s="27"/>
      <c r="AM85" s="27"/>
      <c r="AN85" s="45"/>
      <c r="AO85" s="72"/>
      <c r="AP85" s="695"/>
      <c r="AQ85" s="696"/>
      <c r="AR85" s="696"/>
      <c r="AS85" s="696"/>
      <c r="AT85" s="696"/>
      <c r="AU85" s="697"/>
      <c r="AV85" s="267"/>
    </row>
    <row r="86" spans="2:48" ht="15.75" customHeight="1" x14ac:dyDescent="0.2">
      <c r="B86" s="40"/>
      <c r="C86" s="10"/>
      <c r="D86" s="124" t="s">
        <v>138</v>
      </c>
      <c r="E86" s="633">
        <f>MAX(G83,IF($V$11=$AM$11,$AF$11,HLOOKUP(H83,Rates,$AL$11,FALSE)))</f>
        <v>13.6</v>
      </c>
      <c r="F86" s="586"/>
      <c r="G86" s="586"/>
      <c r="H86" s="587"/>
      <c r="I86" s="585">
        <f>MAX(K83,IF($V$11=$AM$11,$AF$11,HLOOKUP(L83,Rates,$AL$11,FALSE)))</f>
        <v>13.6</v>
      </c>
      <c r="J86" s="586"/>
      <c r="K86" s="586"/>
      <c r="L86" s="587"/>
      <c r="M86" s="585">
        <f>MAX(O83,IF($V$11=$AM$11,$AF$11,HLOOKUP(P83,Rates,$AL$11,FALSE)))</f>
        <v>13.6</v>
      </c>
      <c r="N86" s="586"/>
      <c r="O86" s="586"/>
      <c r="P86" s="587"/>
      <c r="Q86" s="585">
        <f>MAX(S83,IF($V$11=$AM$11,$AF$11,HLOOKUP(T83,Rates,$AL$11,FALSE)))</f>
        <v>13.6</v>
      </c>
      <c r="R86" s="586"/>
      <c r="S86" s="586"/>
      <c r="T86" s="587"/>
      <c r="U86" s="585">
        <f>MAX(W83,IF($V$11=$AM$11,$AF$11,HLOOKUP(X83,Rates,$AL$11,FALSE)))</f>
        <v>13.6</v>
      </c>
      <c r="V86" s="586"/>
      <c r="W86" s="586"/>
      <c r="X86" s="587"/>
      <c r="Y86" s="585">
        <f>MAX(AA83,IF($V$11=$AM$11,$AF$11,HLOOKUP(AB83,Rates,$AL$11,FALSE)))</f>
        <v>13.6</v>
      </c>
      <c r="Z86" s="586"/>
      <c r="AA86" s="586"/>
      <c r="AB86" s="587"/>
      <c r="AC86" s="585">
        <f>MAX(AE83,IF($V$11=$AM$11,$AF$11,HLOOKUP(AF83,Rates,$AL$11,FALSE)))</f>
        <v>13.6</v>
      </c>
      <c r="AD86" s="586"/>
      <c r="AE86" s="586"/>
      <c r="AF86" s="610"/>
      <c r="AG86" s="668">
        <f>IF(AM17&lt;&gt;5,0,SUMPRODUCT(E86:AF86,E84:AF84))</f>
        <v>0</v>
      </c>
      <c r="AH86" s="669"/>
      <c r="AI86" s="669"/>
      <c r="AJ86" s="670"/>
      <c r="AK86" s="664"/>
      <c r="AL86" s="35">
        <f>AG86*IF($V$11="Demonstrator Rate",0.1711,0.1207)</f>
        <v>0</v>
      </c>
      <c r="AM86" s="27"/>
      <c r="AN86" s="45"/>
      <c r="AO86" s="72"/>
      <c r="AP86" s="698"/>
      <c r="AQ86" s="699"/>
      <c r="AR86" s="699"/>
      <c r="AS86" s="699"/>
      <c r="AT86" s="699"/>
      <c r="AU86" s="700"/>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00"/>
      <c r="AH87" s="601"/>
      <c r="AI87" s="601"/>
      <c r="AJ87" s="602"/>
      <c r="AK87" s="664"/>
      <c r="AL87" s="5"/>
      <c r="AM87" s="27"/>
      <c r="AN87" s="45"/>
      <c r="AO87" s="72"/>
      <c r="AP87" s="266"/>
      <c r="AQ87" s="351"/>
      <c r="AR87" s="351"/>
      <c r="AS87" s="351"/>
      <c r="AT87" s="351"/>
      <c r="AU87" s="266"/>
      <c r="AV87" s="267"/>
    </row>
    <row r="88" spans="2:48" ht="15.75" hidden="1" customHeight="1" x14ac:dyDescent="0.2">
      <c r="B88" s="40"/>
      <c r="C88" s="10"/>
      <c r="D88" s="104" t="s">
        <v>140</v>
      </c>
      <c r="E88" s="583">
        <f>E89+(G89/60)</f>
        <v>0</v>
      </c>
      <c r="F88" s="577"/>
      <c r="G88" s="577"/>
      <c r="H88" s="578"/>
      <c r="I88" s="577">
        <f t="shared" ref="I88" si="102">I89+(K89/60)</f>
        <v>0</v>
      </c>
      <c r="J88" s="577"/>
      <c r="K88" s="577"/>
      <c r="L88" s="578"/>
      <c r="M88" s="577">
        <f t="shared" ref="M88" si="103">M89+(O89/60)</f>
        <v>0</v>
      </c>
      <c r="N88" s="577"/>
      <c r="O88" s="577"/>
      <c r="P88" s="578"/>
      <c r="Q88" s="577">
        <f t="shared" ref="Q88" si="104">Q89+(S89/60)</f>
        <v>0</v>
      </c>
      <c r="R88" s="577"/>
      <c r="S88" s="577"/>
      <c r="T88" s="578"/>
      <c r="U88" s="577">
        <f t="shared" ref="U88" si="105">U89+(W89/60)</f>
        <v>0</v>
      </c>
      <c r="V88" s="577"/>
      <c r="W88" s="577"/>
      <c r="X88" s="578"/>
      <c r="Y88" s="577">
        <f t="shared" ref="Y88" si="106">Y89+(AA89/60)</f>
        <v>0</v>
      </c>
      <c r="Z88" s="577"/>
      <c r="AA88" s="577"/>
      <c r="AB88" s="578"/>
      <c r="AC88" s="577">
        <f t="shared" ref="AC88" si="107">AC89+(AE89/60)</f>
        <v>0</v>
      </c>
      <c r="AD88" s="577"/>
      <c r="AE88" s="577"/>
      <c r="AF88" s="578"/>
      <c r="AG88" s="583">
        <f>SUM(E88:AF88)</f>
        <v>0</v>
      </c>
      <c r="AH88" s="577"/>
      <c r="AI88" s="577"/>
      <c r="AJ88" s="584"/>
      <c r="AK88" s="664"/>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64"/>
      <c r="AL89" s="27"/>
      <c r="AM89" s="27"/>
      <c r="AN89" s="45"/>
      <c r="AO89" s="72"/>
      <c r="AP89" s="266"/>
      <c r="AQ89" s="353"/>
      <c r="AR89" s="353"/>
      <c r="AS89" s="353"/>
      <c r="AT89" s="353"/>
      <c r="AU89" s="266"/>
      <c r="AV89" s="267"/>
    </row>
    <row r="90" spans="2:48" ht="15.75" hidden="1" customHeight="1" x14ac:dyDescent="0.2">
      <c r="B90" s="40"/>
      <c r="C90" s="10"/>
      <c r="D90" s="124" t="s">
        <v>142</v>
      </c>
      <c r="E90" s="633">
        <f>MAX(G87,IF($V$13=$AM$13,$AF$13,HLOOKUP(H87,Rates,$AL$13,FALSE)))</f>
        <v>8.91</v>
      </c>
      <c r="F90" s="586"/>
      <c r="G90" s="586"/>
      <c r="H90" s="587"/>
      <c r="I90" s="585">
        <f>MAX(K87,IF($V$13=$AM$13,$AF$13,HLOOKUP(L87,Rates,$AL$13,FALSE)))</f>
        <v>8.91</v>
      </c>
      <c r="J90" s="586"/>
      <c r="K90" s="586"/>
      <c r="L90" s="587"/>
      <c r="M90" s="585">
        <f>MAX(O87,IF($V$13=$AM$13,$AF$13,HLOOKUP(P87,Rates,$AL$13,FALSE)))</f>
        <v>8.91</v>
      </c>
      <c r="N90" s="586"/>
      <c r="O90" s="586"/>
      <c r="P90" s="587"/>
      <c r="Q90" s="585">
        <f>MAX(S87,IF($V$13=$AM$13,$AF$13,HLOOKUP(T87,Rates,$AL$13,FALSE)))</f>
        <v>8.91</v>
      </c>
      <c r="R90" s="586"/>
      <c r="S90" s="586"/>
      <c r="T90" s="587"/>
      <c r="U90" s="585">
        <f>MAX(W87,IF($V$13=$AM$13,$AF$13,HLOOKUP(X87,Rates,$AL$13,FALSE)))</f>
        <v>8.91</v>
      </c>
      <c r="V90" s="586"/>
      <c r="W90" s="586"/>
      <c r="X90" s="587"/>
      <c r="Y90" s="585">
        <f>MAX(AA87,IF($V$13=$AM$13,$AF$13,HLOOKUP(AB87,Rates,$AL$13,FALSE)))</f>
        <v>8.91</v>
      </c>
      <c r="Z90" s="586"/>
      <c r="AA90" s="586"/>
      <c r="AB90" s="587"/>
      <c r="AC90" s="585">
        <f>MAX(AE87,IF($V$13=$AM$13,$AF$13,HLOOKUP(AF87,Rates,$AL$13,FALSE)))</f>
        <v>8.91</v>
      </c>
      <c r="AD90" s="586"/>
      <c r="AE90" s="586"/>
      <c r="AF90" s="610"/>
      <c r="AG90" s="668">
        <f>IF(AM17&lt;&gt;5,0,SUMPRODUCT(E90:AF90,E88:AF88))</f>
        <v>0</v>
      </c>
      <c r="AH90" s="669"/>
      <c r="AI90" s="669"/>
      <c r="AJ90" s="670"/>
      <c r="AK90" s="664"/>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00"/>
      <c r="AH91" s="601"/>
      <c r="AI91" s="601"/>
      <c r="AJ91" s="602"/>
      <c r="AK91" s="664"/>
      <c r="AL91" s="5"/>
      <c r="AM91" s="27"/>
      <c r="AN91" s="45"/>
      <c r="AO91" s="72"/>
      <c r="AP91" s="266"/>
      <c r="AQ91" s="353"/>
      <c r="AR91" s="353"/>
      <c r="AS91" s="353"/>
      <c r="AT91" s="353"/>
      <c r="AU91" s="266"/>
      <c r="AV91" s="267"/>
    </row>
    <row r="92" spans="2:48" ht="0.75" hidden="1" customHeight="1" x14ac:dyDescent="0.2">
      <c r="B92" s="40"/>
      <c r="C92" s="10"/>
      <c r="D92" s="104" t="s">
        <v>144</v>
      </c>
      <c r="E92" s="583">
        <f>E93+(G93/60)</f>
        <v>0</v>
      </c>
      <c r="F92" s="577"/>
      <c r="G92" s="577"/>
      <c r="H92" s="578"/>
      <c r="I92" s="577">
        <f t="shared" ref="I92" si="108">I93+(K93/60)</f>
        <v>0</v>
      </c>
      <c r="J92" s="577"/>
      <c r="K92" s="577"/>
      <c r="L92" s="578"/>
      <c r="M92" s="577">
        <f t="shared" ref="M92" si="109">M93+(O93/60)</f>
        <v>0</v>
      </c>
      <c r="N92" s="577"/>
      <c r="O92" s="577"/>
      <c r="P92" s="578"/>
      <c r="Q92" s="577">
        <f t="shared" ref="Q92" si="110">Q93+(S93/60)</f>
        <v>0</v>
      </c>
      <c r="R92" s="577"/>
      <c r="S92" s="577"/>
      <c r="T92" s="578"/>
      <c r="U92" s="577">
        <f t="shared" ref="U92" si="111">U93+(W93/60)</f>
        <v>0</v>
      </c>
      <c r="V92" s="577"/>
      <c r="W92" s="577"/>
      <c r="X92" s="578"/>
      <c r="Y92" s="577">
        <f t="shared" ref="Y92" si="112">Y93+(AA93/60)</f>
        <v>0</v>
      </c>
      <c r="Z92" s="577"/>
      <c r="AA92" s="577"/>
      <c r="AB92" s="578"/>
      <c r="AC92" s="577">
        <f t="shared" ref="AC92" si="113">AC93+(AE93/60)</f>
        <v>0</v>
      </c>
      <c r="AD92" s="577"/>
      <c r="AE92" s="577"/>
      <c r="AF92" s="578"/>
      <c r="AG92" s="583">
        <f>SUM(E92:AF92)</f>
        <v>0</v>
      </c>
      <c r="AH92" s="577"/>
      <c r="AI92" s="577"/>
      <c r="AJ92" s="584"/>
      <c r="AK92" s="664"/>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64"/>
      <c r="AL93" s="27"/>
      <c r="AM93" s="27"/>
      <c r="AN93" s="45"/>
      <c r="AO93" s="72"/>
      <c r="AP93" s="266"/>
      <c r="AQ93" s="353"/>
      <c r="AR93" s="353"/>
      <c r="AS93" s="353"/>
      <c r="AT93" s="353"/>
      <c r="AU93" s="266"/>
      <c r="AV93" s="267"/>
    </row>
    <row r="94" spans="2:48" ht="15.75" hidden="1" customHeight="1" x14ac:dyDescent="0.2">
      <c r="B94" s="40"/>
      <c r="C94" s="10"/>
      <c r="D94" s="124" t="s">
        <v>146</v>
      </c>
      <c r="E94" s="633">
        <f>MAX(G91,IF($V$15=$AM$15,$AF$15,HLOOKUP(H91,Rates,$AL$15,FALSE)))</f>
        <v>8.91</v>
      </c>
      <c r="F94" s="586"/>
      <c r="G94" s="586"/>
      <c r="H94" s="587"/>
      <c r="I94" s="585">
        <f>MAX(K91,IF($V$15=$AM$15,$AF$15,HLOOKUP(L91,Rates,$AL$15,FALSE)))</f>
        <v>8.91</v>
      </c>
      <c r="J94" s="586"/>
      <c r="K94" s="586"/>
      <c r="L94" s="587"/>
      <c r="M94" s="585">
        <f>MAX(O91,IF($V$15=$AM$15,$AF$15,HLOOKUP(P91,Rates,$AL$15,FALSE)))</f>
        <v>8.91</v>
      </c>
      <c r="N94" s="586"/>
      <c r="O94" s="586"/>
      <c r="P94" s="587"/>
      <c r="Q94" s="585">
        <f>MAX(S91,IF($V$15=$AM$15,$AF$15,HLOOKUP(T91,Rates,$AL$15,FALSE)))</f>
        <v>8.91</v>
      </c>
      <c r="R94" s="586"/>
      <c r="S94" s="586"/>
      <c r="T94" s="587"/>
      <c r="U94" s="585">
        <f>MAX(W91,IF($V$15=$AM$15,$AF$15,HLOOKUP(X91,Rates,$AL$15,FALSE)))</f>
        <v>8.91</v>
      </c>
      <c r="V94" s="586"/>
      <c r="W94" s="586"/>
      <c r="X94" s="587"/>
      <c r="Y94" s="585">
        <f>MAX(AA91,IF($V$15=$AM$15,$AF$15,HLOOKUP(AB91,Rates,$AL$15,FALSE)))</f>
        <v>8.91</v>
      </c>
      <c r="Z94" s="586"/>
      <c r="AA94" s="586"/>
      <c r="AB94" s="587"/>
      <c r="AC94" s="585">
        <f>MAX(AE91,IF($V$15=$AM$15,$AF$15,HLOOKUP(AF91,Rates,$AL$15,FALSE)))</f>
        <v>8.91</v>
      </c>
      <c r="AD94" s="586"/>
      <c r="AE94" s="586"/>
      <c r="AF94" s="610"/>
      <c r="AG94" s="668">
        <f>IF(AM17&lt;&gt;5,0,SUMPRODUCT(E94:AF94,E92:AF92))</f>
        <v>0</v>
      </c>
      <c r="AH94" s="669"/>
      <c r="AI94" s="669"/>
      <c r="AJ94" s="670"/>
      <c r="AK94" s="664"/>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654">
        <f>((E85+(G85/60))*E86)+((E89+(G89/60))*E90)+((E93+(G93/60))*E94)</f>
        <v>0</v>
      </c>
      <c r="F95" s="616"/>
      <c r="G95" s="616"/>
      <c r="H95" s="617"/>
      <c r="I95" s="615">
        <f>((I85+(K85/60))*I86)+((I89+(K89/60))*I90)+((I93+(K93/60))*I94)</f>
        <v>0</v>
      </c>
      <c r="J95" s="616"/>
      <c r="K95" s="616"/>
      <c r="L95" s="617"/>
      <c r="M95" s="615">
        <f>((M85+(O85/60))*M86)+((M89+(O89/60))*M90)+((M93+(O93/60))*M94)</f>
        <v>0</v>
      </c>
      <c r="N95" s="616"/>
      <c r="O95" s="616"/>
      <c r="P95" s="617"/>
      <c r="Q95" s="615">
        <f>((Q85+(S85/60))*Q86)+((Q89+(S89/60))*Q90)+((Q93+(S93/60))*Q94)</f>
        <v>0</v>
      </c>
      <c r="R95" s="616"/>
      <c r="S95" s="616"/>
      <c r="T95" s="617"/>
      <c r="U95" s="615">
        <f>((U85+(W85/60))*U86)+((U89+(W89/60))*U90)+((U93+(W93/60))*U94)</f>
        <v>0</v>
      </c>
      <c r="V95" s="616"/>
      <c r="W95" s="616"/>
      <c r="X95" s="617"/>
      <c r="Y95" s="615">
        <f>((Y85+(AA85/60))*Y86)+((Y89+(AA89/60))*Y90)+((Y93+(AA93/60))*Y94)</f>
        <v>0</v>
      </c>
      <c r="Z95" s="616"/>
      <c r="AA95" s="616"/>
      <c r="AB95" s="617"/>
      <c r="AC95" s="615">
        <f>((AC85+(AE85/60))*AC86)+((AC89+(AE89/60))*AC90)+((AC93+(AE93/60))*AC94)</f>
        <v>0</v>
      </c>
      <c r="AD95" s="616"/>
      <c r="AE95" s="616"/>
      <c r="AF95" s="618"/>
      <c r="AG95" s="604">
        <f>AG94+AG90+AG86</f>
        <v>0</v>
      </c>
      <c r="AH95" s="605"/>
      <c r="AI95" s="605"/>
      <c r="AJ95" s="606"/>
      <c r="AK95" s="664"/>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581">
        <f>E97+(G97/60)</f>
        <v>0</v>
      </c>
      <c r="F96" s="579"/>
      <c r="G96" s="579"/>
      <c r="H96" s="580"/>
      <c r="I96" s="579">
        <f t="shared" ref="I96" si="114">I97+(K97/60)</f>
        <v>0</v>
      </c>
      <c r="J96" s="579"/>
      <c r="K96" s="579"/>
      <c r="L96" s="580"/>
      <c r="M96" s="579">
        <f t="shared" ref="M96" si="115">M97+(O97/60)</f>
        <v>0</v>
      </c>
      <c r="N96" s="579"/>
      <c r="O96" s="579"/>
      <c r="P96" s="580"/>
      <c r="Q96" s="579">
        <f t="shared" ref="Q96" si="116">Q97+(S97/60)</f>
        <v>0</v>
      </c>
      <c r="R96" s="579"/>
      <c r="S96" s="579"/>
      <c r="T96" s="580"/>
      <c r="U96" s="579">
        <f t="shared" ref="U96" si="117">U97+(W97/60)</f>
        <v>0</v>
      </c>
      <c r="V96" s="579"/>
      <c r="W96" s="579"/>
      <c r="X96" s="580"/>
      <c r="Y96" s="579">
        <f t="shared" ref="Y96" si="118">Y97+(AA97/60)</f>
        <v>0</v>
      </c>
      <c r="Z96" s="579"/>
      <c r="AA96" s="579"/>
      <c r="AB96" s="580"/>
      <c r="AC96" s="579">
        <f t="shared" ref="AC96" si="119">AC97+(AE97/60)</f>
        <v>0</v>
      </c>
      <c r="AD96" s="579"/>
      <c r="AE96" s="579"/>
      <c r="AF96" s="580"/>
      <c r="AG96" s="581">
        <f>SUM(E96:AF96)</f>
        <v>0</v>
      </c>
      <c r="AH96" s="579"/>
      <c r="AI96" s="579"/>
      <c r="AJ96" s="582"/>
      <c r="AK96" s="664"/>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64"/>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673" t="s">
        <v>86</v>
      </c>
      <c r="AQ98" s="673"/>
      <c r="AR98" s="673"/>
      <c r="AS98" s="673"/>
      <c r="AT98" s="673"/>
      <c r="AU98" s="673"/>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554" t="s">
        <v>822</v>
      </c>
      <c r="F99" s="555"/>
      <c r="G99" s="555"/>
      <c r="H99" s="555"/>
      <c r="I99" s="555"/>
      <c r="J99" s="555"/>
      <c r="K99" s="555"/>
      <c r="L99" s="555"/>
      <c r="M99" s="556"/>
      <c r="O99" s="469" t="s">
        <v>91</v>
      </c>
      <c r="P99" s="628"/>
      <c r="Q99" s="628"/>
      <c r="R99" s="629" t="s">
        <v>92</v>
      </c>
      <c r="S99" s="628"/>
      <c r="T99" s="471"/>
      <c r="U99" s="716" t="s">
        <v>93</v>
      </c>
      <c r="V99" s="716"/>
      <c r="W99" s="716"/>
      <c r="X99" s="716"/>
      <c r="Y99" s="720" t="s">
        <v>94</v>
      </c>
      <c r="Z99" s="716"/>
      <c r="AA99" s="716"/>
      <c r="AB99" s="629"/>
      <c r="AC99" s="720" t="s">
        <v>95</v>
      </c>
      <c r="AD99" s="716"/>
      <c r="AE99" s="716"/>
      <c r="AF99" s="470"/>
      <c r="AG99" s="469" t="s">
        <v>96</v>
      </c>
      <c r="AH99" s="628"/>
      <c r="AI99" s="628"/>
      <c r="AJ99" s="471"/>
      <c r="AL99" s="48" t="s">
        <v>97</v>
      </c>
      <c r="AM99" s="47" t="str">
        <f>IF((AG95+AG79+AG63+AG47+AG31)&gt;0,"TRUE","FALSE")</f>
        <v>TRUE</v>
      </c>
      <c r="AN99" s="45"/>
      <c r="AO99" s="143"/>
      <c r="AP99" s="671" t="s">
        <v>151</v>
      </c>
      <c r="AQ99" s="671"/>
      <c r="AR99" s="671"/>
      <c r="AS99" s="671"/>
      <c r="AT99" s="671"/>
      <c r="AU99" s="671"/>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656" t="s">
        <v>98</v>
      </c>
      <c r="E100" s="656"/>
      <c r="F100" s="656"/>
      <c r="G100" s="656"/>
      <c r="H100" s="656"/>
      <c r="I100" s="656"/>
      <c r="J100" s="656"/>
      <c r="K100" s="655" t="s">
        <v>99</v>
      </c>
      <c r="L100" s="655"/>
      <c r="M100" s="655"/>
      <c r="O100" s="659">
        <f>DH155</f>
        <v>4000</v>
      </c>
      <c r="P100" s="660"/>
      <c r="Q100" s="660"/>
      <c r="R100" s="661">
        <f>DI155</f>
        <v>13.6</v>
      </c>
      <c r="S100" s="662"/>
      <c r="T100" s="663"/>
      <c r="U100" s="717">
        <f>DJ155</f>
        <v>12</v>
      </c>
      <c r="V100" s="630"/>
      <c r="W100" s="630"/>
      <c r="X100" s="630"/>
      <c r="Y100" s="630">
        <f>DK155</f>
        <v>0</v>
      </c>
      <c r="Z100" s="630"/>
      <c r="AA100" s="630"/>
      <c r="AB100" s="630"/>
      <c r="AC100" s="630">
        <f>DL155</f>
        <v>0</v>
      </c>
      <c r="AD100" s="630"/>
      <c r="AE100" s="630"/>
      <c r="AF100" s="631"/>
      <c r="AG100" s="703">
        <f>DM155</f>
        <v>163.19999999999999</v>
      </c>
      <c r="AH100" s="660"/>
      <c r="AI100" s="660"/>
      <c r="AJ100" s="704"/>
      <c r="AL100" s="5">
        <f>VLOOKUP(E11,TypeFPE,2,FALSE)</f>
        <v>4000</v>
      </c>
      <c r="AM100" s="35" t="str">
        <f>IF((AG86+AG70+AG54+AG38+AG22)&gt;0,"TRUE","FALSE")</f>
        <v>TRUE</v>
      </c>
      <c r="AN100" s="45"/>
      <c r="AO100" s="144"/>
      <c r="AP100" s="672"/>
      <c r="AQ100" s="672"/>
      <c r="AR100" s="672"/>
      <c r="AS100" s="672"/>
      <c r="AT100" s="672"/>
      <c r="AU100" s="672"/>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57" t="s">
        <v>102</v>
      </c>
      <c r="E101" s="657"/>
      <c r="F101" s="657"/>
      <c r="G101" s="657"/>
      <c r="H101" s="657"/>
      <c r="I101" s="657"/>
      <c r="J101" s="657"/>
      <c r="K101" s="548">
        <f>'UniWorkforce Expenses Claim'!AF34</f>
        <v>0</v>
      </c>
      <c r="L101" s="549"/>
      <c r="M101" s="550"/>
      <c r="N101" s="258"/>
      <c r="O101" s="619" t="str">
        <f t="shared" ref="O101:O105" si="120">DH156</f>
        <v/>
      </c>
      <c r="P101" s="620"/>
      <c r="Q101" s="621"/>
      <c r="R101" s="607" t="str">
        <f t="shared" ref="R101:R105" si="121">DI156</f>
        <v/>
      </c>
      <c r="S101" s="608"/>
      <c r="T101" s="609"/>
      <c r="U101" s="718" t="str">
        <f t="shared" ref="U101:U105" si="122">DJ156</f>
        <v/>
      </c>
      <c r="V101" s="626"/>
      <c r="W101" s="626"/>
      <c r="X101" s="627"/>
      <c r="Y101" s="625" t="str">
        <f t="shared" ref="Y101:Y105" si="123">DK156</f>
        <v/>
      </c>
      <c r="Z101" s="626"/>
      <c r="AA101" s="626"/>
      <c r="AB101" s="627"/>
      <c r="AC101" s="625" t="str">
        <f t="shared" ref="AC101:AC105" si="124">DL156</f>
        <v/>
      </c>
      <c r="AD101" s="626"/>
      <c r="AE101" s="626"/>
      <c r="AF101" s="632"/>
      <c r="AG101" s="622" t="str">
        <f t="shared" ref="AG101:AG105" si="125">DM156</f>
        <v/>
      </c>
      <c r="AH101" s="623"/>
      <c r="AI101" s="623"/>
      <c r="AJ101" s="624"/>
      <c r="AL101" s="5" t="str">
        <f>VLOOKUP(E13,TypeFPE,2,FALSE)</f>
        <v>----</v>
      </c>
      <c r="AM101" s="35" t="str">
        <f>IF((AG90+AG74+AG58+AG42+AG26)&gt;0,"TRUE","FALSE")</f>
        <v>FALSE</v>
      </c>
      <c r="AN101" s="45"/>
      <c r="AO101" s="145"/>
      <c r="AP101" s="679" t="str">
        <f>IF(OR(E7="Please select",Z5=0,Z3="Please enter"),"[Pay Ref No] - [Surname] - [Claim Period].xlsx",CONCATENATE(Z5," - ",Z3," - ",VLOOKUP(E7,ClaimPeriods,5,FALSE),".xlsx"))</f>
        <v>2915413 - Giamouridis - Feb22.xlsx</v>
      </c>
      <c r="AQ101" s="680"/>
      <c r="AR101" s="680"/>
      <c r="AS101" s="680"/>
      <c r="AT101" s="680"/>
      <c r="AU101" s="681"/>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57" t="s">
        <v>103</v>
      </c>
      <c r="E102" s="657"/>
      <c r="F102" s="657"/>
      <c r="G102" s="657"/>
      <c r="H102" s="657"/>
      <c r="I102" s="657"/>
      <c r="J102" s="657"/>
      <c r="K102" s="551">
        <f>'UniWorkforce Expenses Claim'!AF36</f>
        <v>0</v>
      </c>
      <c r="L102" s="552"/>
      <c r="M102" s="553"/>
      <c r="N102" s="64"/>
      <c r="O102" s="619" t="str">
        <f t="shared" si="120"/>
        <v/>
      </c>
      <c r="P102" s="620"/>
      <c r="Q102" s="621"/>
      <c r="R102" s="607" t="str">
        <f t="shared" si="121"/>
        <v/>
      </c>
      <c r="S102" s="608"/>
      <c r="T102" s="609"/>
      <c r="U102" s="718" t="str">
        <f t="shared" si="122"/>
        <v/>
      </c>
      <c r="V102" s="626"/>
      <c r="W102" s="626"/>
      <c r="X102" s="627"/>
      <c r="Y102" s="625" t="str">
        <f t="shared" si="123"/>
        <v/>
      </c>
      <c r="Z102" s="626"/>
      <c r="AA102" s="626"/>
      <c r="AB102" s="627"/>
      <c r="AC102" s="625" t="str">
        <f t="shared" si="124"/>
        <v/>
      </c>
      <c r="AD102" s="626"/>
      <c r="AE102" s="626"/>
      <c r="AF102" s="632"/>
      <c r="AG102" s="622" t="str">
        <f t="shared" si="125"/>
        <v/>
      </c>
      <c r="AH102" s="623"/>
      <c r="AI102" s="623"/>
      <c r="AJ102" s="624"/>
      <c r="AL102" s="5" t="str">
        <f>VLOOKUP(E15,TypeFPE,2,FALSE)</f>
        <v>----</v>
      </c>
      <c r="AM102" s="35" t="str">
        <f>IF((AG94+AG78+AG62+AG46+AG30)&gt;0,"TRUE","FALSE")</f>
        <v>FALSE</v>
      </c>
      <c r="AN102" s="45"/>
      <c r="AO102" s="143"/>
      <c r="AP102" s="682" t="s">
        <v>152</v>
      </c>
      <c r="AQ102" s="682"/>
      <c r="AR102" s="682"/>
      <c r="AS102" s="682"/>
      <c r="AT102" s="682"/>
      <c r="AU102" s="682"/>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686" t="s">
        <v>104</v>
      </c>
      <c r="E103" s="686"/>
      <c r="F103" s="686"/>
      <c r="G103" s="686"/>
      <c r="H103" s="686"/>
      <c r="I103" s="686"/>
      <c r="J103" s="686"/>
      <c r="K103" s="686"/>
      <c r="L103" s="686"/>
      <c r="M103" s="686"/>
      <c r="N103" s="259"/>
      <c r="O103" s="619" t="str">
        <f t="shared" si="120"/>
        <v/>
      </c>
      <c r="P103" s="620"/>
      <c r="Q103" s="621"/>
      <c r="R103" s="607" t="str">
        <f t="shared" si="121"/>
        <v/>
      </c>
      <c r="S103" s="608"/>
      <c r="T103" s="609"/>
      <c r="U103" s="718" t="str">
        <f t="shared" si="122"/>
        <v/>
      </c>
      <c r="V103" s="626"/>
      <c r="W103" s="626"/>
      <c r="X103" s="627"/>
      <c r="Y103" s="625" t="str">
        <f t="shared" si="123"/>
        <v/>
      </c>
      <c r="Z103" s="626"/>
      <c r="AA103" s="626"/>
      <c r="AB103" s="627"/>
      <c r="AC103" s="625" t="str">
        <f t="shared" si="124"/>
        <v/>
      </c>
      <c r="AD103" s="626"/>
      <c r="AE103" s="626"/>
      <c r="AF103" s="632"/>
      <c r="AG103" s="622" t="str">
        <f t="shared" si="125"/>
        <v/>
      </c>
      <c r="AH103" s="623"/>
      <c r="AI103" s="623"/>
      <c r="AJ103" s="624"/>
      <c r="AN103" s="45"/>
      <c r="AO103" s="146"/>
      <c r="AP103" s="682"/>
      <c r="AQ103" s="682"/>
      <c r="AR103" s="682"/>
      <c r="AS103" s="682"/>
      <c r="AT103" s="682"/>
      <c r="AU103" s="682"/>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449"/>
      <c r="E104" s="449"/>
      <c r="F104" s="449"/>
      <c r="G104" s="449"/>
      <c r="H104" s="449"/>
      <c r="I104" s="449"/>
      <c r="J104" s="449"/>
      <c r="K104" s="449"/>
      <c r="L104" s="449"/>
      <c r="M104" s="449"/>
      <c r="N104" s="259"/>
      <c r="O104" s="619" t="str">
        <f t="shared" si="120"/>
        <v/>
      </c>
      <c r="P104" s="620"/>
      <c r="Q104" s="621"/>
      <c r="R104" s="607" t="str">
        <f t="shared" si="121"/>
        <v/>
      </c>
      <c r="S104" s="608"/>
      <c r="T104" s="609"/>
      <c r="U104" s="718" t="str">
        <f t="shared" si="122"/>
        <v/>
      </c>
      <c r="V104" s="626"/>
      <c r="W104" s="626"/>
      <c r="X104" s="627"/>
      <c r="Y104" s="625" t="str">
        <f t="shared" si="123"/>
        <v/>
      </c>
      <c r="Z104" s="626"/>
      <c r="AA104" s="626"/>
      <c r="AB104" s="627"/>
      <c r="AC104" s="625" t="str">
        <f t="shared" si="124"/>
        <v/>
      </c>
      <c r="AD104" s="626"/>
      <c r="AE104" s="626"/>
      <c r="AF104" s="632"/>
      <c r="AG104" s="622" t="str">
        <f t="shared" si="125"/>
        <v/>
      </c>
      <c r="AH104" s="623"/>
      <c r="AI104" s="623"/>
      <c r="AJ104" s="624"/>
      <c r="AL104" s="48"/>
      <c r="AM104" s="47"/>
      <c r="AN104" s="45"/>
      <c r="AO104" s="72"/>
      <c r="AP104" s="682"/>
      <c r="AQ104" s="682"/>
      <c r="AR104" s="682"/>
      <c r="AS104" s="682"/>
      <c r="AT104" s="682"/>
      <c r="AU104" s="682"/>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569">
        <v>1</v>
      </c>
      <c r="F105" s="570"/>
      <c r="G105" s="570"/>
      <c r="H105" s="260" t="s">
        <v>17</v>
      </c>
      <c r="I105" s="707">
        <v>9</v>
      </c>
      <c r="J105" s="708"/>
      <c r="K105" s="708"/>
      <c r="L105" s="708"/>
      <c r="M105" s="709"/>
      <c r="N105" s="150"/>
      <c r="O105" s="749" t="str">
        <f t="shared" si="120"/>
        <v/>
      </c>
      <c r="P105" s="750"/>
      <c r="Q105" s="751"/>
      <c r="R105" s="710" t="str">
        <f t="shared" si="121"/>
        <v/>
      </c>
      <c r="S105" s="711"/>
      <c r="T105" s="712"/>
      <c r="U105" s="719" t="str">
        <f t="shared" si="122"/>
        <v/>
      </c>
      <c r="V105" s="676"/>
      <c r="W105" s="676"/>
      <c r="X105" s="677"/>
      <c r="Y105" s="675" t="str">
        <f t="shared" si="123"/>
        <v/>
      </c>
      <c r="Z105" s="676"/>
      <c r="AA105" s="676"/>
      <c r="AB105" s="677"/>
      <c r="AC105" s="675" t="str">
        <f t="shared" si="124"/>
        <v/>
      </c>
      <c r="AD105" s="676"/>
      <c r="AE105" s="676"/>
      <c r="AF105" s="678"/>
      <c r="AG105" s="713" t="str">
        <f t="shared" si="125"/>
        <v/>
      </c>
      <c r="AH105" s="714"/>
      <c r="AI105" s="714"/>
      <c r="AJ105" s="715"/>
      <c r="AL105" s="48"/>
      <c r="AM105" s="47"/>
      <c r="AN105" s="45"/>
      <c r="AO105" s="72"/>
      <c r="AP105" s="682"/>
      <c r="AQ105" s="682"/>
      <c r="AR105" s="682"/>
      <c r="AS105" s="682"/>
      <c r="AT105" s="682"/>
      <c r="AU105" s="682"/>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569">
        <v>0</v>
      </c>
      <c r="F106" s="570"/>
      <c r="G106" s="706"/>
      <c r="H106" s="31" t="s">
        <v>17</v>
      </c>
      <c r="I106" s="707">
        <v>0</v>
      </c>
      <c r="J106" s="708"/>
      <c r="K106" s="708"/>
      <c r="L106" s="708"/>
      <c r="M106" s="709"/>
      <c r="N106" s="259"/>
      <c r="O106" s="724" t="s">
        <v>153</v>
      </c>
      <c r="P106" s="725"/>
      <c r="Q106" s="725"/>
      <c r="R106" s="725"/>
      <c r="S106" s="725"/>
      <c r="T106" s="726"/>
      <c r="U106" s="727">
        <f>DJ144</f>
        <v>0</v>
      </c>
      <c r="V106" s="727"/>
      <c r="W106" s="727"/>
      <c r="X106" s="728"/>
      <c r="Y106" s="729">
        <f>DK144</f>
        <v>0</v>
      </c>
      <c r="Z106" s="727"/>
      <c r="AA106" s="727"/>
      <c r="AB106" s="728"/>
      <c r="AC106" s="729">
        <f>DL144</f>
        <v>0</v>
      </c>
      <c r="AD106" s="727"/>
      <c r="AE106" s="727"/>
      <c r="AF106" s="730"/>
      <c r="AG106" s="731">
        <f>DM144</f>
        <v>0</v>
      </c>
      <c r="AH106" s="732"/>
      <c r="AI106" s="732"/>
      <c r="AJ106" s="733"/>
      <c r="AL106" s="48"/>
      <c r="AM106" s="47"/>
      <c r="AN106" s="45"/>
      <c r="AO106" s="144"/>
      <c r="AP106" s="682"/>
      <c r="AQ106" s="682"/>
      <c r="AR106" s="682"/>
      <c r="AS106" s="682"/>
      <c r="AT106" s="682"/>
      <c r="AU106" s="682"/>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569">
        <v>0</v>
      </c>
      <c r="F107" s="570"/>
      <c r="G107" s="706"/>
      <c r="H107" s="31" t="s">
        <v>17</v>
      </c>
      <c r="I107" s="707">
        <v>0</v>
      </c>
      <c r="J107" s="708"/>
      <c r="K107" s="708"/>
      <c r="L107" s="708"/>
      <c r="M107" s="709"/>
      <c r="N107" s="150"/>
      <c r="O107" s="734" t="s">
        <v>154</v>
      </c>
      <c r="P107" s="735"/>
      <c r="Q107" s="735"/>
      <c r="R107" s="735"/>
      <c r="S107" s="735"/>
      <c r="T107" s="736"/>
      <c r="U107" s="737">
        <f>DJ145</f>
        <v>0</v>
      </c>
      <c r="V107" s="738"/>
      <c r="W107" s="738"/>
      <c r="X107" s="739"/>
      <c r="Y107" s="740">
        <f>DK145</f>
        <v>0</v>
      </c>
      <c r="Z107" s="738"/>
      <c r="AA107" s="738"/>
      <c r="AB107" s="739"/>
      <c r="AC107" s="740">
        <f>DL145</f>
        <v>0</v>
      </c>
      <c r="AD107" s="738"/>
      <c r="AE107" s="738"/>
      <c r="AF107" s="741"/>
      <c r="AG107" s="737">
        <f>DM145</f>
        <v>0</v>
      </c>
      <c r="AH107" s="738"/>
      <c r="AI107" s="738"/>
      <c r="AJ107" s="741"/>
      <c r="AL107" s="48"/>
      <c r="AM107" s="47"/>
      <c r="AN107" s="45"/>
      <c r="AO107" s="144"/>
      <c r="AP107" s="682"/>
      <c r="AQ107" s="682"/>
      <c r="AR107" s="682"/>
      <c r="AS107" s="682"/>
      <c r="AT107" s="682"/>
      <c r="AU107" s="682"/>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742" t="s">
        <v>105</v>
      </c>
      <c r="P108" s="743"/>
      <c r="Q108" s="743"/>
      <c r="R108" s="743"/>
      <c r="S108" s="743"/>
      <c r="T108" s="744"/>
      <c r="U108" s="745">
        <f>DJ146</f>
        <v>27.923520000000003</v>
      </c>
      <c r="V108" s="745"/>
      <c r="W108" s="745"/>
      <c r="X108" s="746"/>
      <c r="Y108" s="747">
        <f>DK146</f>
        <v>0</v>
      </c>
      <c r="Z108" s="745"/>
      <c r="AA108" s="745"/>
      <c r="AB108" s="746"/>
      <c r="AC108" s="747">
        <f>DL146</f>
        <v>0</v>
      </c>
      <c r="AD108" s="745"/>
      <c r="AE108" s="745"/>
      <c r="AF108" s="748"/>
      <c r="AG108" s="665">
        <f>DM146</f>
        <v>27.923520000000003</v>
      </c>
      <c r="AH108" s="666"/>
      <c r="AI108" s="666"/>
      <c r="AJ108" s="667"/>
      <c r="AL108" s="5">
        <v>4022</v>
      </c>
      <c r="AM108" s="35">
        <f>AL94+AL90+AL86+AL78+AL74+AL70+AL62+AL58+AL54+AL46+AL42+AL38+AL30+AL26+AL22</f>
        <v>27.923520000000003</v>
      </c>
      <c r="AN108" s="45"/>
      <c r="AO108" s="144"/>
      <c r="AP108" s="682"/>
      <c r="AQ108" s="682"/>
      <c r="AR108" s="682"/>
      <c r="AS108" s="682"/>
      <c r="AT108" s="682"/>
      <c r="AU108" s="682"/>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721" t="s">
        <v>107</v>
      </c>
      <c r="Y109" s="722"/>
      <c r="Z109" s="722"/>
      <c r="AA109" s="722"/>
      <c r="AB109" s="722"/>
      <c r="AC109" s="722"/>
      <c r="AD109" s="722"/>
      <c r="AE109" s="722"/>
      <c r="AF109" s="723"/>
      <c r="AG109" s="683">
        <f>SUM(AG100:AJ108)</f>
        <v>191.12351999999998</v>
      </c>
      <c r="AH109" s="684"/>
      <c r="AI109" s="684"/>
      <c r="AJ109" s="684"/>
      <c r="AL109" s="48"/>
      <c r="AM109" s="47"/>
      <c r="AN109" s="45"/>
      <c r="AO109" s="144"/>
      <c r="AP109" s="682"/>
      <c r="AQ109" s="682"/>
      <c r="AR109" s="682"/>
      <c r="AS109" s="682"/>
      <c r="AT109" s="682"/>
      <c r="AU109" s="682"/>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682"/>
      <c r="AQ110" s="682"/>
      <c r="AR110" s="682"/>
      <c r="AS110" s="682"/>
      <c r="AT110" s="682"/>
      <c r="AU110" s="682"/>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560" t="s">
        <v>59</v>
      </c>
      <c r="F111" s="561"/>
      <c r="G111" s="561"/>
      <c r="H111" s="561"/>
      <c r="I111" s="561"/>
      <c r="J111" s="561"/>
      <c r="K111" s="561"/>
      <c r="L111" s="561"/>
      <c r="M111" s="562"/>
      <c r="N111" s="150"/>
      <c r="O111" s="475" t="s">
        <v>110</v>
      </c>
      <c r="P111" s="475"/>
      <c r="Q111" s="475"/>
      <c r="R111" s="475"/>
      <c r="S111" s="475"/>
      <c r="T111" s="475"/>
      <c r="U111" s="475"/>
      <c r="V111" s="475"/>
      <c r="W111" s="475"/>
      <c r="X111" s="475"/>
      <c r="Y111" s="685"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685"/>
      <c r="AA111" s="685"/>
      <c r="AB111" s="685"/>
      <c r="AC111" s="685"/>
      <c r="AD111" s="685"/>
      <c r="AE111" s="685"/>
      <c r="AF111" s="685"/>
      <c r="AG111" s="685"/>
      <c r="AH111" s="685"/>
      <c r="AI111" s="685"/>
      <c r="AJ111" s="685"/>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508" t="s">
        <v>112</v>
      </c>
      <c r="C113" s="509"/>
      <c r="D113" s="509"/>
      <c r="E113" s="509"/>
      <c r="F113" s="509"/>
      <c r="G113" s="509"/>
      <c r="H113" s="509"/>
      <c r="I113" s="509"/>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10"/>
    </row>
    <row r="114" spans="2:79" ht="15" customHeight="1" x14ac:dyDescent="0.2">
      <c r="B114" s="511" t="s">
        <v>156</v>
      </c>
      <c r="C114" s="512"/>
      <c r="D114" s="512"/>
      <c r="E114" s="512"/>
      <c r="F114" s="512"/>
      <c r="G114" s="512"/>
      <c r="H114" s="512"/>
      <c r="I114" s="512"/>
      <c r="J114" s="512"/>
      <c r="K114" s="512"/>
      <c r="L114" s="512"/>
      <c r="M114" s="512"/>
      <c r="N114" s="512"/>
      <c r="O114" s="512"/>
      <c r="P114" s="512"/>
      <c r="Q114" s="512"/>
      <c r="R114" s="512"/>
      <c r="S114" s="512"/>
      <c r="T114" s="512"/>
      <c r="U114" s="512"/>
      <c r="V114" s="512"/>
      <c r="W114" s="512"/>
      <c r="X114" s="512"/>
      <c r="Y114" s="512"/>
      <c r="Z114" s="512"/>
      <c r="AA114" s="512"/>
      <c r="AB114" s="512"/>
      <c r="AC114" s="512"/>
      <c r="AD114" s="512"/>
      <c r="AE114" s="512"/>
      <c r="AF114" s="512"/>
      <c r="AG114" s="512"/>
      <c r="AH114" s="512"/>
      <c r="AI114" s="512"/>
      <c r="AJ114" s="512"/>
      <c r="AK114" s="512"/>
      <c r="AL114" s="512"/>
      <c r="AM114" s="512"/>
      <c r="AN114" s="512"/>
      <c r="AO114" s="512"/>
      <c r="AP114" s="512"/>
      <c r="AQ114" s="512"/>
      <c r="AR114" s="512"/>
      <c r="AS114" s="512"/>
      <c r="AT114" s="512"/>
      <c r="AU114" s="512"/>
      <c r="AV114" s="513"/>
    </row>
    <row r="115" spans="2:79" x14ac:dyDescent="0.2">
      <c r="B115" s="514"/>
      <c r="C115" s="514"/>
      <c r="D115" s="514"/>
      <c r="E115" s="514"/>
      <c r="F115" s="514"/>
      <c r="G115" s="514"/>
      <c r="H115" s="514"/>
      <c r="I115" s="514"/>
      <c r="J115" s="514"/>
      <c r="K115" s="514"/>
      <c r="L115" s="514"/>
      <c r="M115" s="514"/>
      <c r="N115" s="514"/>
      <c r="O115" s="514"/>
      <c r="P115" s="514"/>
      <c r="Q115" s="514"/>
      <c r="R115" s="514"/>
      <c r="S115" s="514"/>
      <c r="T115" s="514"/>
      <c r="U115" s="514"/>
      <c r="V115" s="514"/>
      <c r="W115" s="514"/>
      <c r="X115" s="514"/>
      <c r="Y115" s="514"/>
      <c r="Z115" s="514"/>
      <c r="AA115" s="514"/>
      <c r="AB115" s="514"/>
      <c r="AC115" s="514"/>
      <c r="AD115" s="514"/>
      <c r="AE115" s="514"/>
      <c r="AF115" s="514"/>
      <c r="AG115" s="514"/>
      <c r="AH115" s="514"/>
      <c r="AI115" s="514"/>
      <c r="AJ115" s="514"/>
      <c r="AK115" s="514"/>
      <c r="AL115" s="514"/>
      <c r="AM115" s="514"/>
      <c r="AN115" s="514"/>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0</v>
      </c>
      <c r="BB120" s="197">
        <f>$E22</f>
        <v>13.6</v>
      </c>
      <c r="BD120" s="208">
        <v>2</v>
      </c>
      <c r="BE120" s="208">
        <v>1</v>
      </c>
      <c r="BF120" s="208">
        <v>1</v>
      </c>
      <c r="BG120" s="204">
        <f>$E36</f>
        <v>4</v>
      </c>
      <c r="BH120" s="206">
        <f>$E38</f>
        <v>13.6</v>
      </c>
      <c r="BJ120" s="217">
        <v>3</v>
      </c>
      <c r="BK120" s="217">
        <v>1</v>
      </c>
      <c r="BL120" s="217">
        <v>1</v>
      </c>
      <c r="BM120" s="213">
        <f>$E52</f>
        <v>4</v>
      </c>
      <c r="BN120" s="215">
        <f>$E54</f>
        <v>13.6</v>
      </c>
      <c r="BP120" s="226">
        <v>4</v>
      </c>
      <c r="BQ120" s="226">
        <v>1</v>
      </c>
      <c r="BR120" s="226">
        <v>1</v>
      </c>
      <c r="BS120" s="222">
        <f>$E68</f>
        <v>4</v>
      </c>
      <c r="BT120" s="224">
        <f>$E70</f>
        <v>13.6</v>
      </c>
      <c r="BV120" s="235">
        <v>5</v>
      </c>
      <c r="BW120" s="235">
        <v>1</v>
      </c>
      <c r="BX120" s="235">
        <v>1</v>
      </c>
      <c r="BY120" s="231">
        <f>IF(AM17&lt;&gt;5,0,$E84)</f>
        <v>0</v>
      </c>
      <c r="BZ120" s="233">
        <f>IF(AM17&lt;&gt;5,0,$E86)</f>
        <v>0</v>
      </c>
      <c r="CA120" s="233">
        <f>$E86</f>
        <v>13.6</v>
      </c>
    </row>
    <row r="121" spans="2:79" hidden="1" x14ac:dyDescent="0.2">
      <c r="AX121" s="199">
        <v>1</v>
      </c>
      <c r="AY121" s="199">
        <v>1</v>
      </c>
      <c r="AZ121" s="199">
        <v>2</v>
      </c>
      <c r="BA121" s="195">
        <f>$I20</f>
        <v>0</v>
      </c>
      <c r="BB121" s="197">
        <f>$I22</f>
        <v>13.6</v>
      </c>
      <c r="BD121" s="208">
        <v>2</v>
      </c>
      <c r="BE121" s="208">
        <v>1</v>
      </c>
      <c r="BF121" s="208">
        <v>2</v>
      </c>
      <c r="BG121" s="204">
        <f>$I36</f>
        <v>0</v>
      </c>
      <c r="BH121" s="206">
        <f>$I38</f>
        <v>13.6</v>
      </c>
      <c r="BJ121" s="217">
        <v>3</v>
      </c>
      <c r="BK121" s="217">
        <v>1</v>
      </c>
      <c r="BL121" s="217">
        <v>2</v>
      </c>
      <c r="BM121" s="213">
        <f>$I52</f>
        <v>0</v>
      </c>
      <c r="BN121" s="215">
        <f>$I54</f>
        <v>13.6</v>
      </c>
      <c r="BP121" s="226">
        <v>4</v>
      </c>
      <c r="BQ121" s="226">
        <v>1</v>
      </c>
      <c r="BR121" s="226">
        <v>2</v>
      </c>
      <c r="BS121" s="222">
        <f>$I68</f>
        <v>0</v>
      </c>
      <c r="BT121" s="224">
        <f>$I70</f>
        <v>13.6</v>
      </c>
      <c r="BV121" s="235">
        <v>5</v>
      </c>
      <c r="BW121" s="235">
        <v>1</v>
      </c>
      <c r="BX121" s="235">
        <v>2</v>
      </c>
      <c r="BY121" s="231">
        <f>IF(AM17&lt;&gt;5,0,$I84)</f>
        <v>0</v>
      </c>
      <c r="BZ121" s="233">
        <f>IF(AM17&lt;&gt;5,0,$I86)</f>
        <v>0</v>
      </c>
      <c r="CA121" s="233">
        <f>$I86</f>
        <v>13.6</v>
      </c>
    </row>
    <row r="122" spans="2:79" hidden="1"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0</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hidden="1"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Ignore me</v>
      </c>
      <c r="AY143" s="200">
        <f>$I$105</f>
        <v>9</v>
      </c>
      <c r="AZ143" s="199">
        <f>$AL$100</f>
        <v>4000</v>
      </c>
      <c r="BA143" s="195">
        <f>(1-($E$106+$E$107))*SUMIF(BB$120:BB$126,BB143,BA$120:BA$126)</f>
        <v>0</v>
      </c>
      <c r="BB143" s="197">
        <f>MIN(BB$120:BB$126)</f>
        <v>13.6</v>
      </c>
      <c r="BD143" s="208" t="str">
        <f t="shared" ref="BD143:BD160" si="127">IF(OR(BG143=0,BE143=0),"Ignore me","Claim")</f>
        <v>Claim</v>
      </c>
      <c r="BE143" s="209">
        <f>$I$105</f>
        <v>9</v>
      </c>
      <c r="BF143" s="208">
        <f>$AL$100</f>
        <v>4000</v>
      </c>
      <c r="BG143" s="204">
        <f>(1-($E$106+$E$107))*SUMIF(BH$120:BH$126,BH143,BG$120:BG$126)</f>
        <v>4</v>
      </c>
      <c r="BH143" s="206">
        <f>MIN(BH$120:BH$126)</f>
        <v>13.6</v>
      </c>
      <c r="BJ143" s="217" t="str">
        <f t="shared" ref="BJ143:BJ160" si="128">IF(OR(BM143=0,BK143=0),"Ignore me","Claim")</f>
        <v>Claim</v>
      </c>
      <c r="BK143" s="218">
        <f>$I$105</f>
        <v>9</v>
      </c>
      <c r="BL143" s="217">
        <f>$AL$100</f>
        <v>4000</v>
      </c>
      <c r="BM143" s="213">
        <f>(1-($E$106+$E$107))*SUMIF(BN$120:BN$126,BN143,BM$120:BM$126)</f>
        <v>4</v>
      </c>
      <c r="BN143" s="215">
        <f>MIN(BN$120:BN$126)</f>
        <v>13.6</v>
      </c>
      <c r="BP143" s="226" t="str">
        <f t="shared" ref="BP143:BP160" si="129">IF(OR(BS143=0,BQ143=0),"Ignore me","Claim")</f>
        <v>Claim</v>
      </c>
      <c r="BQ143" s="227">
        <f>$I$105</f>
        <v>9</v>
      </c>
      <c r="BR143" s="226">
        <f>$AL$100</f>
        <v>4000</v>
      </c>
      <c r="BS143" s="222">
        <f>(1-($E$106+$E$107))*SUMIF(BT$120:BT$126,BT143,BS$120:BS$126)</f>
        <v>4</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0</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27.923520000000003</v>
      </c>
      <c r="DK146" s="255">
        <f>DM146*$E$106</f>
        <v>0</v>
      </c>
      <c r="DL146" s="255">
        <f>DM146*$E$107</f>
        <v>0</v>
      </c>
      <c r="DM146" s="35">
        <f>AM108</f>
        <v>27.923520000000003</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12</v>
      </c>
      <c r="DK147" s="28">
        <f>SUMIFS($DD$144:$DD$233,$DC$144:$DC$233,$DH147,$DB$144:$DB$233,DK$143,$DA$144:$DA$233,$DG147,$DE$144:$DE$233,$DI147)</f>
        <v>0</v>
      </c>
      <c r="DL147" s="28">
        <f>SUMIFS($DD$144:$DD$233,$DC$144:$DC$233,$DH147,$DB$144:$DB$233,DL$143,$DA$144:$DA$233,$DG147,$DE$144:$DE$233,$DI147)</f>
        <v>0</v>
      </c>
      <c r="DM147" s="35">
        <f>DI147*SUM(DJ147:DL147)</f>
        <v>163.19999999999999</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12</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163.19999999999999</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4</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44592</v>
      </c>
      <c r="D173" s="384">
        <f>E$31</f>
        <v>0</v>
      </c>
      <c r="E173" s="378"/>
      <c r="F173" s="378"/>
      <c r="G173" s="378"/>
      <c r="H173" s="378"/>
      <c r="I173" s="378"/>
      <c r="J173" s="378"/>
      <c r="K173" s="378"/>
      <c r="L173" s="378"/>
      <c r="M173" s="378"/>
      <c r="N173" s="378"/>
      <c r="O173" s="603"/>
      <c r="P173" s="603"/>
      <c r="Q173" s="603"/>
      <c r="R173" s="603"/>
      <c r="S173" s="603"/>
      <c r="AR173" s="377"/>
      <c r="AS173" s="328">
        <v>0</v>
      </c>
      <c r="AT173" s="1" t="str">
        <f>BA173&amp;(ROUND((AY173*AZ173)*(SUM(BB173:CJ173)/1000000),0))</f>
        <v>9260919</v>
      </c>
      <c r="AV173" s="328" t="str">
        <f>BA173&amp;(ROUND((AY173*AZ173)*(SUM(BB173:CJ173)/1000000),0))</f>
        <v>9260919</v>
      </c>
      <c r="AW173" s="328">
        <v>0</v>
      </c>
      <c r="AX173" s="201" t="str">
        <f>IF((BB173+BD173+BF173+BH173+BJ173+BL173+BN173+BP173+BR173+BT173+BV173+BX173+BZ173+CB173+CD173+CF173+CH173)=0,"Ignore me","Claim")</f>
        <v>Ignore me</v>
      </c>
      <c r="AY173" s="243">
        <f t="array" ref="AY173">IF(SUM($D$173:$D$179)=0,$E$18,MIN(IF($D$173:$D$179&gt;0,$C$173:$C$179)))</f>
        <v>44592</v>
      </c>
      <c r="AZ173" s="243">
        <f t="array" ref="AZ173">IF(SUM($D$173:$D$179)=0,$AC$18,MAX(IF($D$173:$D$179&gt;0,$C$173:$C$179)))</f>
        <v>44598</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44593</v>
      </c>
      <c r="D174" s="384">
        <f>I$31</f>
        <v>0</v>
      </c>
      <c r="AR174" s="377"/>
      <c r="AS174" s="328">
        <f>COUNTIF($AT$173:$AT173,$AT174)</f>
        <v>0</v>
      </c>
      <c r="AT174" s="1" t="str">
        <f t="shared" ref="AT174:AT237" si="181">BA174&amp;(ROUND((AY174*AZ174)*(SUM(BB174:CJ174)/1000000),0))</f>
        <v>9283511</v>
      </c>
      <c r="AV174" s="328" t="str">
        <f t="shared" ref="AV174:AV237" si="182">BA174&amp;(ROUND((AY174*AZ174)*(SUM(BB174:CJ174)/1000000),0))</f>
        <v>9283511</v>
      </c>
      <c r="AW174" s="328">
        <f>COUNTIF($AT$173:$AT173,$AT174)</f>
        <v>0</v>
      </c>
      <c r="AX174" s="201" t="str">
        <f>IF(OR((BB174+BD174+BF174+BH174+BJ174+BL174+BN174+BP174+BR174+BT174+BV174+BX174+BZ174+CB174+CD174+CF174+CH174)=0,AW174&lt;&gt;0),"Ignore me","Claim")</f>
        <v>Ignore me</v>
      </c>
      <c r="AY174" s="243">
        <f t="array" ref="AY174">IF(SUM($D$173:$D$179)=0,$E$18,MIN(IF($D$173:$D$179&gt;0,$C$173:$C$179)))</f>
        <v>44592</v>
      </c>
      <c r="AZ174" s="243">
        <f t="array" ref="AZ174">IF(SUM($D$173:$D$179)=0,$AC$18,MAX(IF($D$173:$D$179&gt;0,$C$173:$C$179)))</f>
        <v>44598</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44594</v>
      </c>
      <c r="D175" s="384">
        <f>M$31</f>
        <v>0</v>
      </c>
      <c r="AR175" s="377"/>
      <c r="AS175" s="328">
        <f>COUNTIF($AT$173:$AT174,$AT175)</f>
        <v>0</v>
      </c>
      <c r="AT175" s="1" t="str">
        <f t="shared" si="181"/>
        <v>9432744</v>
      </c>
      <c r="AV175" s="328" t="str">
        <f t="shared" si="182"/>
        <v>9432744</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44592</v>
      </c>
      <c r="AZ175" s="243">
        <f t="array" ref="AZ175">IF(SUM($D$173:$D$179)=0,$AC$18,MAX(IF($D$173:$D$179&gt;0,$C$173:$C$179)))</f>
        <v>44598</v>
      </c>
      <c r="BA175" s="244">
        <f t="shared" si="164"/>
        <v>9</v>
      </c>
      <c r="BB175" s="195">
        <f t="shared" si="165"/>
        <v>0</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44595</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44592</v>
      </c>
      <c r="AZ176" s="243">
        <f t="array" ref="AZ176">IF(SUM($D$173:$D$179)=0,$AC$18,MAX(IF($D$173:$D$179&gt;0,$C$173:$C$179)))</f>
        <v>44598</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44596</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44592</v>
      </c>
      <c r="AZ177" s="243">
        <f t="array" ref="AZ177">IF(SUM($D$173:$D$179)=0,$AC$18,MAX(IF($D$173:$D$179&gt;0,$C$173:$C$179)))</f>
        <v>44598</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44597</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44592</v>
      </c>
      <c r="AZ178" s="243">
        <f t="array" ref="AZ178">IF(SUM($D$173:$D$179)=0,$AC$18,MAX(IF($D$173:$D$179&gt;0,$C$173:$C$179)))</f>
        <v>44598</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44598</v>
      </c>
      <c r="D179" s="384">
        <f>AC$31</f>
        <v>0</v>
      </c>
      <c r="AR179" s="377"/>
      <c r="AS179" s="328">
        <f>COUNTIF($AT$173:$AT178,$AT179)</f>
        <v>0</v>
      </c>
      <c r="AT179" s="1" t="str">
        <f t="shared" si="181"/>
        <v>0260919</v>
      </c>
      <c r="AV179" s="328" t="str">
        <f t="shared" si="182"/>
        <v>0260919</v>
      </c>
      <c r="AW179" s="328">
        <f>COUNTIF($AT$173:$AT178,$AT179)</f>
        <v>0</v>
      </c>
      <c r="AX179" s="201" t="str">
        <f t="shared" si="183"/>
        <v>Ignore me</v>
      </c>
      <c r="AY179" s="243">
        <f t="array" ref="AY179">IF(SUM($D$173:$D$179)=0,$E$18,MIN(IF($D$173:$D$179&gt;0,$C$173:$C$179)))</f>
        <v>44592</v>
      </c>
      <c r="AZ179" s="243">
        <f t="array" ref="AZ179">IF(SUM($D$173:$D$179)=0,$AC$18,MAX(IF($D$173:$D$179&gt;0,$C$173:$C$179)))</f>
        <v>44598</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44599</v>
      </c>
      <c r="D180" s="385">
        <f>E$47</f>
        <v>54.4</v>
      </c>
      <c r="AR180" s="377"/>
      <c r="AS180" s="328">
        <f>COUNTIF($AT$173:$AT179,$AT180)</f>
        <v>0</v>
      </c>
      <c r="AT180" s="1" t="str">
        <f t="shared" si="181"/>
        <v>0283511</v>
      </c>
      <c r="AV180" s="328" t="str">
        <f t="shared" si="182"/>
        <v>0283511</v>
      </c>
      <c r="AW180" s="328">
        <f>COUNTIF($AT$173:$AT179,$AT180)</f>
        <v>0</v>
      </c>
      <c r="AX180" s="201" t="str">
        <f t="shared" si="183"/>
        <v>Ignore me</v>
      </c>
      <c r="AY180" s="243">
        <f t="array" ref="AY180">IF(SUM($D$173:$D$179)=0,$E$18,MIN(IF($D$173:$D$179&gt;0,$C$173:$C$179)))</f>
        <v>44592</v>
      </c>
      <c r="AZ180" s="243">
        <f t="array" ref="AZ180">IF(SUM($D$173:$D$179)=0,$AC$18,MAX(IF($D$173:$D$179&gt;0,$C$173:$C$179)))</f>
        <v>44598</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4</v>
      </c>
      <c r="DE180" s="35">
        <f t="shared" ref="DE180:DE197" si="187">BN143</f>
        <v>13.6</v>
      </c>
      <c r="DF180" s="35"/>
    </row>
    <row r="181" spans="3:110" hidden="1" x14ac:dyDescent="0.2">
      <c r="C181" s="380">
        <f>I$34</f>
        <v>44600</v>
      </c>
      <c r="D181" s="385">
        <f>I$47</f>
        <v>0</v>
      </c>
      <c r="AR181" s="377"/>
      <c r="AS181" s="328">
        <f>COUNTIF($AT$173:$AT180,$AT181)</f>
        <v>0</v>
      </c>
      <c r="AT181" s="1" t="str">
        <f t="shared" si="181"/>
        <v>0432744</v>
      </c>
      <c r="AV181" s="328" t="str">
        <f t="shared" si="182"/>
        <v>0432744</v>
      </c>
      <c r="AW181" s="328">
        <f>COUNTIF($AT$173:$AT180,$AT181)</f>
        <v>0</v>
      </c>
      <c r="AX181" s="201" t="str">
        <f t="shared" si="183"/>
        <v>Ignore me</v>
      </c>
      <c r="AY181" s="243">
        <f t="array" ref="AY181">IF(SUM($D$173:$D$179)=0,$E$18,MIN(IF($D$173:$D$179&gt;0,$C$173:$C$179)))</f>
        <v>44592</v>
      </c>
      <c r="AZ181" s="243">
        <f t="array" ref="AZ181">IF(SUM($D$173:$D$179)=0,$AC$18,MAX(IF($D$173:$D$179&gt;0,$C$173:$C$179)))</f>
        <v>44598</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44601</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44592</v>
      </c>
      <c r="AZ182" s="243">
        <f t="array" ref="AZ182">IF(SUM($D$173:$D$179)=0,$AC$18,MAX(IF($D$173:$D$179&gt;0,$C$173:$C$179)))</f>
        <v>44598</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44602</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44592</v>
      </c>
      <c r="AZ183" s="243">
        <f t="array" ref="AZ183">IF(SUM($D$173:$D$179)=0,$AC$18,MAX(IF($D$173:$D$179&gt;0,$C$173:$C$179)))</f>
        <v>44598</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44603</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44592</v>
      </c>
      <c r="AZ184" s="243">
        <f t="array" ref="AZ184">IF(SUM($D$173:$D$179)=0,$AC$18,MAX(IF($D$173:$D$179&gt;0,$C$173:$C$179)))</f>
        <v>44598</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44604</v>
      </c>
      <c r="D185" s="385">
        <f>Y$47</f>
        <v>0</v>
      </c>
      <c r="AR185" s="377"/>
      <c r="AS185" s="328">
        <f>COUNTIF($AT$173:$AT184,$AT185)</f>
        <v>1</v>
      </c>
      <c r="AT185" s="1" t="str">
        <f t="shared" si="181"/>
        <v>0260919</v>
      </c>
      <c r="AV185" s="328" t="str">
        <f t="shared" si="182"/>
        <v>0260919</v>
      </c>
      <c r="AW185" s="328">
        <f>COUNTIF($AT$173:$AT184,$AT185)</f>
        <v>1</v>
      </c>
      <c r="AX185" s="201" t="str">
        <f t="shared" si="183"/>
        <v>Ignore me</v>
      </c>
      <c r="AY185" s="243">
        <f t="array" ref="AY185">IF(SUM($D$173:$D$179)=0,$E$18,MIN(IF($D$173:$D$179&gt;0,$C$173:$C$179)))</f>
        <v>44592</v>
      </c>
      <c r="AZ185" s="243">
        <f t="array" ref="AZ185">IF(SUM($D$173:$D$179)=0,$AC$18,MAX(IF($D$173:$D$179&gt;0,$C$173:$C$179)))</f>
        <v>44598</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44605</v>
      </c>
      <c r="D186" s="385">
        <f>AC$47</f>
        <v>0</v>
      </c>
      <c r="AR186" s="377"/>
      <c r="AS186" s="328">
        <f>COUNTIF($AT$173:$AT185,$AT186)</f>
        <v>1</v>
      </c>
      <c r="AT186" s="1" t="str">
        <f t="shared" si="181"/>
        <v>0283511</v>
      </c>
      <c r="AV186" s="328" t="str">
        <f t="shared" si="182"/>
        <v>0283511</v>
      </c>
      <c r="AW186" s="328">
        <f>COUNTIF($AT$173:$AT185,$AT186)</f>
        <v>1</v>
      </c>
      <c r="AX186" s="201" t="str">
        <f t="shared" si="183"/>
        <v>Ignore me</v>
      </c>
      <c r="AY186" s="243">
        <f t="array" ref="AY186">IF(SUM($D$173:$D$179)=0,$E$18,MIN(IF($D$173:$D$179&gt;0,$C$173:$C$179)))</f>
        <v>44592</v>
      </c>
      <c r="AZ186" s="243">
        <f t="array" ref="AZ186">IF(SUM($D$173:$D$179)=0,$AC$18,MAX(IF($D$173:$D$179&gt;0,$C$173:$C$179)))</f>
        <v>44598</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44606</v>
      </c>
      <c r="D187" s="386">
        <f>E$63</f>
        <v>54.4</v>
      </c>
      <c r="AR187" s="377"/>
      <c r="AS187" s="328">
        <f>COUNTIF($AT$173:$AT186,$AT187)</f>
        <v>1</v>
      </c>
      <c r="AT187" s="1" t="str">
        <f t="shared" si="181"/>
        <v>0432744</v>
      </c>
      <c r="AV187" s="328" t="str">
        <f t="shared" si="182"/>
        <v>0432744</v>
      </c>
      <c r="AW187" s="328">
        <f>COUNTIF($AT$173:$AT186,$AT187)</f>
        <v>1</v>
      </c>
      <c r="AX187" s="201" t="str">
        <f t="shared" si="183"/>
        <v>Ignore me</v>
      </c>
      <c r="AY187" s="243">
        <f t="array" ref="AY187">IF(SUM($D$173:$D$179)=0,$E$18,MIN(IF($D$173:$D$179&gt;0,$C$173:$C$179)))</f>
        <v>44592</v>
      </c>
      <c r="AZ187" s="243">
        <f t="array" ref="AZ187">IF(SUM($D$173:$D$179)=0,$AC$18,MAX(IF($D$173:$D$179&gt;0,$C$173:$C$179)))</f>
        <v>44598</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44607</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44592</v>
      </c>
      <c r="AZ188" s="243">
        <f t="array" ref="AZ188">IF(SUM($D$173:$D$179)=0,$AC$18,MAX(IF($D$173:$D$179&gt;0,$C$173:$C$179)))</f>
        <v>44598</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44608</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44592</v>
      </c>
      <c r="AZ189" s="243">
        <f t="array" ref="AZ189">IF(SUM($D$173:$D$179)=0,$AC$18,MAX(IF($D$173:$D$179&gt;0,$C$173:$C$179)))</f>
        <v>44598</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44609</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44592</v>
      </c>
      <c r="AZ190" s="243">
        <f t="array" ref="AZ190">IF(SUM($D$173:$D$179)=0,$AC$18,MAX(IF($D$173:$D$179&gt;0,$C$173:$C$179)))</f>
        <v>44598</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44610</v>
      </c>
      <c r="D191" s="386">
        <f>U$63</f>
        <v>0</v>
      </c>
      <c r="AR191" s="377"/>
      <c r="AS191" s="328">
        <f>COUNTIF($AT$173:$AT190,$AT191)</f>
        <v>0</v>
      </c>
      <c r="AT191" s="1" t="str">
        <f t="shared" si="181"/>
        <v>9260966</v>
      </c>
      <c r="AV191" s="328" t="str">
        <f t="shared" si="182"/>
        <v>9260966</v>
      </c>
      <c r="AW191" s="328">
        <f>COUNTIF($AT$173:$AT190,$AT191)</f>
        <v>0</v>
      </c>
      <c r="AX191" s="201" t="str">
        <f t="shared" si="183"/>
        <v>Ignore me</v>
      </c>
      <c r="AY191" s="240">
        <f t="array" ref="AY191">IF(SUM($D$180:$D$186)=0,$E$34,MIN(IF($D$180:$D$186&gt;0,$C$180:$C$186)))</f>
        <v>44599</v>
      </c>
      <c r="AZ191" s="240">
        <f t="array" ref="AZ191">IF(SUM($D$180:$D$186)=0,$AC$34,MAX(IF($D$180:$D$186&gt;0,$C$180:$C$186)))</f>
        <v>44599</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44611</v>
      </c>
      <c r="D192" s="386">
        <f>Y$63</f>
        <v>0</v>
      </c>
      <c r="AR192" s="377"/>
      <c r="AS192" s="328">
        <f>COUNTIF($AT$173:$AT191,$AT192)</f>
        <v>0</v>
      </c>
      <c r="AT192" s="1" t="str">
        <f t="shared" si="181"/>
        <v>9283562</v>
      </c>
      <c r="AV192" s="328" t="str">
        <f t="shared" si="182"/>
        <v>9283562</v>
      </c>
      <c r="AW192" s="328">
        <f>COUNTIF($AT$173:$AT191,$AT192)</f>
        <v>0</v>
      </c>
      <c r="AX192" s="201" t="str">
        <f t="shared" si="183"/>
        <v>Ignore me</v>
      </c>
      <c r="AY192" s="240">
        <f t="array" ref="AY192">IF(SUM($D$180:$D$186)=0,$E$34,MIN(IF($D$180:$D$186&gt;0,$C$180:$C$186)))</f>
        <v>44599</v>
      </c>
      <c r="AZ192" s="240">
        <f t="array" ref="AZ192">IF(SUM($D$180:$D$186)=0,$AC$34,MAX(IF($D$180:$D$186&gt;0,$C$180:$C$186)))</f>
        <v>44599</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44612</v>
      </c>
      <c r="D193" s="386">
        <f>AC$63</f>
        <v>0</v>
      </c>
      <c r="AR193" s="377"/>
      <c r="AS193" s="328">
        <f>COUNTIF($AT$173:$AT192,$AT193)</f>
        <v>0</v>
      </c>
      <c r="AT193" s="1" t="str">
        <f t="shared" si="181"/>
        <v>9440778</v>
      </c>
      <c r="AV193" s="328" t="str">
        <f t="shared" si="182"/>
        <v>9440778</v>
      </c>
      <c r="AW193" s="328">
        <f>COUNTIF($AT$173:$AT192,$AT193)</f>
        <v>0</v>
      </c>
      <c r="AX193" s="201" t="str">
        <f t="shared" si="183"/>
        <v>Claim</v>
      </c>
      <c r="AY193" s="240">
        <f t="array" ref="AY193">IF(SUM($D$180:$D$186)=0,$E$34,MIN(IF($D$180:$D$186&gt;0,$C$180:$C$186)))</f>
        <v>44599</v>
      </c>
      <c r="AZ193" s="240">
        <f t="array" ref="AZ193">IF(SUM($D$180:$D$186)=0,$AC$34,MAX(IF($D$180:$D$186&gt;0,$C$180:$C$186)))</f>
        <v>44599</v>
      </c>
      <c r="BA193" s="241">
        <f t="shared" si="189"/>
        <v>9</v>
      </c>
      <c r="BB193" s="204">
        <f t="shared" si="191"/>
        <v>4</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44613</v>
      </c>
      <c r="D194" s="387">
        <f>E$79</f>
        <v>54.4</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44599</v>
      </c>
      <c r="AZ194" s="240">
        <f t="array" ref="AZ194">IF(SUM($D$180:$D$186)=0,$AC$34,MAX(IF($D$180:$D$186&gt;0,$C$180:$C$186)))</f>
        <v>44599</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44614</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44599</v>
      </c>
      <c r="AZ195" s="240">
        <f t="array" ref="AZ195">IF(SUM($D$180:$D$186)=0,$AC$34,MAX(IF($D$180:$D$186&gt;0,$C$180:$C$186)))</f>
        <v>44599</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44615</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44599</v>
      </c>
      <c r="AZ196" s="240">
        <f t="array" ref="AZ196">IF(SUM($D$180:$D$186)=0,$AC$34,MAX(IF($D$180:$D$186&gt;0,$C$180:$C$186)))</f>
        <v>44599</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44616</v>
      </c>
      <c r="D197" s="387">
        <f>Q$79</f>
        <v>0</v>
      </c>
      <c r="AR197" s="377"/>
      <c r="AS197" s="328">
        <f>COUNTIF($AT$173:$AT196,$AT197)</f>
        <v>0</v>
      </c>
      <c r="AT197" s="1" t="str">
        <f t="shared" si="181"/>
        <v>0260966</v>
      </c>
      <c r="AV197" s="328" t="str">
        <f t="shared" si="182"/>
        <v>0260966</v>
      </c>
      <c r="AW197" s="328">
        <f>COUNTIF($AT$173:$AT196,$AT197)</f>
        <v>0</v>
      </c>
      <c r="AX197" s="201" t="str">
        <f t="shared" si="183"/>
        <v>Ignore me</v>
      </c>
      <c r="AY197" s="240">
        <f t="array" ref="AY197">IF(SUM($D$180:$D$186)=0,$E$34,MIN(IF($D$180:$D$186&gt;0,$C$180:$C$186)))</f>
        <v>44599</v>
      </c>
      <c r="AZ197" s="240">
        <f t="array" ref="AZ197">IF(SUM($D$180:$D$186)=0,$AC$34,MAX(IF($D$180:$D$186&gt;0,$C$180:$C$186)))</f>
        <v>44599</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44617</v>
      </c>
      <c r="D198" s="387">
        <f>U$79</f>
        <v>0</v>
      </c>
      <c r="AR198" s="377"/>
      <c r="AS198" s="328">
        <f>COUNTIF($AT$173:$AT197,$AT198)</f>
        <v>0</v>
      </c>
      <c r="AT198" s="1" t="str">
        <f t="shared" si="181"/>
        <v>0283562</v>
      </c>
      <c r="AV198" s="328" t="str">
        <f t="shared" si="182"/>
        <v>0283562</v>
      </c>
      <c r="AW198" s="328">
        <f>COUNTIF($AT$173:$AT197,$AT198)</f>
        <v>0</v>
      </c>
      <c r="AX198" s="201" t="str">
        <f t="shared" si="183"/>
        <v>Ignore me</v>
      </c>
      <c r="AY198" s="240">
        <f t="array" ref="AY198">IF(SUM($D$180:$D$186)=0,$E$34,MIN(IF($D$180:$D$186&gt;0,$C$180:$C$186)))</f>
        <v>44599</v>
      </c>
      <c r="AZ198" s="240">
        <f t="array" ref="AZ198">IF(SUM($D$180:$D$186)=0,$AC$34,MAX(IF($D$180:$D$186&gt;0,$C$180:$C$186)))</f>
        <v>44599</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4</v>
      </c>
      <c r="DE198" s="35">
        <f t="shared" ref="DE198:DE215" si="195">BT143</f>
        <v>13.6</v>
      </c>
      <c r="DF198" s="35"/>
    </row>
    <row r="199" spans="3:110" hidden="1" x14ac:dyDescent="0.2">
      <c r="C199" s="382">
        <f>Y$66</f>
        <v>44618</v>
      </c>
      <c r="D199" s="387">
        <f>Y$79</f>
        <v>0</v>
      </c>
      <c r="AR199" s="377"/>
      <c r="AS199" s="328">
        <f>COUNTIF($AT$173:$AT198,$AT199)</f>
        <v>0</v>
      </c>
      <c r="AT199" s="1" t="str">
        <f t="shared" si="181"/>
        <v>0432822</v>
      </c>
      <c r="AV199" s="328" t="str">
        <f t="shared" si="182"/>
        <v>0432822</v>
      </c>
      <c r="AW199" s="328">
        <f>COUNTIF($AT$173:$AT198,$AT199)</f>
        <v>0</v>
      </c>
      <c r="AX199" s="201" t="str">
        <f t="shared" si="183"/>
        <v>Ignore me</v>
      </c>
      <c r="AY199" s="240">
        <f t="array" ref="AY199">IF(SUM($D$180:$D$186)=0,$E$34,MIN(IF($D$180:$D$186&gt;0,$C$180:$C$186)))</f>
        <v>44599</v>
      </c>
      <c r="AZ199" s="240">
        <f t="array" ref="AZ199">IF(SUM($D$180:$D$186)=0,$AC$34,MAX(IF($D$180:$D$186&gt;0,$C$180:$C$186)))</f>
        <v>44599</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44619</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44599</v>
      </c>
      <c r="AZ200" s="240">
        <f t="array" ref="AZ200">IF(SUM($D$180:$D$186)=0,$AC$34,MAX(IF($D$180:$D$186&gt;0,$C$180:$C$186)))</f>
        <v>44599</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44620</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44599</v>
      </c>
      <c r="AZ201" s="240">
        <f t="array" ref="AZ201">IF(SUM($D$180:$D$186)=0,$AC$34,MAX(IF($D$180:$D$186&gt;0,$C$180:$C$186)))</f>
        <v>44599</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44621</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44599</v>
      </c>
      <c r="AZ202" s="240">
        <f t="array" ref="AZ202">IF(SUM($D$180:$D$186)=0,$AC$34,MAX(IF($D$180:$D$186&gt;0,$C$180:$C$186)))</f>
        <v>44599</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44622</v>
      </c>
      <c r="D203" s="388">
        <f>M$95</f>
        <v>0</v>
      </c>
      <c r="AR203" s="377"/>
      <c r="AS203" s="328">
        <f>COUNTIF($AT$173:$AT202,$AT203)</f>
        <v>1</v>
      </c>
      <c r="AT203" s="1" t="str">
        <f t="shared" si="181"/>
        <v>0260966</v>
      </c>
      <c r="AV203" s="328" t="str">
        <f t="shared" si="182"/>
        <v>0260966</v>
      </c>
      <c r="AW203" s="328">
        <f>COUNTIF($AT$173:$AT202,$AT203)</f>
        <v>1</v>
      </c>
      <c r="AX203" s="201" t="str">
        <f t="shared" si="183"/>
        <v>Ignore me</v>
      </c>
      <c r="AY203" s="240">
        <f t="array" ref="AY203">IF(SUM($D$180:$D$186)=0,$E$34,MIN(IF($D$180:$D$186&gt;0,$C$180:$C$186)))</f>
        <v>44599</v>
      </c>
      <c r="AZ203" s="240">
        <f t="array" ref="AZ203">IF(SUM($D$180:$D$186)=0,$AC$34,MAX(IF($D$180:$D$186&gt;0,$C$180:$C$186)))</f>
        <v>44599</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44623</v>
      </c>
      <c r="D204" s="388">
        <f>Q$95</f>
        <v>0</v>
      </c>
      <c r="AR204" s="377"/>
      <c r="AS204" s="328">
        <f>COUNTIF($AT$173:$AT203,$AT204)</f>
        <v>1</v>
      </c>
      <c r="AT204" s="1" t="str">
        <f t="shared" si="181"/>
        <v>0283562</v>
      </c>
      <c r="AV204" s="328" t="str">
        <f t="shared" si="182"/>
        <v>0283562</v>
      </c>
      <c r="AW204" s="328">
        <f>COUNTIF($AT$173:$AT203,$AT204)</f>
        <v>1</v>
      </c>
      <c r="AX204" s="201" t="str">
        <f t="shared" si="183"/>
        <v>Ignore me</v>
      </c>
      <c r="AY204" s="240">
        <f t="array" ref="AY204">IF(SUM($D$180:$D$186)=0,$E$34,MIN(IF($D$180:$D$186&gt;0,$C$180:$C$186)))</f>
        <v>44599</v>
      </c>
      <c r="AZ204" s="240">
        <f t="array" ref="AZ204">IF(SUM($D$180:$D$186)=0,$AC$34,MAX(IF($D$180:$D$186&gt;0,$C$180:$C$186)))</f>
        <v>44599</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44624</v>
      </c>
      <c r="D205" s="388">
        <f>U$95</f>
        <v>0</v>
      </c>
      <c r="AR205" s="377"/>
      <c r="AS205" s="328">
        <f>COUNTIF($AT$173:$AT204,$AT205)</f>
        <v>1</v>
      </c>
      <c r="AT205" s="1" t="str">
        <f t="shared" si="181"/>
        <v>0432822</v>
      </c>
      <c r="AV205" s="328" t="str">
        <f t="shared" si="182"/>
        <v>0432822</v>
      </c>
      <c r="AW205" s="328">
        <f>COUNTIF($AT$173:$AT204,$AT205)</f>
        <v>1</v>
      </c>
      <c r="AX205" s="201" t="str">
        <f t="shared" si="183"/>
        <v>Ignore me</v>
      </c>
      <c r="AY205" s="240">
        <f t="array" ref="AY205">IF(SUM($D$180:$D$186)=0,$E$34,MIN(IF($D$180:$D$186&gt;0,$C$180:$C$186)))</f>
        <v>44599</v>
      </c>
      <c r="AZ205" s="240">
        <f t="array" ref="AZ205">IF(SUM($D$180:$D$186)=0,$AC$34,MAX(IF($D$180:$D$186&gt;0,$C$180:$C$186)))</f>
        <v>44599</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44625</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44599</v>
      </c>
      <c r="AZ206" s="240">
        <f t="array" ref="AZ206">IF(SUM($D$180:$D$186)=0,$AC$34,MAX(IF($D$180:$D$186&gt;0,$C$180:$C$186)))</f>
        <v>44599</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44626</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44599</v>
      </c>
      <c r="AZ207" s="240">
        <f t="array" ref="AZ207">IF(SUM($D$180:$D$186)=0,$AC$34,MAX(IF($D$180:$D$186&gt;0,$C$180:$C$186)))</f>
        <v>44599</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44599</v>
      </c>
      <c r="AZ208" s="240">
        <f t="array" ref="AZ208">IF(SUM($D$180:$D$186)=0,$AC$34,MAX(IF($D$180:$D$186&gt;0,$C$180:$C$186)))</f>
        <v>44599</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9283651</v>
      </c>
      <c r="AV209" s="328" t="str">
        <f t="shared" si="182"/>
        <v>9283651</v>
      </c>
      <c r="AW209" s="328">
        <f>COUNTIF($AT$173:$AT208,$AT209)</f>
        <v>0</v>
      </c>
      <c r="AX209" s="201" t="str">
        <f t="shared" si="183"/>
        <v>Ignore me</v>
      </c>
      <c r="AY209" s="246">
        <f t="array" ref="AY209">IF(SUM($D$187:$D$193)=0,$E$50,MIN(IF($D$187:$D$193&gt;0,$C$187:$C$193)))</f>
        <v>44606</v>
      </c>
      <c r="AZ209" s="246">
        <f t="array" ref="AZ209">IF(SUM($D$187:$D$193)=0,$AC$50,MAX(IF($D$187:$D$193&gt;0,$C$187:$C$193)))</f>
        <v>44606</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9440916</v>
      </c>
      <c r="AV210" s="328" t="str">
        <f t="shared" si="182"/>
        <v>9440916</v>
      </c>
      <c r="AW210" s="328">
        <f>COUNTIF($AT$173:$AT209,$AT210)</f>
        <v>0</v>
      </c>
      <c r="AX210" s="201" t="str">
        <f t="shared" si="183"/>
        <v>Claim</v>
      </c>
      <c r="AY210" s="246">
        <f t="array" ref="AY210">IF(SUM($D$187:$D$193)=0,$E$50,MIN(IF($D$187:$D$193&gt;0,$C$187:$C$193)))</f>
        <v>44606</v>
      </c>
      <c r="AZ210" s="246">
        <f t="array" ref="AZ210">IF(SUM($D$187:$D$193)=0,$AC$50,MAX(IF($D$187:$D$193&gt;0,$C$187:$C$193)))</f>
        <v>44606</v>
      </c>
      <c r="BA210" s="247">
        <f t="shared" si="200"/>
        <v>9</v>
      </c>
      <c r="BB210" s="213">
        <f t="shared" ref="BB210:BP226" si="202">SUMPRODUCT(($BK$143:$BK$160=$BA210)*($BL$143:$BL$160=BB$170)*($BN$143:$BN$160=BC210)*$BM$143:$BM$160)</f>
        <v>4</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44606</v>
      </c>
      <c r="AZ211" s="246">
        <f t="array" ref="AZ211">IF(SUM($D$187:$D$193)=0,$AC$50,MAX(IF($D$187:$D$193&gt;0,$C$187:$C$193)))</f>
        <v>44606</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44606</v>
      </c>
      <c r="AZ212" s="246">
        <f t="array" ref="AZ212">IF(SUM($D$187:$D$193)=0,$AC$50,MAX(IF($D$187:$D$193&gt;0,$C$187:$C$193)))</f>
        <v>44606</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44606</v>
      </c>
      <c r="AZ213" s="246">
        <f t="array" ref="AZ213">IF(SUM($D$187:$D$193)=0,$AC$50,MAX(IF($D$187:$D$193&gt;0,$C$187:$C$193)))</f>
        <v>44606</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44606</v>
      </c>
      <c r="AZ214" s="246">
        <f t="array" ref="AZ214">IF(SUM($D$187:$D$193)=0,$AC$50,MAX(IF($D$187:$D$193&gt;0,$C$187:$C$193)))</f>
        <v>44606</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0283651</v>
      </c>
      <c r="AV215" s="328" t="str">
        <f t="shared" si="182"/>
        <v>0283651</v>
      </c>
      <c r="AW215" s="328">
        <f>COUNTIF($AT$173:$AT214,$AT215)</f>
        <v>0</v>
      </c>
      <c r="AX215" s="201" t="str">
        <f t="shared" si="183"/>
        <v>Ignore me</v>
      </c>
      <c r="AY215" s="246">
        <f t="array" ref="AY215">IF(SUM($D$187:$D$193)=0,$E$50,MIN(IF($D$187:$D$193&gt;0,$C$187:$C$193)))</f>
        <v>44606</v>
      </c>
      <c r="AZ215" s="246">
        <f t="array" ref="AZ215">IF(SUM($D$187:$D$193)=0,$AC$50,MAX(IF($D$187:$D$193&gt;0,$C$187:$C$193)))</f>
        <v>44606</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0432958</v>
      </c>
      <c r="AV216" s="328" t="str">
        <f t="shared" si="182"/>
        <v>0432958</v>
      </c>
      <c r="AW216" s="328">
        <f>COUNTIF($AT$173:$AT215,$AT216)</f>
        <v>0</v>
      </c>
      <c r="AX216" s="201" t="str">
        <f t="shared" si="183"/>
        <v>Ignore me</v>
      </c>
      <c r="AY216" s="246">
        <f t="array" ref="AY216">IF(SUM($D$187:$D$193)=0,$E$50,MIN(IF($D$187:$D$193&gt;0,$C$187:$C$193)))</f>
        <v>44606</v>
      </c>
      <c r="AZ216" s="246">
        <f t="array" ref="AZ216">IF(SUM($D$187:$D$193)=0,$AC$50,MAX(IF($D$187:$D$193&gt;0,$C$187:$C$193)))</f>
        <v>44606</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44606</v>
      </c>
      <c r="AZ217" s="246">
        <f t="array" ref="AZ217">IF(SUM($D$187:$D$193)=0,$AC$50,MAX(IF($D$187:$D$193&gt;0,$C$187:$C$193)))</f>
        <v>44606</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44606</v>
      </c>
      <c r="AZ218" s="246">
        <f t="array" ref="AZ218">IF(SUM($D$187:$D$193)=0,$AC$50,MAX(IF($D$187:$D$193&gt;0,$C$187:$C$193)))</f>
        <v>44606</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44606</v>
      </c>
      <c r="AZ219" s="246">
        <f t="array" ref="AZ219">IF(SUM($D$187:$D$193)=0,$AC$50,MAX(IF($D$187:$D$193&gt;0,$C$187:$C$193)))</f>
        <v>44606</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44606</v>
      </c>
      <c r="AZ220" s="246">
        <f t="array" ref="AZ220">IF(SUM($D$187:$D$193)=0,$AC$50,MAX(IF($D$187:$D$193&gt;0,$C$187:$C$193)))</f>
        <v>44606</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0283651</v>
      </c>
      <c r="AV221" s="328" t="str">
        <f t="shared" si="182"/>
        <v>0283651</v>
      </c>
      <c r="AW221" s="328">
        <f>COUNTIF($AT$173:$AT220,$AT221)</f>
        <v>1</v>
      </c>
      <c r="AX221" s="201" t="str">
        <f t="shared" si="183"/>
        <v>Ignore me</v>
      </c>
      <c r="AY221" s="246">
        <f t="array" ref="AY221">IF(SUM($D$187:$D$193)=0,$E$50,MIN(IF($D$187:$D$193&gt;0,$C$187:$C$193)))</f>
        <v>44606</v>
      </c>
      <c r="AZ221" s="246">
        <f t="array" ref="AZ221">IF(SUM($D$187:$D$193)=0,$AC$50,MAX(IF($D$187:$D$193&gt;0,$C$187:$C$193)))</f>
        <v>44606</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0432958</v>
      </c>
      <c r="AV222" s="328" t="str">
        <f t="shared" si="182"/>
        <v>0432958</v>
      </c>
      <c r="AW222" s="328">
        <f>COUNTIF($AT$173:$AT221,$AT222)</f>
        <v>1</v>
      </c>
      <c r="AX222" s="201" t="str">
        <f t="shared" si="183"/>
        <v>Ignore me</v>
      </c>
      <c r="AY222" s="246">
        <f t="array" ref="AY222">IF(SUM($D$187:$D$193)=0,$E$50,MIN(IF($D$187:$D$193&gt;0,$C$187:$C$193)))</f>
        <v>44606</v>
      </c>
      <c r="AZ222" s="246">
        <f t="array" ref="AZ222">IF(SUM($D$187:$D$193)=0,$AC$50,MAX(IF($D$187:$D$193&gt;0,$C$187:$C$193)))</f>
        <v>44606</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44606</v>
      </c>
      <c r="AZ223" s="246">
        <f t="array" ref="AZ223">IF(SUM($D$187:$D$193)=0,$AC$50,MAX(IF($D$187:$D$193&gt;0,$C$187:$C$193)))</f>
        <v>44606</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44606</v>
      </c>
      <c r="AZ224" s="246">
        <f t="array" ref="AZ224">IF(SUM($D$187:$D$193)=0,$AC$50,MAX(IF($D$187:$D$193&gt;0,$C$187:$C$193)))</f>
        <v>44606</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44606</v>
      </c>
      <c r="AZ225" s="246">
        <f t="array" ref="AZ225">IF(SUM($D$187:$D$193)=0,$AC$50,MAX(IF($D$187:$D$193&gt;0,$C$187:$C$193)))</f>
        <v>44606</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44606</v>
      </c>
      <c r="AZ226" s="246">
        <f t="array" ref="AZ226">IF(SUM($D$187:$D$193)=0,$AC$50,MAX(IF($D$187:$D$193&gt;0,$C$187:$C$193)))</f>
        <v>44606</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9283740</v>
      </c>
      <c r="AV227" s="328" t="str">
        <f t="shared" si="182"/>
        <v>9283740</v>
      </c>
      <c r="AW227" s="328">
        <f>COUNTIF($AT$173:$AT226,$AT227)</f>
        <v>0</v>
      </c>
      <c r="AX227" s="201" t="str">
        <f t="shared" si="183"/>
        <v>Ignore me</v>
      </c>
      <c r="AY227" s="249">
        <f t="array" ref="AY227">IF(SUM($D$194:$D$200)=0,$E$66,MIN(IF($D$194:$D$200&gt;0,$C$194:$C$200)))</f>
        <v>44613</v>
      </c>
      <c r="AZ227" s="249">
        <f t="array" ref="AZ227">IF(SUM($D$194:$D$200)=0,$AC$66,MAX(IF($D$194:$D$200&gt;0,$C$194:$C$200)))</f>
        <v>44613</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9441055</v>
      </c>
      <c r="AV228" s="328" t="str">
        <f t="shared" si="182"/>
        <v>9441055</v>
      </c>
      <c r="AW228" s="328">
        <f>COUNTIF($AT$173:$AT227,$AT228)</f>
        <v>0</v>
      </c>
      <c r="AX228" s="201" t="str">
        <f t="shared" si="183"/>
        <v>Claim</v>
      </c>
      <c r="AY228" s="249">
        <f t="array" ref="AY228">IF(SUM($D$194:$D$200)=0,$E$66,MIN(IF($D$194:$D$200&gt;0,$C$194:$C$200)))</f>
        <v>44613</v>
      </c>
      <c r="AZ228" s="249">
        <f t="array" ref="AZ228">IF(SUM($D$194:$D$200)=0,$AC$66,MAX(IF($D$194:$D$200&gt;0,$C$194:$C$200)))</f>
        <v>44613</v>
      </c>
      <c r="BA228" s="250">
        <f t="shared" si="210"/>
        <v>9</v>
      </c>
      <c r="BB228" s="222">
        <f t="shared" ref="BB228:BP244" si="212">SUMPRODUCT(($BQ$143:$BQ$160=$BA228)*($BR$143:$BR$160=BB$170)*($BT$143:$BT$160=BC228)*$BS$143:$BS$160)</f>
        <v>4</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44613</v>
      </c>
      <c r="AZ229" s="249">
        <f t="array" ref="AZ229">IF(SUM($D$194:$D$200)=0,$AC$66,MAX(IF($D$194:$D$200&gt;0,$C$194:$C$200)))</f>
        <v>44613</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44613</v>
      </c>
      <c r="AZ230" s="249">
        <f t="array" ref="AZ230">IF(SUM($D$194:$D$200)=0,$AC$66,MAX(IF($D$194:$D$200&gt;0,$C$194:$C$200)))</f>
        <v>44613</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44613</v>
      </c>
      <c r="AZ231" s="249">
        <f t="array" ref="AZ231">IF(SUM($D$194:$D$200)=0,$AC$66,MAX(IF($D$194:$D$200&gt;0,$C$194:$C$200)))</f>
        <v>44613</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44613</v>
      </c>
      <c r="AZ232" s="249">
        <f t="array" ref="AZ232">IF(SUM($D$194:$D$200)=0,$AC$66,MAX(IF($D$194:$D$200&gt;0,$C$194:$C$200)))</f>
        <v>44613</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0283740</v>
      </c>
      <c r="AV233" s="328" t="str">
        <f t="shared" si="182"/>
        <v>0283740</v>
      </c>
      <c r="AW233" s="328">
        <f>COUNTIF($AT$173:$AT232,$AT233)</f>
        <v>0</v>
      </c>
      <c r="AX233" s="201" t="str">
        <f t="shared" si="183"/>
        <v>Ignore me</v>
      </c>
      <c r="AY233" s="249">
        <f t="array" ref="AY233">IF(SUM($D$194:$D$200)=0,$E$66,MIN(IF($D$194:$D$200&gt;0,$C$194:$C$200)))</f>
        <v>44613</v>
      </c>
      <c r="AZ233" s="249">
        <f t="array" ref="AZ233">IF(SUM($D$194:$D$200)=0,$AC$66,MAX(IF($D$194:$D$200&gt;0,$C$194:$C$200)))</f>
        <v>44613</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0433094</v>
      </c>
      <c r="AV234" s="328" t="str">
        <f t="shared" si="182"/>
        <v>0433094</v>
      </c>
      <c r="AW234" s="328">
        <f>COUNTIF($AT$173:$AT233,$AT234)</f>
        <v>0</v>
      </c>
      <c r="AX234" s="201" t="str">
        <f t="shared" si="183"/>
        <v>Ignore me</v>
      </c>
      <c r="AY234" s="249">
        <f t="array" ref="AY234">IF(SUM($D$194:$D$200)=0,$E$66,MIN(IF($D$194:$D$200&gt;0,$C$194:$C$200)))</f>
        <v>44613</v>
      </c>
      <c r="AZ234" s="249">
        <f t="array" ref="AZ234">IF(SUM($D$194:$D$200)=0,$AC$66,MAX(IF($D$194:$D$200&gt;0,$C$194:$C$200)))</f>
        <v>44613</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44613</v>
      </c>
      <c r="AZ235" s="249">
        <f t="array" ref="AZ235">IF(SUM($D$194:$D$200)=0,$AC$66,MAX(IF($D$194:$D$200&gt;0,$C$194:$C$200)))</f>
        <v>44613</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44613</v>
      </c>
      <c r="AZ236" s="249">
        <f t="array" ref="AZ236">IF(SUM($D$194:$D$200)=0,$AC$66,MAX(IF($D$194:$D$200&gt;0,$C$194:$C$200)))</f>
        <v>44613</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44613</v>
      </c>
      <c r="AZ237" s="249">
        <f t="array" ref="AZ237">IF(SUM($D$194:$D$200)=0,$AC$66,MAX(IF($D$194:$D$200&gt;0,$C$194:$C$200)))</f>
        <v>44613</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44613</v>
      </c>
      <c r="AZ238" s="249">
        <f t="array" ref="AZ238">IF(SUM($D$194:$D$200)=0,$AC$66,MAX(IF($D$194:$D$200&gt;0,$C$194:$C$200)))</f>
        <v>44613</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0283740</v>
      </c>
      <c r="AV239" s="328" t="str">
        <f t="shared" si="216"/>
        <v>0283740</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44613</v>
      </c>
      <c r="AZ239" s="249">
        <f t="array" ref="AZ239">IF(SUM($D$194:$D$200)=0,$AC$66,MAX(IF($D$194:$D$200&gt;0,$C$194:$C$200)))</f>
        <v>44613</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0433094</v>
      </c>
      <c r="AV240" s="328" t="str">
        <f t="shared" si="216"/>
        <v>0433094</v>
      </c>
      <c r="AW240" s="328">
        <f>COUNTIF($AT$173:$AT239,$AT240)</f>
        <v>1</v>
      </c>
      <c r="AX240" s="201" t="str">
        <f t="shared" si="217"/>
        <v>Ignore me</v>
      </c>
      <c r="AY240" s="249">
        <f t="array" ref="AY240">IF(SUM($D$194:$D$200)=0,$E$66,MIN(IF($D$194:$D$200&gt;0,$C$194:$C$200)))</f>
        <v>44613</v>
      </c>
      <c r="AZ240" s="249">
        <f t="array" ref="AZ240">IF(SUM($D$194:$D$200)=0,$AC$66,MAX(IF($D$194:$D$200&gt;0,$C$194:$C$200)))</f>
        <v>44613</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44613</v>
      </c>
      <c r="AZ241" s="249">
        <f t="array" ref="AZ241">IF(SUM($D$194:$D$200)=0,$AC$66,MAX(IF($D$194:$D$200&gt;0,$C$194:$C$200)))</f>
        <v>44613</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44613</v>
      </c>
      <c r="AZ242" s="249">
        <f t="array" ref="AZ242">IF(SUM($D$194:$D$200)=0,$AC$66,MAX(IF($D$194:$D$200&gt;0,$C$194:$C$200)))</f>
        <v>44613</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44613</v>
      </c>
      <c r="AZ243" s="249">
        <f t="array" ref="AZ243">IF(SUM($D$194:$D$200)=0,$AC$66,MAX(IF($D$194:$D$200&gt;0,$C$194:$C$200)))</f>
        <v>44613</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44613</v>
      </c>
      <c r="AZ244" s="249">
        <f t="array" ref="AZ244">IF(SUM($D$194:$D$200)=0,$AC$66,MAX(IF($D$194:$D$200&gt;0,$C$194:$C$200)))</f>
        <v>44613</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44620</v>
      </c>
      <c r="AZ245" s="252">
        <f t="array" ref="AZ245">IF(SUM($D$201:$D$207)=0,$AC$82,MAX(IF($D$201:$D$207&gt;0,$C$201:$C$207)))</f>
        <v>44626</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44620</v>
      </c>
      <c r="AZ246" s="252">
        <f t="array" ref="AZ246">IF(SUM($D$201:$D$207)=0,$AC$82,MAX(IF($D$201:$D$207&gt;0,$C$201:$C$207)))</f>
        <v>44626</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44620</v>
      </c>
      <c r="AZ247" s="252">
        <f t="array" ref="AZ247">IF(SUM($D$201:$D$207)=0,$AC$82,MAX(IF($D$201:$D$207&gt;0,$C$201:$C$207)))</f>
        <v>44626</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44620</v>
      </c>
      <c r="AZ248" s="252">
        <f t="array" ref="AZ248">IF(SUM($D$201:$D$207)=0,$AC$82,MAX(IF($D$201:$D$207&gt;0,$C$201:$C$207)))</f>
        <v>44626</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44620</v>
      </c>
      <c r="AZ249" s="252">
        <f t="array" ref="AZ249">IF(SUM($D$201:$D$207)=0,$AC$82,MAX(IF($D$201:$D$207&gt;0,$C$201:$C$207)))</f>
        <v>44626</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44620</v>
      </c>
      <c r="AZ250" s="252">
        <f t="array" ref="AZ250">IF(SUM($D$201:$D$207)=0,$AC$82,MAX(IF($D$201:$D$207&gt;0,$C$201:$C$207)))</f>
        <v>44626</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44620</v>
      </c>
      <c r="AZ251" s="252">
        <f t="array" ref="AZ251">IF(SUM($D$201:$D$207)=0,$AC$82,MAX(IF($D$201:$D$207&gt;0,$C$201:$C$207)))</f>
        <v>44626</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44620</v>
      </c>
      <c r="AZ252" s="252">
        <f t="array" ref="AZ252">IF(SUM($D$201:$D$207)=0,$AC$82,MAX(IF($D$201:$D$207&gt;0,$C$201:$C$207)))</f>
        <v>44626</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44620</v>
      </c>
      <c r="AZ253" s="252">
        <f t="array" ref="AZ253">IF(SUM($D$201:$D$207)=0,$AC$82,MAX(IF($D$201:$D$207&gt;0,$C$201:$C$207)))</f>
        <v>44626</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44620</v>
      </c>
      <c r="AZ254" s="252">
        <f t="array" ref="AZ254">IF(SUM($D$201:$D$207)=0,$AC$82,MAX(IF($D$201:$D$207&gt;0,$C$201:$C$207)))</f>
        <v>44626</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44620</v>
      </c>
      <c r="AZ255" s="252">
        <f t="array" ref="AZ255">IF(SUM($D$201:$D$207)=0,$AC$82,MAX(IF($D$201:$D$207&gt;0,$C$201:$C$207)))</f>
        <v>44626</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44620</v>
      </c>
      <c r="AZ256" s="252">
        <f t="array" ref="AZ256">IF(SUM($D$201:$D$207)=0,$AC$82,MAX(IF($D$201:$D$207&gt;0,$C$201:$C$207)))</f>
        <v>44626</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44620</v>
      </c>
      <c r="AZ257" s="252">
        <f t="array" ref="AZ257">IF(SUM($D$201:$D$207)=0,$AC$82,MAX(IF($D$201:$D$207&gt;0,$C$201:$C$207)))</f>
        <v>44626</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44620</v>
      </c>
      <c r="AZ258" s="252">
        <f t="array" ref="AZ258">IF(SUM($D$201:$D$207)=0,$AC$82,MAX(IF($D$201:$D$207&gt;0,$C$201:$C$207)))</f>
        <v>44626</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44620</v>
      </c>
      <c r="AZ259" s="252">
        <f t="array" ref="AZ259">IF(SUM($D$201:$D$207)=0,$AC$82,MAX(IF($D$201:$D$207&gt;0,$C$201:$C$207)))</f>
        <v>44626</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44620</v>
      </c>
      <c r="AZ260" s="252">
        <f t="array" ref="AZ260">IF(SUM($D$201:$D$207)=0,$AC$82,MAX(IF($D$201:$D$207&gt;0,$C$201:$C$207)))</f>
        <v>44626</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44620</v>
      </c>
      <c r="AZ261" s="252">
        <f t="array" ref="AZ261">IF(SUM($D$201:$D$207)=0,$AC$82,MAX(IF($D$201:$D$207&gt;0,$C$201:$C$207)))</f>
        <v>44626</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44620</v>
      </c>
      <c r="AZ262" s="252">
        <f t="array" ref="AZ262">IF(SUM($D$201:$D$207)=0,$AC$82,MAX(IF($D$201:$D$207&gt;0,$C$201:$C$207)))</f>
        <v>44626</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955559</v>
      </c>
      <c r="AV263" s="328" t="str">
        <f t="shared" si="216"/>
        <v>955559</v>
      </c>
      <c r="AW263" s="328">
        <f>COUNTIF($AT$173:$AT262,$AT263)</f>
        <v>0</v>
      </c>
      <c r="AX263" s="201" t="str">
        <f t="shared" si="217"/>
        <v>Claim</v>
      </c>
      <c r="AY263" s="389">
        <f t="array" ref="AY263">MIN(IF($D$173:$D$207&gt;0,$C$173:$C$207))</f>
        <v>44599</v>
      </c>
      <c r="AZ263" s="271">
        <f t="array" ref="AZ263">MAX(IF($D$173:$D$207&gt;0,$C$173:$C$207))</f>
        <v>44613</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27.923520000000003</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44599</v>
      </c>
      <c r="AZ264" s="271">
        <f t="array" ref="AZ264">MAX(IF($D$173:$D$207&gt;0,$C$173:$C$207))</f>
        <v>44613</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44599</v>
      </c>
      <c r="AZ265" s="271">
        <f t="array" ref="AZ265">MAX(IF($D$173:$D$207&gt;0,$C$173:$C$207))</f>
        <v>44613</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96092447</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44599</v>
      </c>
      <c r="AZ266" s="397">
        <f t="array" ref="AZ266">MAX(IF($D$173:$D$207&gt;0,$C$173:$C$207))</f>
        <v>44613</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06092447</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44599</v>
      </c>
      <c r="AZ267" s="397">
        <f t="array" ref="AZ267">MAX(IF($D$173:$D$207&gt;0,$C$173:$C$207))</f>
        <v>44613</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06092447</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44599</v>
      </c>
      <c r="AZ268" s="397">
        <f t="array" ref="AZ268">MAX(IF($D$173:$D$207&gt;0,$C$173:$C$207))</f>
        <v>44613</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96981840</v>
      </c>
      <c r="AV269" s="328" t="str">
        <f t="shared" si="216"/>
        <v>90</v>
      </c>
      <c r="AW269" s="328">
        <f>COUNTIF($AT$173:$AT268,$AT269)</f>
        <v>0</v>
      </c>
      <c r="AX269" s="201" t="str">
        <f t="shared" si="228"/>
        <v>Ignore me</v>
      </c>
      <c r="AY269" s="396">
        <f t="array" ref="AY269">MIN(IF($D$173:$D$207&gt;0,$C$173:$C$207))</f>
        <v>44599</v>
      </c>
      <c r="AZ269" s="397">
        <f t="array" ref="AZ269">MAX(IF($D$173:$D$207&gt;0,$C$173:$C$207))</f>
        <v>44613</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06981840</v>
      </c>
      <c r="AV270" s="328" t="str">
        <f t="shared" si="216"/>
        <v>00</v>
      </c>
      <c r="AW270" s="328">
        <f>COUNTIF($AT$173:$AT269,$AT270)</f>
        <v>0</v>
      </c>
      <c r="AX270" s="201" t="str">
        <f t="shared" si="228"/>
        <v>Ignore me</v>
      </c>
      <c r="AY270" s="396">
        <f t="array" ref="AY270">MIN(IF($D$173:$D$207&gt;0,$C$173:$C$207))</f>
        <v>44599</v>
      </c>
      <c r="AZ270" s="397">
        <f t="array" ref="AZ270">MAX(IF($D$173:$D$207&gt;0,$C$173:$C$207))</f>
        <v>44613</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06981840</v>
      </c>
      <c r="AV271" s="328" t="str">
        <f t="shared" si="216"/>
        <v>00</v>
      </c>
      <c r="AW271" s="328">
        <f>COUNTIF($AT$173:$AT270,$AT271)</f>
        <v>1</v>
      </c>
      <c r="AX271" s="201" t="str">
        <f t="shared" si="228"/>
        <v>Ignore me</v>
      </c>
      <c r="AY271" s="396">
        <f t="array" ref="AY271">MIN(IF($D$173:$D$207&gt;0,$C$173:$C$207))</f>
        <v>44599</v>
      </c>
      <c r="AZ271" s="397">
        <f t="array" ref="AZ271">MAX(IF($D$173:$D$207&gt;0,$C$173:$C$207))</f>
        <v>44613</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f t="array" ref="AY275">IFERROR(INDEX(AY$173:AY$271, SMALL(IF($AX$173:$AX$271="Claim", ROW(AY$173:AY$271)-MIN(ROW(AY$173:AY$271))+1, ""), ROW(A1))), "")</f>
        <v>44599</v>
      </c>
      <c r="AZ275" s="327">
        <f t="array" ref="AZ275">IFERROR(INDEX(AZ$173:AZ$271, SMALL(IF($AX$173:$AX$271="Claim", ROW(AZ$173:AZ$271)-MIN(ROW(AZ$173:AZ$271))+1, ""), ROW(B1))), "")</f>
        <v>44599</v>
      </c>
      <c r="BA275" s="5">
        <f t="array" ref="BA275">IFERROR(INDEX(BA$173:BA$275, SMALL(IF($AX$173:$AX$275="Claim", ROW(BA$173:BA$275)-MIN(ROW(BA$173:BA$275))+1, ""), ROW(C1))), "")</f>
        <v>9</v>
      </c>
      <c r="BB275" s="5">
        <f t="array" ref="BB275">IFERROR(INDEX(BB$173:BB$271, SMALL(IF($AX$173:$AX$271="Claim", ROW(BB$173:BB$271)-MIN(ROW(BB$173:BB$271))+1, ""), ROW(D1))), "")</f>
        <v>4</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44606</v>
      </c>
      <c r="AZ276" s="327">
        <f t="array" ref="AZ276">IFERROR(INDEX(AZ$173:AZ$271, SMALL(IF($AX$173:$AX$271="Claim", ROW(AZ$173:AZ$271)-MIN(ROW(AZ$173:AZ$271))+1, ""), ROW(B2))), "")</f>
        <v>44606</v>
      </c>
      <c r="BA276" s="5">
        <f t="array" ref="BA276">IFERROR(INDEX(BA$173:BA$275, SMALL(IF($AX$173:$AX$275="Claim", ROW(BA$173:BA$275)-MIN(ROW(BA$173:BA$275))+1, ""), ROW(C2))), "")</f>
        <v>9</v>
      </c>
      <c r="BB276" s="5">
        <f t="array" ref="BB276">IFERROR(INDEX(BB$173:BB$271, SMALL(IF($AX$173:$AX$271="Claim", ROW(BB$173:BB$271)-MIN(ROW(BB$173:BB$271))+1, ""), ROW(D2))), "")</f>
        <v>4</v>
      </c>
      <c r="BC276" s="5">
        <f t="array" ref="BC276">IFERROR(INDEX(BC$173:BC$271, SMALL(IF($AX$173:$AX$271="Claim", ROW(BC$173:BC$271)-MIN(ROW(BC$173:BC$271))+1, ""), ROW(E2))), "")</f>
        <v>13.6</v>
      </c>
      <c r="BD276" s="5">
        <f t="array" ref="BD276">IFERROR(INDEX(BD$173:BD$271, SMALL(IF($AX$173:$AX$271="Claim", ROW(BD$173:BD$271)-MIN(ROW(BD$173:BD$271))+1, ""), ROW(F2))), "")</f>
        <v>0</v>
      </c>
      <c r="BE276" s="5">
        <f t="array" ref="BE276">IFERROR(INDEX(BE$173:BE$271, SMALL(IF($AX$173:$AX$271="Claim", ROW(BE$173:BE$271)-MIN(ROW(BE$173:BE$271))+1, ""), ROW(G2))), "")</f>
        <v>13.6</v>
      </c>
      <c r="BF276" s="5">
        <f t="array" ref="BF276">IFERROR(INDEX(BF$173:BF$271, SMALL(IF($AX$173:$AX$271="Claim", ROW(BF$173:BF$271)-MIN(ROW(BF$173:BF$271))+1, ""), ROW(H2))), "")</f>
        <v>0</v>
      </c>
      <c r="BG276" s="5">
        <f t="array" ref="BG276">IFERROR(INDEX(BG$173:BG$271, SMALL(IF($AX$173:$AX$271="Claim", ROW(BG$173:BG$271)-MIN(ROW(BG$173:BG$271))+1, ""), ROW(I2))), "")</f>
        <v>13.6</v>
      </c>
      <c r="BH276" s="5">
        <f t="array" ref="BH276">IFERROR(INDEX(BH$173:BH$271, SMALL(IF($AX$173:$AX$271="Claim", ROW(BH$173:BH$271)-MIN(ROW(BH$173:BH$271))+1, ""), ROW(J2))), "")</f>
        <v>0</v>
      </c>
      <c r="BI276" s="5">
        <f t="array" ref="BI276">IFERROR(INDEX(BI$173:BI$271, SMALL(IF($AX$173:$AX$271="Claim", ROW(BI$173:BI$271)-MIN(ROW(BI$173:BI$271))+1, ""), ROW(K2))), "")</f>
        <v>13.6</v>
      </c>
      <c r="BJ276" s="5">
        <f t="array" ref="BJ276">IFERROR(INDEX(BJ$173:BJ$271, SMALL(IF($AX$173:$AX$271="Claim", ROW(BJ$173:BJ$271)-MIN(ROW(BJ$173:BJ$271))+1, ""), ROW(L2))), "")</f>
        <v>0</v>
      </c>
      <c r="BK276" s="5">
        <f t="array" ref="BK276">IFERROR(INDEX(BK$173:BK$271, SMALL(IF($AX$173:$AX$271="Claim", ROW(BK$173:BK$271)-MIN(ROW(BK$173:BK$271))+1, ""), ROW(M2))), "")</f>
        <v>13.6</v>
      </c>
      <c r="BL276" s="5">
        <f t="array" ref="BL276">IFERROR(INDEX(BL$173:BL$271, SMALL(IF($AX$173:$AX$271="Claim", ROW(BL$173:BL$271)-MIN(ROW(BL$173:BL$271))+1, ""), ROW(N2))), "")</f>
        <v>0</v>
      </c>
      <c r="BM276" s="5">
        <f t="array" ref="BM276">IFERROR(INDEX(BM$173:BM$271, SMALL(IF($AX$173:$AX$271="Claim", ROW(BM$173:BM$271)-MIN(ROW(BM$173:BM$271))+1, ""), ROW(O2))), "")</f>
        <v>13.6</v>
      </c>
      <c r="BN276" s="5">
        <f t="array" ref="BN276">IFERROR(INDEX(BN$173:BN$271, SMALL(IF($AX$173:$AX$271="Claim", ROW(BN$173:BN$271)-MIN(ROW(BN$173:BN$271))+1, ""), ROW(P2))), "")</f>
        <v>0</v>
      </c>
      <c r="BO276" s="5">
        <f t="array" ref="BO276">IFERROR(INDEX(BO$173:BO$271, SMALL(IF($AX$173:$AX$271="Claim", ROW(BO$173:BO$271)-MIN(ROW(BO$173:BO$271))+1, ""), ROW(Q2))), "")</f>
        <v>13.6</v>
      </c>
      <c r="BP276" s="5">
        <f t="array" ref="BP276">IFERROR(INDEX(BP$173:BP$271, SMALL(IF($AX$173:$AX$271="Claim", ROW(BP$173:BP$271)-MIN(ROW(BP$173:BP$271))+1, ""), ROW(R2))), "")</f>
        <v>0</v>
      </c>
      <c r="BQ276" s="5">
        <f t="array" ref="BQ276">IFERROR(INDEX(BQ$173:BQ$271, SMALL(IF($AX$173:$AX$271="Claim", ROW(BQ$173:BQ$271)-MIN(ROW(BQ$173:BQ$271))+1, ""), ROW(S2))), "")</f>
        <v>13.6</v>
      </c>
      <c r="BR276" s="5">
        <f t="array" ref="BR276">IFERROR(INDEX(BR$173:BR$271, SMALL(IF($AX$173:$AX$271="Claim", ROW(BR$173:BR$271)-MIN(ROW(BR$173:BR$271))+1, ""), ROW(T2))), "")</f>
        <v>0</v>
      </c>
      <c r="BS276" s="5">
        <f t="array" ref="BS276">IFERROR(INDEX(BS$173:BS$271, SMALL(IF($AX$173:$AX$271="Claim", ROW(BS$173:BS$271)-MIN(ROW(BS$173:BS$271))+1, ""), ROW(U2))), "")</f>
        <v>13.6</v>
      </c>
      <c r="BT276" s="5">
        <f t="array" ref="BT276">IFERROR(INDEX(BT$173:BT$271, SMALL(IF($AX$173:$AX$271="Claim", ROW(BT$173:BT$271)-MIN(ROW(BT$173:BT$271))+1, ""), ROW(V2))), "")</f>
        <v>0</v>
      </c>
      <c r="BU276" s="5">
        <f t="array" ref="BU276">IFERROR(INDEX(BU$173:BU$271, SMALL(IF($AX$173:$AX$271="Claim", ROW(BU$173:BU$271)-MIN(ROW(BU$173:BU$271))+1, ""), ROW(W2))), "")</f>
        <v>13.6</v>
      </c>
      <c r="BV276" s="5">
        <f t="array" ref="BV276">IFERROR(INDEX(BV$173:BV$271, SMALL(IF($AX$173:$AX$271="Claim", ROW(BV$173:BV$271)-MIN(ROW(BV$173:BV$271))+1, ""), ROW(X2))), "")</f>
        <v>0</v>
      </c>
      <c r="BW276" s="5">
        <f t="array" ref="BW276">IFERROR(INDEX(BW$173:BW$271, SMALL(IF($AX$173:$AX$271="Claim", ROW(BW$173:BW$271)-MIN(ROW(BW$173:BW$271))+1, ""), ROW(Y2))), "")</f>
        <v>13.6</v>
      </c>
      <c r="BX276" s="5">
        <f t="array" ref="BX276">IFERROR(INDEX(BX$173:BX$271, SMALL(IF($AX$173:$AX$271="Claim", ROW(BX$173:BX$271)-MIN(ROW(BX$173:BX$271))+1, ""), ROW(Z2))), "")</f>
        <v>0</v>
      </c>
      <c r="BY276" s="5">
        <f t="array" ref="BY276">IFERROR(INDEX(BY$173:BY$271, SMALL(IF($AX$173:$AX$271="Claim", ROW(BY$173:BY$271)-MIN(ROW(BY$173:BY$271))+1, ""), ROW(AA2))), "")</f>
        <v>13.6</v>
      </c>
      <c r="BZ276" s="5">
        <f t="array" ref="BZ276">IFERROR(INDEX(BZ$173:BZ$271, SMALL(IF($AX$173:$AX$271="Claim", ROW(BZ$173:BZ$271)-MIN(ROW(BZ$173:BZ$271))+1, ""), ROW(AB2))), "")</f>
        <v>0</v>
      </c>
      <c r="CA276" s="5">
        <f t="array" ref="CA276">IFERROR(INDEX(CA$173:CA$271, SMALL(IF($AX$173:$AX$271="Claim", ROW(CA$173:CA$271)-MIN(ROW(CA$173:CA$271))+1, ""), ROW(AC2))), "")</f>
        <v>13.6</v>
      </c>
      <c r="CB276" s="5">
        <f t="array" ref="CB276">IFERROR(INDEX(CB$173:CB$271, SMALL(IF($AX$173:$AX$271="Claim", ROW(CB$173:CB$271)-MIN(ROW(CB$173:CB$271))+1, ""), ROW(AD2))), "")</f>
        <v>0</v>
      </c>
      <c r="CC276" s="5">
        <f t="array" ref="CC276">IFERROR(INDEX(CC$173:CC$271, SMALL(IF($AX$173:$AX$271="Claim", ROW(CC$173:CC$271)-MIN(ROW(CC$173:CC$271))+1, ""), ROW(AE2))), "")</f>
        <v>13.6</v>
      </c>
      <c r="CD276" s="5">
        <f t="array" ref="CD276">IFERROR(INDEX(CD$173:CD$271, SMALL(IF($AX$173:$AX$271="Claim", ROW(CD$173:CD$271)-MIN(ROW(CD$173:CD$271))+1, ""), ROW(AF2))), "")</f>
        <v>0</v>
      </c>
      <c r="CE276" s="5">
        <f t="array" ref="CE276">IFERROR(INDEX(CE$173:CE$271, SMALL(IF($AX$173:$AX$271="Claim", ROW(CE$173:CE$271)-MIN(ROW(CE$173:CE$271))+1, ""), ROW(AG2))), "")</f>
        <v>13.6</v>
      </c>
      <c r="CF276" s="5">
        <f t="array" ref="CF276">IFERROR(INDEX(CF$173:CF$271, SMALL(IF($AX$173:$AX$271="Claim", ROW(CF$173:CF$271)-MIN(ROW(CF$173:CF$271))+1, ""), ROW(AH2))), "")</f>
        <v>0</v>
      </c>
      <c r="CG276" s="5">
        <f t="array" ref="CG276">IFERROR(INDEX(CG$173:CG$271, SMALL(IF($AX$173:$AX$271="Claim", ROW(CG$173:CG$271)-MIN(ROW(CG$173:CG$271))+1, ""), ROW(AI2))), "")</f>
        <v>13.6</v>
      </c>
      <c r="CH276" s="5">
        <f t="array" ref="CH276">IFERROR(INDEX(CH$173:CH$271, SMALL(IF($AX$173:$AX$271="Claim", ROW(CH$173:CH$271)-MIN(ROW(CH$173:CH$271))+1, ""), ROW(AJ2))), "")</f>
        <v>0</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f t="array" ref="AY277">IFERROR(INDEX(AY$173:AY$271, SMALL(IF($AX$173:$AX$271="Claim", ROW(AY$173:AY$271)-MIN(ROW(AY$173:AY$271))+1, ""), ROW(A3))), "")</f>
        <v>44613</v>
      </c>
      <c r="AZ277" s="327">
        <f t="array" ref="AZ277">IFERROR(INDEX(AZ$173:AZ$271, SMALL(IF($AX$173:$AX$271="Claim", ROW(AZ$173:AZ$271)-MIN(ROW(AZ$173:AZ$271))+1, ""), ROW(B3))), "")</f>
        <v>44613</v>
      </c>
      <c r="BA277" s="5">
        <f t="array" ref="BA277">IFERROR(INDEX(BA$173:BA$275, SMALL(IF($AX$173:$AX$275="Claim", ROW(BA$173:BA$275)-MIN(ROW(BA$173:BA$275))+1, ""), ROW(C3))), "")</f>
        <v>9</v>
      </c>
      <c r="BB277" s="5">
        <f t="array" ref="BB277">IFERROR(INDEX(BB$173:BB$271, SMALL(IF($AX$173:$AX$271="Claim", ROW(BB$173:BB$271)-MIN(ROW(BB$173:BB$271))+1, ""), ROW(D3))), "")</f>
        <v>4</v>
      </c>
      <c r="BC277" s="5">
        <f t="array" ref="BC277">IFERROR(INDEX(BC$173:BC$271, SMALL(IF($AX$173:$AX$271="Claim", ROW(BC$173:BC$271)-MIN(ROW(BC$173:BC$271))+1, ""), ROW(E3))), "")</f>
        <v>13.6</v>
      </c>
      <c r="BD277" s="5">
        <f t="array" ref="BD277">IFERROR(INDEX(BD$173:BD$271, SMALL(IF($AX$173:$AX$271="Claim", ROW(BD$173:BD$271)-MIN(ROW(BD$173:BD$271))+1, ""), ROW(F3))), "")</f>
        <v>0</v>
      </c>
      <c r="BE277" s="5">
        <f t="array" ref="BE277">IFERROR(INDEX(BE$173:BE$271, SMALL(IF($AX$173:$AX$271="Claim", ROW(BE$173:BE$271)-MIN(ROW(BE$173:BE$271))+1, ""), ROW(G3))), "")</f>
        <v>13.6</v>
      </c>
      <c r="BF277" s="5">
        <f t="array" ref="BF277">IFERROR(INDEX(BF$173:BF$271, SMALL(IF($AX$173:$AX$271="Claim", ROW(BF$173:BF$271)-MIN(ROW(BF$173:BF$271))+1, ""), ROW(H3))), "")</f>
        <v>0</v>
      </c>
      <c r="BG277" s="5">
        <f t="array" ref="BG277">IFERROR(INDEX(BG$173:BG$271, SMALL(IF($AX$173:$AX$271="Claim", ROW(BG$173:BG$271)-MIN(ROW(BG$173:BG$271))+1, ""), ROW(I3))), "")</f>
        <v>13.6</v>
      </c>
      <c r="BH277" s="5">
        <f t="array" ref="BH277">IFERROR(INDEX(BH$173:BH$271, SMALL(IF($AX$173:$AX$271="Claim", ROW(BH$173:BH$271)-MIN(ROW(BH$173:BH$271))+1, ""), ROW(J3))), "")</f>
        <v>0</v>
      </c>
      <c r="BI277" s="5">
        <f t="array" ref="BI277">IFERROR(INDEX(BI$173:BI$271, SMALL(IF($AX$173:$AX$271="Claim", ROW(BI$173:BI$271)-MIN(ROW(BI$173:BI$271))+1, ""), ROW(K3))), "")</f>
        <v>13.6</v>
      </c>
      <c r="BJ277" s="5">
        <f t="array" ref="BJ277">IFERROR(INDEX(BJ$173:BJ$271, SMALL(IF($AX$173:$AX$271="Claim", ROW(BJ$173:BJ$271)-MIN(ROW(BJ$173:BJ$271))+1, ""), ROW(L3))), "")</f>
        <v>0</v>
      </c>
      <c r="BK277" s="5">
        <f t="array" ref="BK277">IFERROR(INDEX(BK$173:BK$271, SMALL(IF($AX$173:$AX$271="Claim", ROW(BK$173:BK$271)-MIN(ROW(BK$173:BK$271))+1, ""), ROW(M3))), "")</f>
        <v>13.6</v>
      </c>
      <c r="BL277" s="5">
        <f t="array" ref="BL277">IFERROR(INDEX(BL$173:BL$271, SMALL(IF($AX$173:$AX$271="Claim", ROW(BL$173:BL$271)-MIN(ROW(BL$173:BL$271))+1, ""), ROW(N3))), "")</f>
        <v>0</v>
      </c>
      <c r="BM277" s="5">
        <f t="array" ref="BM277">IFERROR(INDEX(BM$173:BM$271, SMALL(IF($AX$173:$AX$271="Claim", ROW(BM$173:BM$271)-MIN(ROW(BM$173:BM$271))+1, ""), ROW(O3))), "")</f>
        <v>13.6</v>
      </c>
      <c r="BN277" s="5">
        <f t="array" ref="BN277">IFERROR(INDEX(BN$173:BN$271, SMALL(IF($AX$173:$AX$271="Claim", ROW(BN$173:BN$271)-MIN(ROW(BN$173:BN$271))+1, ""), ROW(P3))), "")</f>
        <v>0</v>
      </c>
      <c r="BO277" s="5">
        <f t="array" ref="BO277">IFERROR(INDEX(BO$173:BO$271, SMALL(IF($AX$173:$AX$271="Claim", ROW(BO$173:BO$271)-MIN(ROW(BO$173:BO$271))+1, ""), ROW(Q3))), "")</f>
        <v>13.6</v>
      </c>
      <c r="BP277" s="5">
        <f t="array" ref="BP277">IFERROR(INDEX(BP$173:BP$271, SMALL(IF($AX$173:$AX$271="Claim", ROW(BP$173:BP$271)-MIN(ROW(BP$173:BP$271))+1, ""), ROW(R3))), "")</f>
        <v>0</v>
      </c>
      <c r="BQ277" s="5">
        <f t="array" ref="BQ277">IFERROR(INDEX(BQ$173:BQ$271, SMALL(IF($AX$173:$AX$271="Claim", ROW(BQ$173:BQ$271)-MIN(ROW(BQ$173:BQ$271))+1, ""), ROW(S3))), "")</f>
        <v>13.6</v>
      </c>
      <c r="BR277" s="5">
        <f t="array" ref="BR277">IFERROR(INDEX(BR$173:BR$271, SMALL(IF($AX$173:$AX$271="Claim", ROW(BR$173:BR$271)-MIN(ROW(BR$173:BR$271))+1, ""), ROW(T3))), "")</f>
        <v>0</v>
      </c>
      <c r="BS277" s="5">
        <f t="array" ref="BS277">IFERROR(INDEX(BS$173:BS$271, SMALL(IF($AX$173:$AX$271="Claim", ROW(BS$173:BS$271)-MIN(ROW(BS$173:BS$271))+1, ""), ROW(U3))), "")</f>
        <v>13.6</v>
      </c>
      <c r="BT277" s="5">
        <f t="array" ref="BT277">IFERROR(INDEX(BT$173:BT$271, SMALL(IF($AX$173:$AX$271="Claim", ROW(BT$173:BT$271)-MIN(ROW(BT$173:BT$271))+1, ""), ROW(V3))), "")</f>
        <v>0</v>
      </c>
      <c r="BU277" s="5">
        <f t="array" ref="BU277">IFERROR(INDEX(BU$173:BU$271, SMALL(IF($AX$173:$AX$271="Claim", ROW(BU$173:BU$271)-MIN(ROW(BU$173:BU$271))+1, ""), ROW(W3))), "")</f>
        <v>13.6</v>
      </c>
      <c r="BV277" s="5">
        <f t="array" ref="BV277">IFERROR(INDEX(BV$173:BV$271, SMALL(IF($AX$173:$AX$271="Claim", ROW(BV$173:BV$271)-MIN(ROW(BV$173:BV$271))+1, ""), ROW(X3))), "")</f>
        <v>0</v>
      </c>
      <c r="BW277" s="5">
        <f t="array" ref="BW277">IFERROR(INDEX(BW$173:BW$271, SMALL(IF($AX$173:$AX$271="Claim", ROW(BW$173:BW$271)-MIN(ROW(BW$173:BW$271))+1, ""), ROW(Y3))), "")</f>
        <v>13.6</v>
      </c>
      <c r="BX277" s="5">
        <f t="array" ref="BX277">IFERROR(INDEX(BX$173:BX$271, SMALL(IF($AX$173:$AX$271="Claim", ROW(BX$173:BX$271)-MIN(ROW(BX$173:BX$271))+1, ""), ROW(Z3))), "")</f>
        <v>0</v>
      </c>
      <c r="BY277" s="5">
        <f t="array" ref="BY277">IFERROR(INDEX(BY$173:BY$271, SMALL(IF($AX$173:$AX$271="Claim", ROW(BY$173:BY$271)-MIN(ROW(BY$173:BY$271))+1, ""), ROW(AA3))), "")</f>
        <v>13.6</v>
      </c>
      <c r="BZ277" s="5">
        <f t="array" ref="BZ277">IFERROR(INDEX(BZ$173:BZ$271, SMALL(IF($AX$173:$AX$271="Claim", ROW(BZ$173:BZ$271)-MIN(ROW(BZ$173:BZ$271))+1, ""), ROW(AB3))), "")</f>
        <v>0</v>
      </c>
      <c r="CA277" s="5">
        <f t="array" ref="CA277">IFERROR(INDEX(CA$173:CA$271, SMALL(IF($AX$173:$AX$271="Claim", ROW(CA$173:CA$271)-MIN(ROW(CA$173:CA$271))+1, ""), ROW(AC3))), "")</f>
        <v>13.6</v>
      </c>
      <c r="CB277" s="5">
        <f t="array" ref="CB277">IFERROR(INDEX(CB$173:CB$271, SMALL(IF($AX$173:$AX$271="Claim", ROW(CB$173:CB$271)-MIN(ROW(CB$173:CB$271))+1, ""), ROW(AD3))), "")</f>
        <v>0</v>
      </c>
      <c r="CC277" s="5">
        <f t="array" ref="CC277">IFERROR(INDEX(CC$173:CC$271, SMALL(IF($AX$173:$AX$271="Claim", ROW(CC$173:CC$271)-MIN(ROW(CC$173:CC$271))+1, ""), ROW(AE3))), "")</f>
        <v>13.6</v>
      </c>
      <c r="CD277" s="5">
        <f t="array" ref="CD277">IFERROR(INDEX(CD$173:CD$271, SMALL(IF($AX$173:$AX$271="Claim", ROW(CD$173:CD$271)-MIN(ROW(CD$173:CD$271))+1, ""), ROW(AF3))), "")</f>
        <v>0</v>
      </c>
      <c r="CE277" s="5">
        <f t="array" ref="CE277">IFERROR(INDEX(CE$173:CE$271, SMALL(IF($AX$173:$AX$271="Claim", ROW(CE$173:CE$271)-MIN(ROW(CE$173:CE$271))+1, ""), ROW(AG3))), "")</f>
        <v>13.6</v>
      </c>
      <c r="CF277" s="5">
        <f t="array" ref="CF277">IFERROR(INDEX(CF$173:CF$271, SMALL(IF($AX$173:$AX$271="Claim", ROW(CF$173:CF$271)-MIN(ROW(CF$173:CF$271))+1, ""), ROW(AH3))), "")</f>
        <v>0</v>
      </c>
      <c r="CG277" s="5">
        <f t="array" ref="CG277">IFERROR(INDEX(CG$173:CG$271, SMALL(IF($AX$173:$AX$271="Claim", ROW(CG$173:CG$271)-MIN(ROW(CG$173:CG$271))+1, ""), ROW(AI3))), "")</f>
        <v>13.6</v>
      </c>
      <c r="CH277" s="5">
        <f t="array" ref="CH277">IFERROR(INDEX(CH$173:CH$271, SMALL(IF($AX$173:$AX$271="Claim", ROW(CH$173:CH$271)-MIN(ROW(CH$173:CH$271))+1, ""), ROW(AJ3))), "")</f>
        <v>0</v>
      </c>
      <c r="CI277" s="5">
        <f t="array" ref="CI277">IFERROR(INDEX(CI$173:CI$271, SMALL(IF($AX$173:$AX$271="Claim", ROW(CI$173:CI$271)-MIN(ROW(CI$173:CI$271))+1, ""), ROW(AK3))), "")</f>
        <v>0</v>
      </c>
      <c r="CJ277" s="5">
        <f t="array" ref="CJ277">IFERROR(INDEX(CJ$173:CJ$271, SMALL(IF($AX$173:$AX$271="Claim", ROW(CJ$173:CJ$271)-MIN(ROW(CJ$173:CJ$271))+1, ""), ROW(AL3))), "")</f>
        <v>0</v>
      </c>
    </row>
    <row r="278" spans="49:88" hidden="1" x14ac:dyDescent="0.2">
      <c r="AX278" s="5">
        <v>4</v>
      </c>
      <c r="AY278" s="327">
        <f t="array" ref="AY278">IFERROR(INDEX(AY$173:AY$271, SMALL(IF($AX$173:$AX$271="Claim", ROW(AY$173:AY$271)-MIN(ROW(AY$173:AY$271))+1, ""), ROW(A4))), "")</f>
        <v>44599</v>
      </c>
      <c r="AZ278" s="327">
        <f t="array" ref="AZ278">IFERROR(INDEX(AZ$173:AZ$271, SMALL(IF($AX$173:$AX$271="Claim", ROW(AZ$173:AZ$271)-MIN(ROW(AZ$173:AZ$271))+1, ""), ROW(B4))), "")</f>
        <v>44613</v>
      </c>
      <c r="BA278" s="5">
        <f t="array" ref="BA278">IFERROR(INDEX(BA$173:BA$275, SMALL(IF($AX$173:$AX$275="Claim", ROW(BA$173:BA$275)-MIN(ROW(BA$173:BA$275))+1, ""), ROW(C4))), "")</f>
        <v>9</v>
      </c>
      <c r="BB278" s="5">
        <f t="array" ref="BB278">IFERROR(INDEX(BB$173:BB$271, SMALL(IF($AX$173:$AX$271="Claim", ROW(BB$173:BB$271)-MIN(ROW(BB$173:BB$271))+1, ""), ROW(D4))), "")</f>
        <v>0</v>
      </c>
      <c r="BC278" s="5">
        <f t="array" ref="BC278">IFERROR(INDEX(BC$173:BC$271, SMALL(IF($AX$173:$AX$271="Claim", ROW(BC$173:BC$271)-MIN(ROW(BC$173:BC$271))+1, ""), ROW(E4))), "")</f>
        <v>0</v>
      </c>
      <c r="BD278" s="5">
        <f t="array" ref="BD278">IFERROR(INDEX(BD$173:BD$271, SMALL(IF($AX$173:$AX$271="Claim", ROW(BD$173:BD$271)-MIN(ROW(BD$173:BD$271))+1, ""), ROW(F4))), "")</f>
        <v>0</v>
      </c>
      <c r="BE278" s="5">
        <f t="array" ref="BE278">IFERROR(INDEX(BE$173:BE$271, SMALL(IF($AX$173:$AX$271="Claim", ROW(BE$173:BE$271)-MIN(ROW(BE$173:BE$271))+1, ""), ROW(G4))), "")</f>
        <v>0</v>
      </c>
      <c r="BF278" s="5">
        <f t="array" ref="BF278">IFERROR(INDEX(BF$173:BF$271, SMALL(IF($AX$173:$AX$271="Claim", ROW(BF$173:BF$271)-MIN(ROW(BF$173:BF$271))+1, ""), ROW(H4))), "")</f>
        <v>0</v>
      </c>
      <c r="BG278" s="5">
        <f t="array" ref="BG278">IFERROR(INDEX(BG$173:BG$271, SMALL(IF($AX$173:$AX$271="Claim", ROW(BG$173:BG$271)-MIN(ROW(BG$173:BG$271))+1, ""), ROW(I4))), "")</f>
        <v>0</v>
      </c>
      <c r="BH278" s="5">
        <f t="array" ref="BH278">IFERROR(INDEX(BH$173:BH$271, SMALL(IF($AX$173:$AX$271="Claim", ROW(BH$173:BH$271)-MIN(ROW(BH$173:BH$271))+1, ""), ROW(J4))), "")</f>
        <v>0</v>
      </c>
      <c r="BI278" s="5">
        <f t="array" ref="BI278">IFERROR(INDEX(BI$173:BI$271, SMALL(IF($AX$173:$AX$271="Claim", ROW(BI$173:BI$271)-MIN(ROW(BI$173:BI$271))+1, ""), ROW(K4))), "")</f>
        <v>0</v>
      </c>
      <c r="BJ278" s="5">
        <f t="array" ref="BJ278">IFERROR(INDEX(BJ$173:BJ$271, SMALL(IF($AX$173:$AX$271="Claim", ROW(BJ$173:BJ$271)-MIN(ROW(BJ$173:BJ$271))+1, ""), ROW(L4))), "")</f>
        <v>0</v>
      </c>
      <c r="BK278" s="5">
        <f t="array" ref="BK278">IFERROR(INDEX(BK$173:BK$271, SMALL(IF($AX$173:$AX$271="Claim", ROW(BK$173:BK$271)-MIN(ROW(BK$173:BK$271))+1, ""), ROW(M4))), "")</f>
        <v>0</v>
      </c>
      <c r="BL278" s="5">
        <f t="array" ref="BL278">IFERROR(INDEX(BL$173:BL$271, SMALL(IF($AX$173:$AX$271="Claim", ROW(BL$173:BL$271)-MIN(ROW(BL$173:BL$271))+1, ""), ROW(N4))), "")</f>
        <v>0</v>
      </c>
      <c r="BM278" s="5">
        <f t="array" ref="BM278">IFERROR(INDEX(BM$173:BM$271, SMALL(IF($AX$173:$AX$271="Claim", ROW(BM$173:BM$271)-MIN(ROW(BM$173:BM$271))+1, ""), ROW(O4))), "")</f>
        <v>0</v>
      </c>
      <c r="BN278" s="5">
        <f t="array" ref="BN278">IFERROR(INDEX(BN$173:BN$271, SMALL(IF($AX$173:$AX$271="Claim", ROW(BN$173:BN$271)-MIN(ROW(BN$173:BN$271))+1, ""), ROW(P4))), "")</f>
        <v>0</v>
      </c>
      <c r="BO278" s="5">
        <f t="array" ref="BO278">IFERROR(INDEX(BO$173:BO$271, SMALL(IF($AX$173:$AX$271="Claim", ROW(BO$173:BO$271)-MIN(ROW(BO$173:BO$271))+1, ""), ROW(Q4))), "")</f>
        <v>0</v>
      </c>
      <c r="BP278" s="5">
        <f t="array" ref="BP278">IFERROR(INDEX(BP$173:BP$271, SMALL(IF($AX$173:$AX$271="Claim", ROW(BP$173:BP$271)-MIN(ROW(BP$173:BP$271))+1, ""), ROW(R4))), "")</f>
        <v>0</v>
      </c>
      <c r="BQ278" s="5">
        <f t="array" ref="BQ278">IFERROR(INDEX(BQ$173:BQ$271, SMALL(IF($AX$173:$AX$271="Claim", ROW(BQ$173:BQ$271)-MIN(ROW(BQ$173:BQ$271))+1, ""), ROW(S4))), "")</f>
        <v>0</v>
      </c>
      <c r="BR278" s="5">
        <f t="array" ref="BR278">IFERROR(INDEX(BR$173:BR$271, SMALL(IF($AX$173:$AX$271="Claim", ROW(BR$173:BR$271)-MIN(ROW(BR$173:BR$271))+1, ""), ROW(T4))), "")</f>
        <v>0</v>
      </c>
      <c r="BS278" s="5">
        <f t="array" ref="BS278">IFERROR(INDEX(BS$173:BS$271, SMALL(IF($AX$173:$AX$271="Claim", ROW(BS$173:BS$271)-MIN(ROW(BS$173:BS$271))+1, ""), ROW(U4))), "")</f>
        <v>0</v>
      </c>
      <c r="BT278" s="5">
        <f t="array" ref="BT278">IFERROR(INDEX(BT$173:BT$271, SMALL(IF($AX$173:$AX$271="Claim", ROW(BT$173:BT$271)-MIN(ROW(BT$173:BT$271))+1, ""), ROW(V4))), "")</f>
        <v>0</v>
      </c>
      <c r="BU278" s="5">
        <f t="array" ref="BU278">IFERROR(INDEX(BU$173:BU$271, SMALL(IF($AX$173:$AX$271="Claim", ROW(BU$173:BU$271)-MIN(ROW(BU$173:BU$271))+1, ""), ROW(W4))), "")</f>
        <v>0</v>
      </c>
      <c r="BV278" s="5">
        <f t="array" ref="BV278">IFERROR(INDEX(BV$173:BV$271, SMALL(IF($AX$173:$AX$271="Claim", ROW(BV$173:BV$271)-MIN(ROW(BV$173:BV$271))+1, ""), ROW(X4))), "")</f>
        <v>0</v>
      </c>
      <c r="BW278" s="5">
        <f t="array" ref="BW278">IFERROR(INDEX(BW$173:BW$271, SMALL(IF($AX$173:$AX$271="Claim", ROW(BW$173:BW$271)-MIN(ROW(BW$173:BW$271))+1, ""), ROW(Y4))), "")</f>
        <v>0</v>
      </c>
      <c r="BX278" s="5">
        <f t="array" ref="BX278">IFERROR(INDEX(BX$173:BX$271, SMALL(IF($AX$173:$AX$271="Claim", ROW(BX$173:BX$271)-MIN(ROW(BX$173:BX$271))+1, ""), ROW(Z4))), "")</f>
        <v>0</v>
      </c>
      <c r="BY278" s="5">
        <f t="array" ref="BY278">IFERROR(INDEX(BY$173:BY$271, SMALL(IF($AX$173:$AX$271="Claim", ROW(BY$173:BY$271)-MIN(ROW(BY$173:BY$271))+1, ""), ROW(AA4))), "")</f>
        <v>0</v>
      </c>
      <c r="BZ278" s="5">
        <f t="array" ref="BZ278">IFERROR(INDEX(BZ$173:BZ$271, SMALL(IF($AX$173:$AX$271="Claim", ROW(BZ$173:BZ$271)-MIN(ROW(BZ$173:BZ$271))+1, ""), ROW(AB4))), "")</f>
        <v>0</v>
      </c>
      <c r="CA278" s="5">
        <f t="array" ref="CA278">IFERROR(INDEX(CA$173:CA$271, SMALL(IF($AX$173:$AX$271="Claim", ROW(CA$173:CA$271)-MIN(ROW(CA$173:CA$271))+1, ""), ROW(AC4))), "")</f>
        <v>0</v>
      </c>
      <c r="CB278" s="5">
        <f t="array" ref="CB278">IFERROR(INDEX(CB$173:CB$271, SMALL(IF($AX$173:$AX$271="Claim", ROW(CB$173:CB$271)-MIN(ROW(CB$173:CB$271))+1, ""), ROW(AD4))), "")</f>
        <v>0</v>
      </c>
      <c r="CC278" s="5">
        <f t="array" ref="CC278">IFERROR(INDEX(CC$173:CC$271, SMALL(IF($AX$173:$AX$271="Claim", ROW(CC$173:CC$271)-MIN(ROW(CC$173:CC$271))+1, ""), ROW(AE4))), "")</f>
        <v>0</v>
      </c>
      <c r="CD278" s="5">
        <f t="array" ref="CD278">IFERROR(INDEX(CD$173:CD$271, SMALL(IF($AX$173:$AX$271="Claim", ROW(CD$173:CD$271)-MIN(ROW(CD$173:CD$271))+1, ""), ROW(AF4))), "")</f>
        <v>0</v>
      </c>
      <c r="CE278" s="5">
        <f t="array" ref="CE278">IFERROR(INDEX(CE$173:CE$271, SMALL(IF($AX$173:$AX$271="Claim", ROW(CE$173:CE$271)-MIN(ROW(CE$173:CE$271))+1, ""), ROW(AG4))), "")</f>
        <v>0</v>
      </c>
      <c r="CF278" s="5">
        <f t="array" ref="CF278">IFERROR(INDEX(CF$173:CF$271, SMALL(IF($AX$173:$AX$271="Claim", ROW(CF$173:CF$271)-MIN(ROW(CF$173:CF$271))+1, ""), ROW(AH4))), "")</f>
        <v>0</v>
      </c>
      <c r="CG278" s="5">
        <f t="array" ref="CG278">IFERROR(INDEX(CG$173:CG$271, SMALL(IF($AX$173:$AX$271="Claim", ROW(CG$173:CG$271)-MIN(ROW(CG$173:CG$271))+1, ""), ROW(AI4))), "")</f>
        <v>0</v>
      </c>
      <c r="CH278" s="5">
        <f t="array" ref="CH278">IFERROR(INDEX(CH$173:CH$271, SMALL(IF($AX$173:$AX$271="Claim", ROW(CH$173:CH$271)-MIN(ROW(CH$173:CH$271))+1, ""), ROW(AJ4))), "")</f>
        <v>27.923520000000003</v>
      </c>
      <c r="CI278" s="5">
        <f t="array" ref="CI278">IFERROR(INDEX(CI$173:CI$271, SMALL(IF($AX$173:$AX$271="Claim", ROW(CI$173:CI$271)-MIN(ROW(CI$173:CI$271))+1, ""), ROW(AK4))), "")</f>
        <v>0</v>
      </c>
      <c r="CJ278" s="5">
        <f t="array" ref="CJ278">IFERROR(INDEX(CJ$173:CJ$271, SMALL(IF($AX$173:$AX$271="Claim", ROW(CJ$173:CJ$271)-MIN(ROW(CJ$173:CJ$271))+1, ""), ROW(AL4))), "")</f>
        <v>0</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07/02/2022</v>
      </c>
      <c r="AZ377" s="5" t="str">
        <f>TEXT(AZ275,"dd/mm/yyyy")</f>
        <v>07/02/2022</v>
      </c>
      <c r="BA377" s="5" t="str">
        <f t="shared" ref="BA377:BA408" si="231">TEXT(BA275,"000000000")</f>
        <v>000000009</v>
      </c>
      <c r="BB377" s="5" t="str">
        <f t="shared" ref="BB377:BB408" si="232">TEXT(IF(BB275=0,"",BB275),"0.0000")</f>
        <v>4.0000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14/02/2022</v>
      </c>
      <c r="AZ378" s="5" t="str">
        <f t="shared" si="265"/>
        <v>14/02/2022</v>
      </c>
      <c r="BA378" s="5" t="str">
        <f t="shared" si="231"/>
        <v>000000009</v>
      </c>
      <c r="BB378" s="5" t="str">
        <f t="shared" si="232"/>
        <v>4.0000</v>
      </c>
      <c r="BC378" s="5" t="str">
        <f t="shared" si="233"/>
        <v>13.60</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hidden="1" x14ac:dyDescent="0.2">
      <c r="AX379" s="5">
        <v>3</v>
      </c>
      <c r="AY379" s="5" t="str">
        <f t="shared" ref="AY379:AZ379" si="267">TEXT(AY277,"dd/mm/yyyy")</f>
        <v>21/02/2022</v>
      </c>
      <c r="AZ379" s="5" t="str">
        <f t="shared" si="267"/>
        <v>21/02/2022</v>
      </c>
      <c r="BA379" s="5" t="str">
        <f t="shared" si="231"/>
        <v>000000009</v>
      </c>
      <c r="BB379" s="5" t="str">
        <f t="shared" si="232"/>
        <v>4.0000</v>
      </c>
      <c r="BC379" s="5" t="str">
        <f t="shared" si="233"/>
        <v>13.60</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07/02/2022</v>
      </c>
      <c r="AZ380" s="5" t="str">
        <f t="shared" si="269"/>
        <v>21/02/2022</v>
      </c>
      <c r="BA380" s="5" t="str">
        <f t="shared" si="231"/>
        <v>000000009</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27.92</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31 January - 27 February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 xml:space="preserve">Engineering and Physical Sciences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60" t="str">
        <f>IF(E3&lt;&gt;"Please enter",'UniWorkforce Hourly Timesheet'!E3,IF(P3&lt;&gt;"Please enter",'UniWorkforce Fixed Fee Claim'!F3,"Enter details on timesheet first"))</f>
        <v>Georgios</v>
      </c>
      <c r="F12" s="760"/>
      <c r="G12" s="760"/>
      <c r="H12" s="760"/>
      <c r="I12" s="760"/>
      <c r="J12" s="760"/>
      <c r="K12" s="760"/>
      <c r="L12" s="760"/>
      <c r="M12" s="760"/>
      <c r="N12" s="760"/>
      <c r="O12" s="760"/>
      <c r="P12" s="760"/>
      <c r="Q12" s="2"/>
      <c r="R12" s="475" t="s">
        <v>60</v>
      </c>
      <c r="S12" s="475"/>
      <c r="T12" s="475"/>
      <c r="U12" s="475"/>
      <c r="V12" s="475"/>
      <c r="W12" s="475"/>
      <c r="X12" s="475"/>
      <c r="Y12" s="475"/>
      <c r="Z12" s="760" t="str">
        <f>IF(E4&lt;&gt;"Please enter",'UniWorkforce Hourly Timesheet'!Z3,IF(P4&lt;&gt;"Please enter",'UniWorkforce Fixed Fee Claim'!AC3,"Enter details on timesheet first"))</f>
        <v>Giamouridis</v>
      </c>
      <c r="AA12" s="760"/>
      <c r="AB12" s="760"/>
      <c r="AC12" s="760"/>
      <c r="AD12" s="760"/>
      <c r="AE12" s="760"/>
      <c r="AF12" s="760"/>
      <c r="AG12" s="760"/>
      <c r="AH12" s="760"/>
      <c r="AI12" s="760"/>
      <c r="AJ12" s="760"/>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2" t="str">
        <f>IF(E5&lt;&gt;"Please select claim period",'UniWorkforce Hourly Timesheet'!E7,IF(P5&lt;&gt;"Please select claim period",'UniWorkforce Fixed Fee Claim'!F7,"Enter details on timesheet first"))</f>
        <v>31 January - 27 February 2022</v>
      </c>
      <c r="F14" s="763"/>
      <c r="G14" s="763"/>
      <c r="H14" s="763"/>
      <c r="I14" s="763"/>
      <c r="J14" s="763"/>
      <c r="K14" s="763"/>
      <c r="L14" s="763"/>
      <c r="M14" s="763"/>
      <c r="N14" s="763"/>
      <c r="O14" s="763"/>
      <c r="P14" s="764"/>
      <c r="Q14" s="5"/>
      <c r="R14" s="475" t="s">
        <v>62</v>
      </c>
      <c r="S14" s="475"/>
      <c r="T14" s="475"/>
      <c r="U14" s="475"/>
      <c r="V14" s="475"/>
      <c r="W14" s="475"/>
      <c r="X14" s="475"/>
      <c r="Y14" s="475"/>
      <c r="Z14" s="761">
        <f>IF(E6&lt;&gt;0,'UniWorkforce Hourly Timesheet'!Z5,IF(P6&lt;&gt;0,'UniWorkforce Fixed Fee Claim'!AC5,"Enter details on timesheet first"))</f>
        <v>2915413</v>
      </c>
      <c r="AA14" s="761"/>
      <c r="AB14" s="761"/>
      <c r="AC14" s="761"/>
      <c r="AD14" s="761"/>
      <c r="AE14" s="761"/>
      <c r="AF14" s="761"/>
      <c r="AG14" s="761"/>
      <c r="AH14" s="761"/>
      <c r="AI14" s="761"/>
      <c r="AJ14" s="761"/>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60" t="str">
        <f>IF(E7&lt;&gt;"Please select faculty",'UniWorkforce Hourly Timesheet'!E9,IF(P7&lt;&gt;"Please select faculty",'UniWorkforce Fixed Fee Claim'!F9,"Enter details on timesheet first"))</f>
        <v xml:space="preserve">Engineering and Physical Sciences </v>
      </c>
      <c r="F16" s="760"/>
      <c r="G16" s="760"/>
      <c r="H16" s="760"/>
      <c r="I16" s="760"/>
      <c r="J16" s="760"/>
      <c r="K16" s="760"/>
      <c r="L16" s="760"/>
      <c r="M16" s="760"/>
      <c r="N16" s="760"/>
      <c r="O16" s="760"/>
      <c r="P16" s="760"/>
      <c r="Q16" s="3"/>
      <c r="R16" s="484" t="s">
        <v>217</v>
      </c>
      <c r="S16" s="485"/>
      <c r="T16" s="485"/>
      <c r="U16" s="485"/>
      <c r="V16" s="485"/>
      <c r="W16" s="768" t="str">
        <f>IF(E8&lt;&gt;"Select faculty first",'UniWorkforce Hourly Timesheet'!W9,IF(P8&lt;&gt;"Select faculty first",'UniWorkforce Fixed Fee Claim'!Z9,"Enter details on timesheet first"))</f>
        <v xml:space="preserve">Engineering and Physical Sciences </v>
      </c>
      <c r="X16" s="769"/>
      <c r="Y16" s="769"/>
      <c r="Z16" s="769"/>
      <c r="AA16" s="769"/>
      <c r="AB16" s="769"/>
      <c r="AC16" s="769"/>
      <c r="AD16" s="769"/>
      <c r="AE16" s="769"/>
      <c r="AF16" s="769"/>
      <c r="AG16" s="769"/>
      <c r="AH16" s="769"/>
      <c r="AI16" s="769"/>
      <c r="AJ16" s="770"/>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72" t="s">
        <v>220</v>
      </c>
      <c r="F18" s="772"/>
      <c r="G18" s="772"/>
      <c r="H18" s="772"/>
      <c r="I18" s="772"/>
      <c r="J18" s="772"/>
      <c r="K18" s="772"/>
      <c r="L18" s="772"/>
      <c r="M18" s="772"/>
      <c r="N18" s="772"/>
      <c r="O18" s="772" t="s">
        <v>221</v>
      </c>
      <c r="P18" s="772"/>
      <c r="Q18" s="772"/>
      <c r="R18" s="772"/>
      <c r="S18" s="772"/>
      <c r="T18" s="772"/>
      <c r="U18" s="772"/>
      <c r="V18" s="772"/>
      <c r="W18" s="772"/>
      <c r="X18" s="772"/>
      <c r="Y18" s="475" t="s">
        <v>222</v>
      </c>
      <c r="Z18" s="475"/>
      <c r="AA18" s="475"/>
      <c r="AB18" s="475"/>
      <c r="AC18" s="475" t="s">
        <v>223</v>
      </c>
      <c r="AD18" s="475"/>
      <c r="AE18" s="475"/>
      <c r="AF18" s="771" t="s">
        <v>224</v>
      </c>
      <c r="AG18" s="771"/>
      <c r="AH18" s="771"/>
      <c r="AI18" s="771"/>
      <c r="AJ18" s="771"/>
      <c r="AK18" s="61" t="s">
        <v>225</v>
      </c>
      <c r="AL18" s="61" t="s">
        <v>226</v>
      </c>
      <c r="AM18" s="45"/>
      <c r="AP18" s="1" t="s">
        <v>227</v>
      </c>
    </row>
    <row r="19" spans="2:47" ht="15" customHeight="1" x14ac:dyDescent="0.2">
      <c r="B19" s="40"/>
      <c r="D19" s="69"/>
      <c r="E19" s="756" t="s">
        <v>228</v>
      </c>
      <c r="F19" s="482"/>
      <c r="G19" s="482"/>
      <c r="H19" s="482"/>
      <c r="I19" s="482"/>
      <c r="J19" s="482"/>
      <c r="K19" s="482"/>
      <c r="L19" s="482"/>
      <c r="M19" s="482"/>
      <c r="N19" s="483"/>
      <c r="O19" s="756" t="s">
        <v>227</v>
      </c>
      <c r="P19" s="482"/>
      <c r="Q19" s="482"/>
      <c r="R19" s="482"/>
      <c r="S19" s="482"/>
      <c r="T19" s="482"/>
      <c r="U19" s="482"/>
      <c r="V19" s="482"/>
      <c r="W19" s="482"/>
      <c r="X19" s="483"/>
      <c r="Y19" s="757"/>
      <c r="Z19" s="758"/>
      <c r="AA19" s="758"/>
      <c r="AB19" s="759"/>
      <c r="AC19" s="554"/>
      <c r="AD19" s="555"/>
      <c r="AE19" s="556"/>
      <c r="AF19" s="753">
        <f>IF(O19&lt;&gt;$AP$21,0,IF(AC19&lt;=0,0,IF(AC19&lt;=50,AC19*0.4,(50*0.4)+((AC19-50)*0.23))))</f>
        <v>0</v>
      </c>
      <c r="AG19" s="754"/>
      <c r="AH19" s="754"/>
      <c r="AI19" s="754"/>
      <c r="AJ19" s="755"/>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56" t="s">
        <v>228</v>
      </c>
      <c r="F20" s="482"/>
      <c r="G20" s="482"/>
      <c r="H20" s="482"/>
      <c r="I20" s="482"/>
      <c r="J20" s="482"/>
      <c r="K20" s="482"/>
      <c r="L20" s="482"/>
      <c r="M20" s="482"/>
      <c r="N20" s="483"/>
      <c r="O20" s="756" t="s">
        <v>227</v>
      </c>
      <c r="P20" s="482"/>
      <c r="Q20" s="482"/>
      <c r="R20" s="482"/>
      <c r="S20" s="482"/>
      <c r="T20" s="482"/>
      <c r="U20" s="482"/>
      <c r="V20" s="482"/>
      <c r="W20" s="482"/>
      <c r="X20" s="483"/>
      <c r="Y20" s="757"/>
      <c r="Z20" s="758"/>
      <c r="AA20" s="758"/>
      <c r="AB20" s="759"/>
      <c r="AC20" s="554"/>
      <c r="AD20" s="555"/>
      <c r="AE20" s="556"/>
      <c r="AF20" s="753">
        <f t="shared" ref="AF20:AF32" si="0">IF(O20&lt;&gt;$AP$21,0,IF(AC20&lt;=0,0,IF(AC20&lt;=50,AC20*0.4,(50*0.4)+((AC20-50)*0.23))))</f>
        <v>0</v>
      </c>
      <c r="AG20" s="754"/>
      <c r="AH20" s="754"/>
      <c r="AI20" s="754"/>
      <c r="AJ20" s="755"/>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56" t="s">
        <v>228</v>
      </c>
      <c r="F21" s="482"/>
      <c r="G21" s="482"/>
      <c r="H21" s="482"/>
      <c r="I21" s="482"/>
      <c r="J21" s="482"/>
      <c r="K21" s="482"/>
      <c r="L21" s="482"/>
      <c r="M21" s="482"/>
      <c r="N21" s="483"/>
      <c r="O21" s="756" t="s">
        <v>227</v>
      </c>
      <c r="P21" s="482"/>
      <c r="Q21" s="482"/>
      <c r="R21" s="482"/>
      <c r="S21" s="482"/>
      <c r="T21" s="482"/>
      <c r="U21" s="482"/>
      <c r="V21" s="482"/>
      <c r="W21" s="482"/>
      <c r="X21" s="483"/>
      <c r="Y21" s="757"/>
      <c r="Z21" s="758"/>
      <c r="AA21" s="758"/>
      <c r="AB21" s="759"/>
      <c r="AC21" s="554"/>
      <c r="AD21" s="555"/>
      <c r="AE21" s="556"/>
      <c r="AF21" s="753">
        <f t="shared" si="0"/>
        <v>0</v>
      </c>
      <c r="AG21" s="754"/>
      <c r="AH21" s="754"/>
      <c r="AI21" s="754"/>
      <c r="AJ21" s="755"/>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56" t="s">
        <v>228</v>
      </c>
      <c r="F22" s="482"/>
      <c r="G22" s="482"/>
      <c r="H22" s="482"/>
      <c r="I22" s="482"/>
      <c r="J22" s="482"/>
      <c r="K22" s="482"/>
      <c r="L22" s="482"/>
      <c r="M22" s="482"/>
      <c r="N22" s="483"/>
      <c r="O22" s="756" t="s">
        <v>227</v>
      </c>
      <c r="P22" s="482"/>
      <c r="Q22" s="482"/>
      <c r="R22" s="482"/>
      <c r="S22" s="482"/>
      <c r="T22" s="482"/>
      <c r="U22" s="482"/>
      <c r="V22" s="482"/>
      <c r="W22" s="482"/>
      <c r="X22" s="483"/>
      <c r="Y22" s="757"/>
      <c r="Z22" s="758"/>
      <c r="AA22" s="758"/>
      <c r="AB22" s="759"/>
      <c r="AC22" s="554"/>
      <c r="AD22" s="555"/>
      <c r="AE22" s="556"/>
      <c r="AF22" s="753">
        <f t="shared" si="0"/>
        <v>0</v>
      </c>
      <c r="AG22" s="754"/>
      <c r="AH22" s="754"/>
      <c r="AI22" s="754"/>
      <c r="AJ22" s="755"/>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56" t="s">
        <v>228</v>
      </c>
      <c r="F23" s="482"/>
      <c r="G23" s="482"/>
      <c r="H23" s="482"/>
      <c r="I23" s="482"/>
      <c r="J23" s="482"/>
      <c r="K23" s="482"/>
      <c r="L23" s="482"/>
      <c r="M23" s="482"/>
      <c r="N23" s="483"/>
      <c r="O23" s="756" t="s">
        <v>227</v>
      </c>
      <c r="P23" s="482"/>
      <c r="Q23" s="482"/>
      <c r="R23" s="482"/>
      <c r="S23" s="482"/>
      <c r="T23" s="482"/>
      <c r="U23" s="482"/>
      <c r="V23" s="482"/>
      <c r="W23" s="482"/>
      <c r="X23" s="483"/>
      <c r="Y23" s="757"/>
      <c r="Z23" s="758"/>
      <c r="AA23" s="758"/>
      <c r="AB23" s="759"/>
      <c r="AC23" s="554"/>
      <c r="AD23" s="555"/>
      <c r="AE23" s="556"/>
      <c r="AF23" s="753">
        <f t="shared" si="0"/>
        <v>0</v>
      </c>
      <c r="AG23" s="754"/>
      <c r="AH23" s="754"/>
      <c r="AI23" s="754"/>
      <c r="AJ23" s="755"/>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56" t="s">
        <v>228</v>
      </c>
      <c r="F24" s="482"/>
      <c r="G24" s="482"/>
      <c r="H24" s="482"/>
      <c r="I24" s="482"/>
      <c r="J24" s="482"/>
      <c r="K24" s="482"/>
      <c r="L24" s="482"/>
      <c r="M24" s="482"/>
      <c r="N24" s="483"/>
      <c r="O24" s="756" t="s">
        <v>227</v>
      </c>
      <c r="P24" s="482"/>
      <c r="Q24" s="482"/>
      <c r="R24" s="482"/>
      <c r="S24" s="482"/>
      <c r="T24" s="482"/>
      <c r="U24" s="482"/>
      <c r="V24" s="482"/>
      <c r="W24" s="482"/>
      <c r="X24" s="483"/>
      <c r="Y24" s="757"/>
      <c r="Z24" s="758"/>
      <c r="AA24" s="758"/>
      <c r="AB24" s="759"/>
      <c r="AC24" s="554"/>
      <c r="AD24" s="555"/>
      <c r="AE24" s="556"/>
      <c r="AF24" s="753">
        <f t="shared" si="0"/>
        <v>0</v>
      </c>
      <c r="AG24" s="754"/>
      <c r="AH24" s="754"/>
      <c r="AI24" s="754"/>
      <c r="AJ24" s="755"/>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56" t="s">
        <v>228</v>
      </c>
      <c r="F25" s="482"/>
      <c r="G25" s="482"/>
      <c r="H25" s="482"/>
      <c r="I25" s="482"/>
      <c r="J25" s="482"/>
      <c r="K25" s="482"/>
      <c r="L25" s="482"/>
      <c r="M25" s="482"/>
      <c r="N25" s="483"/>
      <c r="O25" s="756" t="s">
        <v>227</v>
      </c>
      <c r="P25" s="482"/>
      <c r="Q25" s="482"/>
      <c r="R25" s="482"/>
      <c r="S25" s="482"/>
      <c r="T25" s="482"/>
      <c r="U25" s="482"/>
      <c r="V25" s="482"/>
      <c r="W25" s="482"/>
      <c r="X25" s="483"/>
      <c r="Y25" s="757"/>
      <c r="Z25" s="758"/>
      <c r="AA25" s="758"/>
      <c r="AB25" s="759"/>
      <c r="AC25" s="554"/>
      <c r="AD25" s="555"/>
      <c r="AE25" s="556"/>
      <c r="AF25" s="753">
        <f t="shared" si="0"/>
        <v>0</v>
      </c>
      <c r="AG25" s="754"/>
      <c r="AH25" s="754"/>
      <c r="AI25" s="754"/>
      <c r="AJ25" s="755"/>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56" t="s">
        <v>228</v>
      </c>
      <c r="F26" s="482"/>
      <c r="G26" s="482"/>
      <c r="H26" s="482"/>
      <c r="I26" s="482"/>
      <c r="J26" s="482"/>
      <c r="K26" s="482"/>
      <c r="L26" s="482"/>
      <c r="M26" s="482"/>
      <c r="N26" s="483"/>
      <c r="O26" s="756" t="s">
        <v>227</v>
      </c>
      <c r="P26" s="482"/>
      <c r="Q26" s="482"/>
      <c r="R26" s="482"/>
      <c r="S26" s="482"/>
      <c r="T26" s="482"/>
      <c r="U26" s="482"/>
      <c r="V26" s="482"/>
      <c r="W26" s="482"/>
      <c r="X26" s="483"/>
      <c r="Y26" s="757"/>
      <c r="Z26" s="758"/>
      <c r="AA26" s="758"/>
      <c r="AB26" s="759"/>
      <c r="AC26" s="554"/>
      <c r="AD26" s="555"/>
      <c r="AE26" s="556"/>
      <c r="AF26" s="753">
        <f t="shared" si="0"/>
        <v>0</v>
      </c>
      <c r="AG26" s="754"/>
      <c r="AH26" s="754"/>
      <c r="AI26" s="754"/>
      <c r="AJ26" s="755"/>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56" t="s">
        <v>228</v>
      </c>
      <c r="F27" s="482"/>
      <c r="G27" s="482"/>
      <c r="H27" s="482"/>
      <c r="I27" s="482"/>
      <c r="J27" s="482"/>
      <c r="K27" s="482"/>
      <c r="L27" s="482"/>
      <c r="M27" s="482"/>
      <c r="N27" s="483"/>
      <c r="O27" s="756" t="s">
        <v>227</v>
      </c>
      <c r="P27" s="482"/>
      <c r="Q27" s="482"/>
      <c r="R27" s="482"/>
      <c r="S27" s="482"/>
      <c r="T27" s="482"/>
      <c r="U27" s="482"/>
      <c r="V27" s="482"/>
      <c r="W27" s="482"/>
      <c r="X27" s="483"/>
      <c r="Y27" s="757"/>
      <c r="Z27" s="758"/>
      <c r="AA27" s="758"/>
      <c r="AB27" s="759"/>
      <c r="AC27" s="554"/>
      <c r="AD27" s="555"/>
      <c r="AE27" s="556"/>
      <c r="AF27" s="753">
        <f t="shared" si="0"/>
        <v>0</v>
      </c>
      <c r="AG27" s="754"/>
      <c r="AH27" s="754"/>
      <c r="AI27" s="754"/>
      <c r="AJ27" s="755"/>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56" t="s">
        <v>228</v>
      </c>
      <c r="F28" s="482"/>
      <c r="G28" s="482"/>
      <c r="H28" s="482"/>
      <c r="I28" s="482"/>
      <c r="J28" s="482"/>
      <c r="K28" s="482"/>
      <c r="L28" s="482"/>
      <c r="M28" s="482"/>
      <c r="N28" s="483"/>
      <c r="O28" s="756" t="s">
        <v>227</v>
      </c>
      <c r="P28" s="482"/>
      <c r="Q28" s="482"/>
      <c r="R28" s="482"/>
      <c r="S28" s="482"/>
      <c r="T28" s="482"/>
      <c r="U28" s="482"/>
      <c r="V28" s="482"/>
      <c r="W28" s="482"/>
      <c r="X28" s="483"/>
      <c r="Y28" s="757"/>
      <c r="Z28" s="758"/>
      <c r="AA28" s="758"/>
      <c r="AB28" s="759"/>
      <c r="AC28" s="554"/>
      <c r="AD28" s="555"/>
      <c r="AE28" s="556"/>
      <c r="AF28" s="753">
        <f t="shared" si="0"/>
        <v>0</v>
      </c>
      <c r="AG28" s="754"/>
      <c r="AH28" s="754"/>
      <c r="AI28" s="754"/>
      <c r="AJ28" s="755"/>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56" t="s">
        <v>228</v>
      </c>
      <c r="F29" s="482"/>
      <c r="G29" s="482"/>
      <c r="H29" s="482"/>
      <c r="I29" s="482"/>
      <c r="J29" s="482"/>
      <c r="K29" s="482"/>
      <c r="L29" s="482"/>
      <c r="M29" s="482"/>
      <c r="N29" s="483"/>
      <c r="O29" s="756" t="s">
        <v>227</v>
      </c>
      <c r="P29" s="482"/>
      <c r="Q29" s="482"/>
      <c r="R29" s="482"/>
      <c r="S29" s="482"/>
      <c r="T29" s="482"/>
      <c r="U29" s="482"/>
      <c r="V29" s="482"/>
      <c r="W29" s="482"/>
      <c r="X29" s="483"/>
      <c r="Y29" s="757"/>
      <c r="Z29" s="758"/>
      <c r="AA29" s="758"/>
      <c r="AB29" s="759"/>
      <c r="AC29" s="554"/>
      <c r="AD29" s="555"/>
      <c r="AE29" s="556"/>
      <c r="AF29" s="753">
        <f t="shared" si="0"/>
        <v>0</v>
      </c>
      <c r="AG29" s="754"/>
      <c r="AH29" s="754"/>
      <c r="AI29" s="754"/>
      <c r="AJ29" s="755"/>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56" t="s">
        <v>228</v>
      </c>
      <c r="F30" s="482"/>
      <c r="G30" s="482"/>
      <c r="H30" s="482"/>
      <c r="I30" s="482"/>
      <c r="J30" s="482"/>
      <c r="K30" s="482"/>
      <c r="L30" s="482"/>
      <c r="M30" s="482"/>
      <c r="N30" s="483"/>
      <c r="O30" s="756" t="s">
        <v>227</v>
      </c>
      <c r="P30" s="482"/>
      <c r="Q30" s="482"/>
      <c r="R30" s="482"/>
      <c r="S30" s="482"/>
      <c r="T30" s="482"/>
      <c r="U30" s="482"/>
      <c r="V30" s="482"/>
      <c r="W30" s="482"/>
      <c r="X30" s="483"/>
      <c r="Y30" s="757"/>
      <c r="Z30" s="758"/>
      <c r="AA30" s="758"/>
      <c r="AB30" s="759"/>
      <c r="AC30" s="554"/>
      <c r="AD30" s="555"/>
      <c r="AE30" s="556"/>
      <c r="AF30" s="753">
        <f t="shared" si="0"/>
        <v>0</v>
      </c>
      <c r="AG30" s="754"/>
      <c r="AH30" s="754"/>
      <c r="AI30" s="754"/>
      <c r="AJ30" s="755"/>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56" t="s">
        <v>228</v>
      </c>
      <c r="F31" s="482"/>
      <c r="G31" s="482"/>
      <c r="H31" s="482"/>
      <c r="I31" s="482"/>
      <c r="J31" s="482"/>
      <c r="K31" s="482"/>
      <c r="L31" s="482"/>
      <c r="M31" s="482"/>
      <c r="N31" s="483"/>
      <c r="O31" s="756" t="s">
        <v>227</v>
      </c>
      <c r="P31" s="482"/>
      <c r="Q31" s="482"/>
      <c r="R31" s="482"/>
      <c r="S31" s="482"/>
      <c r="T31" s="482"/>
      <c r="U31" s="482"/>
      <c r="V31" s="482"/>
      <c r="W31" s="482"/>
      <c r="X31" s="483"/>
      <c r="Y31" s="757"/>
      <c r="Z31" s="758"/>
      <c r="AA31" s="758"/>
      <c r="AB31" s="759"/>
      <c r="AC31" s="554"/>
      <c r="AD31" s="555"/>
      <c r="AE31" s="556"/>
      <c r="AF31" s="753">
        <f t="shared" si="0"/>
        <v>0</v>
      </c>
      <c r="AG31" s="754"/>
      <c r="AH31" s="754"/>
      <c r="AI31" s="754"/>
      <c r="AJ31" s="755"/>
      <c r="AK31" s="62">
        <f t="shared" si="1"/>
        <v>0</v>
      </c>
      <c r="AL31" s="62">
        <f t="shared" si="2"/>
        <v>0</v>
      </c>
      <c r="AM31" s="45"/>
      <c r="AS31" s="1" t="b">
        <f t="shared" si="3"/>
        <v>0</v>
      </c>
      <c r="AT31" s="1" t="b">
        <f t="shared" si="4"/>
        <v>0</v>
      </c>
      <c r="AU31" s="1" t="b">
        <f t="shared" si="5"/>
        <v>0</v>
      </c>
    </row>
    <row r="32" spans="2:47" ht="15" customHeight="1" x14ac:dyDescent="0.2">
      <c r="B32" s="40"/>
      <c r="D32" s="69"/>
      <c r="E32" s="756" t="s">
        <v>228</v>
      </c>
      <c r="F32" s="482"/>
      <c r="G32" s="482"/>
      <c r="H32" s="482"/>
      <c r="I32" s="482"/>
      <c r="J32" s="482"/>
      <c r="K32" s="482"/>
      <c r="L32" s="482"/>
      <c r="M32" s="482"/>
      <c r="N32" s="483"/>
      <c r="O32" s="756" t="s">
        <v>227</v>
      </c>
      <c r="P32" s="482"/>
      <c r="Q32" s="482"/>
      <c r="R32" s="482"/>
      <c r="S32" s="482"/>
      <c r="T32" s="482"/>
      <c r="U32" s="482"/>
      <c r="V32" s="482"/>
      <c r="W32" s="482"/>
      <c r="X32" s="483"/>
      <c r="Y32" s="757"/>
      <c r="Z32" s="758"/>
      <c r="AA32" s="758"/>
      <c r="AB32" s="759"/>
      <c r="AC32" s="554"/>
      <c r="AD32" s="555"/>
      <c r="AE32" s="556"/>
      <c r="AF32" s="753">
        <f t="shared" si="0"/>
        <v>0</v>
      </c>
      <c r="AG32" s="754"/>
      <c r="AH32" s="754"/>
      <c r="AI32" s="754"/>
      <c r="AJ32" s="755"/>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52" t="str">
        <f>IF(AS36=TRUE,"                    ERROR - Incomplete claim form
                    Expenses will not be processed unless all sections complete","")</f>
        <v/>
      </c>
      <c r="E34" s="752"/>
      <c r="F34" s="752"/>
      <c r="G34" s="752"/>
      <c r="H34" s="752"/>
      <c r="I34" s="752"/>
      <c r="J34" s="752"/>
      <c r="K34" s="752"/>
      <c r="L34" s="752"/>
      <c r="M34" s="752"/>
      <c r="N34" s="752"/>
      <c r="O34" s="752"/>
      <c r="P34" s="752"/>
      <c r="Q34" s="752"/>
      <c r="R34" s="752"/>
      <c r="S34" s="752"/>
      <c r="T34" s="752"/>
      <c r="U34" s="752"/>
      <c r="V34" s="752"/>
      <c r="W34" s="752"/>
      <c r="Y34" s="484" t="s">
        <v>241</v>
      </c>
      <c r="Z34" s="485"/>
      <c r="AA34" s="485"/>
      <c r="AB34" s="485"/>
      <c r="AC34" s="485"/>
      <c r="AD34" s="485"/>
      <c r="AE34" s="492"/>
      <c r="AF34" s="551">
        <f>SUM(AK19:AK32)</f>
        <v>0</v>
      </c>
      <c r="AG34" s="552"/>
      <c r="AH34" s="552"/>
      <c r="AI34" s="552"/>
      <c r="AJ34" s="553"/>
      <c r="AM34" s="41"/>
    </row>
    <row r="35" spans="2:45" ht="4.5" customHeight="1" x14ac:dyDescent="0.2">
      <c r="B35" s="40"/>
      <c r="D35" s="752"/>
      <c r="E35" s="752"/>
      <c r="F35" s="752"/>
      <c r="G35" s="752"/>
      <c r="H35" s="752"/>
      <c r="I35" s="752"/>
      <c r="J35" s="752"/>
      <c r="K35" s="752"/>
      <c r="L35" s="752"/>
      <c r="M35" s="752"/>
      <c r="N35" s="752"/>
      <c r="O35" s="752"/>
      <c r="P35" s="752"/>
      <c r="Q35" s="752"/>
      <c r="R35" s="752"/>
      <c r="S35" s="752"/>
      <c r="T35" s="752"/>
      <c r="U35" s="752"/>
      <c r="V35" s="752"/>
      <c r="W35" s="752"/>
      <c r="Y35" s="3"/>
      <c r="Z35" s="3"/>
      <c r="AA35" s="3"/>
      <c r="AB35" s="3"/>
      <c r="AC35" s="3"/>
      <c r="AD35" s="3"/>
      <c r="AE35" s="3"/>
      <c r="AK35" s="34"/>
      <c r="AL35" s="64"/>
      <c r="AM35" s="65"/>
      <c r="AN35" s="64"/>
    </row>
    <row r="36" spans="2:45" x14ac:dyDescent="0.2">
      <c r="B36" s="40"/>
      <c r="D36" s="752"/>
      <c r="E36" s="752"/>
      <c r="F36" s="752"/>
      <c r="G36" s="752"/>
      <c r="H36" s="752"/>
      <c r="I36" s="752"/>
      <c r="J36" s="752"/>
      <c r="K36" s="752"/>
      <c r="L36" s="752"/>
      <c r="M36" s="752"/>
      <c r="N36" s="752"/>
      <c r="O36" s="752"/>
      <c r="P36" s="752"/>
      <c r="Q36" s="752"/>
      <c r="R36" s="752"/>
      <c r="S36" s="752"/>
      <c r="T36" s="752"/>
      <c r="U36" s="752"/>
      <c r="V36" s="752"/>
      <c r="W36" s="752"/>
      <c r="Y36" s="484" t="s">
        <v>242</v>
      </c>
      <c r="Z36" s="485"/>
      <c r="AA36" s="485"/>
      <c r="AB36" s="485"/>
      <c r="AC36" s="485"/>
      <c r="AD36" s="485"/>
      <c r="AE36" s="492"/>
      <c r="AF36" s="551">
        <f>SUM(AL19:AL32)</f>
        <v>0</v>
      </c>
      <c r="AG36" s="457"/>
      <c r="AH36" s="457"/>
      <c r="AI36" s="457"/>
      <c r="AJ36" s="452"/>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65" t="s">
        <v>243</v>
      </c>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766"/>
      <c r="AH38" s="766"/>
      <c r="AI38" s="766"/>
      <c r="AJ38" s="766"/>
      <c r="AK38" s="766"/>
      <c r="AL38" s="766"/>
      <c r="AM38" s="767"/>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84" t="s">
        <v>246</v>
      </c>
      <c r="D4" s="49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84" t="s">
        <v>247</v>
      </c>
      <c r="D6" s="492"/>
      <c r="E6" s="554"/>
      <c r="F6" s="555"/>
      <c r="G6" s="556"/>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191.12</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163.19999999999999</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27.92</v>
      </c>
      <c r="AK3" s="9">
        <f>SUM(AK4:AK99)</f>
        <v>0</v>
      </c>
      <c r="AL3" s="9">
        <f>SUM(AL4:AL99)</f>
        <v>0</v>
      </c>
    </row>
    <row r="4" spans="1:38" hidden="1" x14ac:dyDescent="0.2">
      <c r="H4" s="9">
        <f>ROUND(IFERROR(H104*I104,0),2)</f>
        <v>54.4</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54.4</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54.4</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27.92</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0000-DEMO</v>
      </c>
      <c r="E104" s="16" t="str">
        <f>'UniWorkforce Hourly Timesheet'!AY377</f>
        <v>07/02/2022</v>
      </c>
      <c r="F104" s="16" t="str">
        <f>'UniWorkforce Hourly Timesheet'!AZ377</f>
        <v>07/02/2022</v>
      </c>
      <c r="G104" s="16" t="str">
        <f>'UniWorkforce Hourly Timesheet'!BA377</f>
        <v>000000009</v>
      </c>
      <c r="H104" s="16" t="str">
        <f>'UniWorkforce Hourly Timesheet'!BB377</f>
        <v>4.0000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0000-DEMO</v>
      </c>
      <c r="E105" s="16" t="str">
        <f>'UniWorkforce Hourly Timesheet'!AY378</f>
        <v>14/02/2022</v>
      </c>
      <c r="F105" s="16" t="str">
        <f>'UniWorkforce Hourly Timesheet'!AZ378</f>
        <v>14/02/2022</v>
      </c>
      <c r="G105" s="16" t="str">
        <f>'UniWorkforce Hourly Timesheet'!BA378</f>
        <v>000000009</v>
      </c>
      <c r="H105" s="16" t="str">
        <f>'UniWorkforce Hourly Timesheet'!BB378</f>
        <v>4.0000</v>
      </c>
      <c r="I105" s="16" t="str">
        <f>'UniWorkforce Hourly Timesheet'!BC378</f>
        <v>13.60</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2915413</v>
      </c>
      <c r="B106" s="16" t="str">
        <f>IF(E106="","",'UniWorkforce Hourly Timesheet'!$E$3)</f>
        <v>Georgios</v>
      </c>
      <c r="C106" s="16" t="str">
        <f>IF(E106="","",'UniWorkforce Hourly Timesheet'!$Z$3)</f>
        <v>Giamouridis</v>
      </c>
      <c r="D106" s="16" t="str">
        <f>IF(E106="","",'UniWorkforce Hourly Timesheet'!$Y$111)</f>
        <v>0000-DEMO</v>
      </c>
      <c r="E106" s="16" t="str">
        <f>'UniWorkforce Hourly Timesheet'!AY379</f>
        <v>21/02/2022</v>
      </c>
      <c r="F106" s="16" t="str">
        <f>'UniWorkforce Hourly Timesheet'!AZ379</f>
        <v>21/02/2022</v>
      </c>
      <c r="G106" s="16" t="str">
        <f>'UniWorkforce Hourly Timesheet'!BA379</f>
        <v>000000009</v>
      </c>
      <c r="H106" s="16" t="str">
        <f>'UniWorkforce Hourly Timesheet'!BB379</f>
        <v>4.0000</v>
      </c>
      <c r="I106" s="16" t="str">
        <f>'UniWorkforce Hourly Timesheet'!BC379</f>
        <v>13.60</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2915413</v>
      </c>
      <c r="B107" s="16" t="str">
        <f>IF(E107="","",'UniWorkforce Hourly Timesheet'!$E$3)</f>
        <v>Georgios</v>
      </c>
      <c r="C107" s="16" t="str">
        <f>IF(E107="","",'UniWorkforce Hourly Timesheet'!$Z$3)</f>
        <v>Giamouridis</v>
      </c>
      <c r="D107" s="16" t="str">
        <f>IF(E107="","",'UniWorkforce Hourly Timesheet'!$Y$111)</f>
        <v>0000-DEMO</v>
      </c>
      <c r="E107" s="16" t="str">
        <f>'UniWorkforce Hourly Timesheet'!AY380</f>
        <v>07/02/2022</v>
      </c>
      <c r="F107" s="16" t="str">
        <f>'UniWorkforce Hourly Timesheet'!AZ380</f>
        <v>21/02/2022</v>
      </c>
      <c r="G107" s="16" t="str">
        <f>'UniWorkforce Hourly Timesheet'!BA380</f>
        <v>000000009</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27.92</v>
      </c>
      <c r="AK107" s="16" t="str">
        <f>'UniWorkforce Hourly Timesheet'!CI380</f>
        <v/>
      </c>
      <c r="AL107" s="16" t="str">
        <f>'UniWorkforce Hourly Timesheet'!CJ380</f>
        <v/>
      </c>
    </row>
    <row r="108" spans="1:38" x14ac:dyDescent="0.2">
      <c r="A108" s="16" t="str">
        <f>IF(AND(E107="",E108=""),"",IF(E108="","&lt;EOD&gt;",TEXT('UniWorkforce Hourly Timesheet'!$Z$5,"0000000")))</f>
        <v>&lt;EOD&gt;</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2.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2022-02-22T10:55:07Z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