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codeName="ThisWorkbook"/>
  <mc:AlternateContent xmlns:mc="http://schemas.openxmlformats.org/markup-compatibility/2006">
    <mc:Choice Requires="x15">
      <x15ac:absPath xmlns:x15ac="http://schemas.microsoft.com/office/spreadsheetml/2010/11/ac" url="/Users/georgegiam/Desktop/Hours Claim/mentoring/February 2022/"/>
    </mc:Choice>
  </mc:AlternateContent>
  <xr:revisionPtr revIDLastSave="0" documentId="8_{F50D617F-181B-614C-8121-A1B5A45BAFB4}" xr6:coauthVersionLast="47" xr6:coauthVersionMax="47" xr10:uidLastSave="{00000000-0000-0000-0000-000000000000}"/>
  <workbookProtection workbookAlgorithmName="SHA-512" workbookHashValue="TcAHRQQbG4LvL6aY7Ko4szo7++xT/5f/XNFxrxOLrQkTGwsw36XQ7IR2Yh4P6DN3gveDVpSNMdTd1kWXqdMheA==" workbookSaltValue="JscX3O7L9c8VVcsc7Cxyxg==" workbookSpinCount="100000" lockStructure="1"/>
  <bookViews>
    <workbookView xWindow="0" yWindow="500" windowWidth="28800" windowHeight="1586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P101" i="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M385" i="1" s="1"/>
  <c r="S112" i="7"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CG452" i="1" l="1"/>
  <c r="CC453" i="1"/>
  <c r="AI180" i="7" s="1"/>
  <c r="BC377" i="1"/>
  <c r="I104" i="7" s="1"/>
  <c r="H4" i="7" s="1"/>
  <c r="BM384" i="1"/>
  <c r="S111" i="7" s="1"/>
  <c r="R11" i="7" s="1"/>
  <c r="BK386" i="1"/>
  <c r="Q113" i="7" s="1"/>
  <c r="CA383" i="1"/>
  <c r="AG110" i="7" s="1"/>
  <c r="CA382" i="1"/>
  <c r="AG109" i="7" s="1"/>
  <c r="AF9" i="7" s="1"/>
  <c r="BM377" i="1"/>
  <c r="S104" i="7" s="1"/>
  <c r="R4" i="7" s="1"/>
  <c r="BO389" i="1"/>
  <c r="U116" i="7" s="1"/>
  <c r="T16" i="7" s="1"/>
  <c r="CA386" i="1"/>
  <c r="AG113" i="7" s="1"/>
  <c r="AF13" i="7" s="1"/>
  <c r="BJ386" i="1"/>
  <c r="P113" i="7" s="1"/>
  <c r="BZ383" i="1"/>
  <c r="AF110" i="7" s="1"/>
  <c r="BU383" i="1"/>
  <c r="AA110" i="7" s="1"/>
  <c r="CA378" i="1"/>
  <c r="AG105" i="7" s="1"/>
  <c r="AF5" i="7" s="1"/>
  <c r="BY407" i="1"/>
  <c r="AE134" i="7" s="1"/>
  <c r="AD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J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J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V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P4" i="7"/>
  <c r="P58" i="7"/>
  <c r="AD15" i="7"/>
  <c r="R10" i="7"/>
  <c r="AD17" i="7"/>
  <c r="Z9" i="7"/>
  <c r="AH28" i="7"/>
  <c r="AB7" i="7"/>
  <c r="AF54" i="7"/>
  <c r="N5" i="7"/>
  <c r="J5" i="7"/>
  <c r="J78"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AD82" i="7" l="1"/>
  <c r="J52" i="7"/>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<sst xmlns="http://schemas.openxmlformats.org/spreadsheetml/2006/main" count="2295" uniqueCount="823">
  <si>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</si>
  <si>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</si>
  <si>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</si>
  <si>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</si>
  <si>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</si>
  <si>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</si>
  <si>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</si>
  <si>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</si>
  <si>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</si>
  <si>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</si>
  <si>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</si>
  <si>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</si>
  <si>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</si>
  <si>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</si>
  <si>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</si>
  <si>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</si>
  <si>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</si>
  <si>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</si>
  <si>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</si>
  <si>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</si>
  <si>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</si>
  <si>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</si>
  <si>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</si>
  <si>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</si>
  <si>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</si>
  <si>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</si>
  <si>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</si>
  <si>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</si>
  <si>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</si>
  <si>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</si>
  <si>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</si>
  <si>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</si>
  <si>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</si>
  <si>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</si>
  <si>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</si>
  <si>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</si>
  <si>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</si>
  <si>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</si>
  <si>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</si>
  <si>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</si>
  <si>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</si>
  <si>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</si>
  <si>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</si>
  <si>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</si>
  <si>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</si>
  <si>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</si>
  <si>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</si>
  <si>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</si>
  <si>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</si>
  <si>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</si>
  <si>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</si>
  <si>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</si>
  <si>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</si>
  <si>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</si>
  <si>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</si>
  <si>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</si>
  <si>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</si>
  <si>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</si>
  <si>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</si>
  <si>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</si>
  <si>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</si>
  <si>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</si>
  <si>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</si>
  <si>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</si>
  <si>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</si>
  <si>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</si>
  <si>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</si>
  <si>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</si>
  <si>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</si>
  <si>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</si>
  <si>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</si>
  <si>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</si>
  <si>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</si>
  <si>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</si>
  <si>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</si>
  <si>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</si>
  <si>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</si>
  <si>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</si>
  <si>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</si>
  <si>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</si>
  <si>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</si>
  <si>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</si>
  <si>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</si>
  <si>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</si>
  <si>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</si>
  <si>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</si>
  <si>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</si>
  <si>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</si>
  <si>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</si>
  <si>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</si>
  <si>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</si>
  <si>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</si>
  <si>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</si>
  <si>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</si>
  <si>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</si>
  <si>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</si>
  <si>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</si>
  <si>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</si>
  <si>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</si>
  <si>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</si>
  <si>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</si>
  <si>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</si>
  <si>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</si>
  <si>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</si>
  <si>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</si>
  <si>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</si>
  <si>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</si>
  <si>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</si>
  <si>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</si>
  <si>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</si>
  <si>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</si>
  <si>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</si>
  <si>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</si>
  <si>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</si>
  <si>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</si>
  <si>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</si>
  <si>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</si>
  <si>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</si>
  <si>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</si>
  <si>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</si>
  <si>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</si>
  <si>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</si>
  <si>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</si>
  <si>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</si>
  <si>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</si>
  <si>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</si>
  <si>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</si>
  <si>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</si>
  <si>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</si>
  <si>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</si>
  <si>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</si>
  <si>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</si>
  <si>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</si>
  <si>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</si>
  <si>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</si>
  <si>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</si>
  <si>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</si>
  <si>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</si>
  <si>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</si>
  <si>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</si>
  <si>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</si>
  <si>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</si>
  <si>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</si>
  <si>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</si>
  <si>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</si>
  <si>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</si>
  <si>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</si>
  <si>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</si>
  <si>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</si>
  <si>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</si>
  <si>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</si>
  <si>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</si>
  <si>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</si>
  <si>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</si>
  <si>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</si>
  <si>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</si>
  <si>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</si>
  <si>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</si>
  <si>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</si>
  <si>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</si>
  <si>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</si>
  <si>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</si>
  <si>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</si>
  <si>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</si>
  <si>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</si>
  <si>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</si>
  <si>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</si>
  <si>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</si>
  <si>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</si>
  <si>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</si>
  <si>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</si>
  <si>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</si>
  <si>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</si>
  <si>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</si>
  <si>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</si>
  <si>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</si>
  <si>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</si>
  <si>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</si>
  <si>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</si>
  <si>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</si>
  <si>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</si>
  <si>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</si>
  <si>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</si>
  <si>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</si>
  <si>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</si>
  <si>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</si>
  <si>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</si>
  <si>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</si>
  <si>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</si>
  <si>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</si>
  <si>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</si>
  <si>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</si>
  <si>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</si>
  <si>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</si>
  <si>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</si>
  <si>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</si>
  <si>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</si>
  <si>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</si>
  <si>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</si>
  <si>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</si>
  <si>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</si>
  <si>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</si>
  <si>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</si>
  <si>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</si>
  <si>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</si>
  <si>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</si>
  <si>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</si>
  <si>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</si>
  <si>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</si>
  <si>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</si>
  <si>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</si>
  <si>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</si>
  <si>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</si>
  <si>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</si>
  <si>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</si>
  <si>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</si>
  <si>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</si>
  <si>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</si>
  <si>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</si>
  <si>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</si>
  <si>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</si>
  <si>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</si>
  <si>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</si>
  <si>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</si>
  <si>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</si>
  <si>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</si>
  <si>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</si>
  <si>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</si>
  <si>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</si>
  <si>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</si>
  <si>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</si>
  <si>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</si>
  <si>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</si>
  <si>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</si>
  <si>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</si>
  <si>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</si>
  <si>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</si>
  <si>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</si>
  <si>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</si>
  <si>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</si>
  <si>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</si>
  <si>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</si>
  <si>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</si>
  <si>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</si>
  <si>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</si>
  <si>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</si>
  <si>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</si>
  <si>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</si>
  <si>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</si>
  <si>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</si>
  <si>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</si>
  <si>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</si>
  <si>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</si>
  <si>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</si>
  <si>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</si>
  <si>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</si>
  <si>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</si>
  <si>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</si>
  <si>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</si>
  <si>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</si>
  <si>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</si>
  <si>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</si>
  <si>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</si>
  <si>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</si>
  <si>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</si>
  <si>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</si>
  <si>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</si>
  <si>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</si>
  <si>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</si>
  <si>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</si>
  <si>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</si>
  <si>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</si>
  <si>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</si>
  <si>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</si>
  <si>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</si>
  <si>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</si>
  <si>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</si>
  <si>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</si>
  <si>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</si>
  <si>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</si>
  <si>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</si>
  <si>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</si>
  <si>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</si>
  <si>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</si>
  <si>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</si>
  <si>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</si>
  <si>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</si>
  <si>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</si>
  <si>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</si>
  <si>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</si>
  <si>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</si>
  <si>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</si>
  <si>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</si>
  <si>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</si>
  <si>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</si>
  <si>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</si>
  <si>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</si>
  <si>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</si>
  <si>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</si>
  <si>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</si>
  <si>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</si>
  <si>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</si>
  <si>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</si>
  <si>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</si>
  <si>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</si>
  <si>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</si>
  <si>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</si>
  <si>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</si>
  <si>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</si>
  <si>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</si>
  <si>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</si>
  <si>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</si>
  <si>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</si>
  <si>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</si>
  <si>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</si>
  <si>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</si>
  <si>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</si>
  <si>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</si>
  <si>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</si>
  <si>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</si>
  <si>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</si>
  <si>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</si>
  <si>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</si>
  <si>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</si>
  <si>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</si>
  <si>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</si>
  <si>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</si>
  <si>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</si>
  <si>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</si>
  <si>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</si>
  <si>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</si>
  <si>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</si>
  <si>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</si>
  <si>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</si>
  <si>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</si>
  <si>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</si>
  <si>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</si>
  <si>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</si>
  <si>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</si>
  <si>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</si>
  <si>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</si>
  <si>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</si>
  <si>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</si>
  <si>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</si>
  <si>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</si>
  <si>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</si>
  <si>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</si>
  <si>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</si>
  <si>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</si>
  <si>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</si>
  <si>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</si>
  <si>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</si>
  <si>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</si>
  <si>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</si>
  <si>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</si>
  <si>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</si>
  <si>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</si>
  <si>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</si>
  <si>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</si>
  <si>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</si>
  <si>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</si>
  <si>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</si>
  <si>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</si>
  <si>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</si>
  <si>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</si>
  <si>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</si>
  <si>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</si>
  <si>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</si>
  <si>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</si>
  <si>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</si>
  <si>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</si>
  <si>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</si>
  <si>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</si>
  <si>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</si>
  <si>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</si>
  <si>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</si>
  <si>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</si>
  <si>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</si>
  <si>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</si>
  <si>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</si>
  <si>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</si>
  <si>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</si>
  <si>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</si>
  <si>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</si>
  <si>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</si>
  <si>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</si>
  <si>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</si>
  <si>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</si>
  <si>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</si>
  <si>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</si>
  <si>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</si>
  <si>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</si>
  <si>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</si>
  <si>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</si>
  <si>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</si>
  <si>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</si>
  <si>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</si>
  <si>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</si>
  <si>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</si>
  <si>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</si>
  <si>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</si>
  <si>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</si>
  <si>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</si>
  <si>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</si>
  <si>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</si>
  <si>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</si>
  <si>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</si>
  <si>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</si>
  <si>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</si>
  <si>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</si>
  <si>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</si>
  <si>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</si>
  <si>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</si>
  <si>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</si>
  <si>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</si>
  <si>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</si>
  <si>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</si>
  <si>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</si>
  <si>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</si>
  <si>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</si>
  <si>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</si>
  <si>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</si>
  <si>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</si>
  <si>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</si>
  <si>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</si>
  <si>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</si>
  <si>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</si>
  <si>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</si>
  <si>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</si>
  <si>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</si>
  <si>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</si>
  <si>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</si>
  <si>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</si>
  <si>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</si>
  <si>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</si>
  <si>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</si>
  <si>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</si>
  <si>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</si>
  <si>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</si>
  <si>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</si>
  <si>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</si>
  <si>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</si>
  <si>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</si>
  <si>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</si>
  <si>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</si>
  <si>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</si>
  <si>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</si>
  <si>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</si>
  <si>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</si>
  <si>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</si>
  <si>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</si>
  <si>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</si>
  <si>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</si>
  <si>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</si>
  <si>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</si>
  <si>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</si>
  <si>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</si>
  <si>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</si>
  <si>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</si>
  <si>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</si>
  <si>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</si>
  <si>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</si>
  <si>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</si>
  <si>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</si>
  <si>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</si>
  <si>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</si>
  <si>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</si>
  <si>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</si>
  <si>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</si>
  <si>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</si>
  <si>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</si>
  <si>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</si>
  <si>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</si>
  <si>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</si>
  <si>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</si>
  <si>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</si>
  <si>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</si>
  <si>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</si>
  <si>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</si>
  <si>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</si>
  <si>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</si>
  <si>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</si>
  <si>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</si>
  <si>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</si>
  <si>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</si>
  <si>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</si>
  <si>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</si>
  <si>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</si>
  <si>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</si>
  <si>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</si>
  <si>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</si>
  <si>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</si>
  <si>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</si>
  <si>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</si>
  <si>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</si>
  <si>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</si>
  <si>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</si>
  <si>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</si>
  <si>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</si>
  <si>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</si>
  <si>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</si>
  <si>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</si>
  <si>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</si>
  <si>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</si>
  <si>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</si>
  <si>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</si>
  <si>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</si>
  <si>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</si>
  <si>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</si>
  <si>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</si>
  <si>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</si>
  <si>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</si>
  <si>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</si>
  <si>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</si>
  <si>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</si>
  <si>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</si>
  <si>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</si>
  <si>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</si>
  <si>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</si>
  <si>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</si>
  <si>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</si>
  <si>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</si>
  <si>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</si>
  <si>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</si>
  <si>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</si>
  <si>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</si>
  <si>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</si>
  <si>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</si>
  <si>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</si>
  <si>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</si>
  <si>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</si>
  <si>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</si>
  <si>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</si>
  <si>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</si>
  <si>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</si>
  <si>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</si>
  <si>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</si>
  <si>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</si>
  <si>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</si>
  <si>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</si>
  <si>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</si>
  <si>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</si>
  <si>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</si>
  <si>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</si>
  <si>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</si>
  <si>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</si>
  <si>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</si>
  <si>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</si>
  <si>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</si>
  <si>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</si>
  <si>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</si>
  <si>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</si>
  <si>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</si>
  <si>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</si>
  <si>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</si>
  <si>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</si>
  <si>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</si>
  <si>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</si>
  <si>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</si>
  <si>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</si>
  <si>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</si>
  <si>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</si>
  <si>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</si>
  <si>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</si>
  <si>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</si>
  <si>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</si>
  <si>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</si>
  <si>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</si>
  <si>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</si>
  <si>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</si>
  <si>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</si>
  <si>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</si>
  <si>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</si>
  <si>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</si>
  <si>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</si>
  <si>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</si>
  <si>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</si>
  <si>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</si>
  <si>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</si>
  <si>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</si>
  <si>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</si>
  <si>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</si>
  <si>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</si>
  <si>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</si>
  <si>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</si>
  <si>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</si>
  <si>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</si>
  <si>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</si>
  <si>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</si>
  <si>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</si>
  <si>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</si>
  <si>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</si>
  <si>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</si>
  <si>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</si>
  <si>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</si>
  <si>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</si>
  <si>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</si>
  <si>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</si>
  <si>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</si>
  <si>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</si>
  <si>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</si>
  <si>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</si>
  <si>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</si>
  <si>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</si>
  <si>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</si>
  <si>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</si>
  <si>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</si>
  <si>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</si>
  <si>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</si>
  <si>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</si>
  <si>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</si>
  <si>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</si>
  <si>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</si>
  <si>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</si>
  <si>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</si>
  <si>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</si>
  <si>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</si>
  <si>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</si>
  <si>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</si>
  <si>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</si>
  <si>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</si>
  <si>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</si>
  <si>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</si>
  <si>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</si>
  <si>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</si>
  <si>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</si>
  <si>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</si>
  <si>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</si>
  <si>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</si>
  <si>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</si>
  <si>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</si>
  <si>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</si>
  <si>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</si>
  <si>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</si>
  <si>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</si>
  <si>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</si>
  <si>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</si>
  <si>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</si>
  <si>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</si>
  <si>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</si>
  <si>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</si>
  <si>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</si>
  <si>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</si>
  <si>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</si>
  <si>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</si>
  <si>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</si>
  <si>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</si>
  <si>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</si>
  <si>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</si>
  <si>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</si>
  <si>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</si>
  <si>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</si>
  <si>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</si>
  <si>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</si>
  <si>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</si>
  <si>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</si>
  <si>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</si>
  <si>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</si>
  <si>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</si>
  <si>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</si>
  <si>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</si>
  <si>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</si>
  <si>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</si>
  <si>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</si>
  <si>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</si>
  <si>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</si>
  <si>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</si>
  <si>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</si>
  <si>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</si>
  <si>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</si>
  <si>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</si>
  <si>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</si>
  <si>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</si>
  <si>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</si>
  <si>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</si>
  <si>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</si>
  <si>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</si>
  <si>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</si>
  <si>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</si>
  <si>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</si>
  <si>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</si>
  <si>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</si>
  <si>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</si>
  <si>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</si>
  <si>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</si>
  <si>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</si>
  <si>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</si>
  <si>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</si>
  <si>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</si>
  <si>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</si>
  <si>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</si>
  <si>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</si>
  <si>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</si>
  <si>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</si>
  <si>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</si>
  <si>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</si>
  <si>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</si>
  <si>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</si>
  <si>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</si>
  <si>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</si>
  <si>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</si>
  <si>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</si>
  <si>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</si>
  <si>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</si>
  <si>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</si>
  <si>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</si>
  <si>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</si>
  <si>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</si>
  <si>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</si>
  <si>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</si>
  <si>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</si>
  <si>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</si>
  <si>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</si>
  <si>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</si>
  <si>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</si>
  <si>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</si>
  <si>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</si>
  <si>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</si>
  <si>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</si>
  <si>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</si>
  <si>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</si>
  <si>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</si>
  <si>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</si>
  <si>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</si>
  <si>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</si>
  <si>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</si>
  <si>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</si>
  <si>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</si>
  <si>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</si>
  <si>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</si>
  <si>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</si>
  <si>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</si>
  <si>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</si>
  <si>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</si>
  <si>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</si>
  <si>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</si>
  <si>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</si>
  <si>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</si>
  <si>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</si>
  <si>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</si>
  <si>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</si>
  <si>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</si>
  <si>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</si>
  <si>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</si>
  <si>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</si>
  <si>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</si>
  <si>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</si>
  <si>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</si>
  <si>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</si>
  <si>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</si>
  <si>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</si>
  <si>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</si>
  <si>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</si>
  <si>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</si>
  <si>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</si>
  <si>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</si>
  <si>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</si>
  <si>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</si>
  <si>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</si>
  <si>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</si>
  <si>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</si>
  <si>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</si>
  <si>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</si>
  <si>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</si>
  <si>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</si>
  <si>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</si>
  <si>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</si>
  <si>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</si>
  <si>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</si>
  <si>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</si>
  <si>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</si>
  <si>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</si>
  <si>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</si>
  <si>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</si>
  <si>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</si>
  <si>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</si>
  <si>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</si>
  <si>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</si>
  <si>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</si>
  <si>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</si>
  <si>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</si>
  <si>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</si>
  <si>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</si>
  <si>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</si>
  <si>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</si>
  <si>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</si>
  <si>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</si>
  <si>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</si>
  <si>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</si>
  <si>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</si>
  <si>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</si>
  <si>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</si>
  <si>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</si>
  <si>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</si>
  <si>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</si>
  <si>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</si>
  <si>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</si>
  <si>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</si>
  <si>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</si>
  <si>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</si>
  <si>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</si>
  <si>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</si>
  <si>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</si>
  <si>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</si>
  <si>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</si>
  <si>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</si>
  <si>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</si>
  <si>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</si>
  <si>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</si>
  <si>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</si>
  <si>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</si>
  <si>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</si>
  <si>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</si>
  <si>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</si>
  <si>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</si>
  <si>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</si>
  <si>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</si>
  <si>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r>
      <t xml:space="preserve">All faculty timesheets must be forwarded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</si>
  <si>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Final date to be received by CASUAL PAY</t>
  </si>
  <si>
    <t>Georgios</t>
  </si>
  <si>
    <t>Giamouridis</t>
  </si>
  <si>
    <t>Sebastian Mititelu</t>
  </si>
  <si>
    <t xml:space="preserve">ECS Mentoring Scheme                                                                 1h (every Tuesday): mentoring meeting (group 1)                   1h (every Wednesday): mentoring meeting (group 2)                                                                                        1h/per week (every Monday): preperation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</si>
</sst>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0" fontId="1" fillId="3" borderId="5"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179" fontId="1" fillId="3" borderId="5" xfId="0" applyNumberFormat="1" applyFont="1" applyFill="1" applyBorder="1" applyAlignment="1">
      <alignment horizontal="center"/>
    </xf>
    <xf numFmtId="0" fontId="1" fillId="3" borderId="15" xfId="0" applyFont="1" applyFill="1" applyBorder="1" applyAlignment="1">
      <alignment horizontal="center"/>
    </xf>
    <xf numFmtId="0" fontId="1" fillId="3" borderId="4"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15" xfId="0" applyNumberFormat="1"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6" fillId="3" borderId="11" xfId="0" applyFont="1" applyFill="1" applyBorder="1" applyAlignment="1">
      <alignment horizontal="center"/>
    </xf>
    <xf numFmtId="0" fontId="7" fillId="2" borderId="9" xfId="0" applyFont="1" applyFill="1" applyBorder="1" applyAlignment="1" applyProtection="1">
      <alignment horizontal="center"/>
      <protection locked="0"/>
    </xf>
    <xf numFmtId="0" fontId="5" fillId="3" borderId="9" xfId="0" applyFont="1" applyFill="1" applyBorder="1" applyAlignment="1">
      <alignment horizontal="center"/>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15" xfId="0" applyFont="1" applyFill="1" applyBorder="1" applyAlignment="1">
      <alignment horizontal="center"/>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0" fontId="5" fillId="3" borderId="5" xfId="0" applyFont="1" applyFill="1" applyBorder="1" applyAlignment="1">
      <alignment horizontal="center"/>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165" fontId="1" fillId="3" borderId="94" xfId="0" applyNumberFormat="1" applyFont="1" applyFill="1" applyBorder="1" applyAlignment="1">
      <alignment horizontal="center" vertical="center"/>
    </xf>
    <xf numFmtId="165" fontId="1" fillId="3" borderId="94" xfId="0" applyNumberFormat="1" applyFont="1" applyFill="1" applyBorder="1" applyAlignment="1" applyProtection="1">
      <alignment horizontal="center" vertical="center"/>
      <protection locked="0" hidden="1"/>
    </xf>
    <xf numFmtId="172" fontId="1" fillId="3" borderId="4" xfId="0" applyNumberFormat="1" applyFont="1" applyFill="1" applyBorder="1" applyAlignment="1">
      <alignment horizontal="center" vertical="center"/>
    </xf>
    <xf numFmtId="0" fontId="0" fillId="3" borderId="4" xfId="0" applyFill="1" applyBorder="1" applyAlignment="1">
      <alignment horizontal="center"/>
    </xf>
    <xf numFmtId="168" fontId="1" fillId="7" borderId="94" xfId="0" applyNumberFormat="1" applyFont="1" applyFill="1" applyBorder="1" applyAlignment="1">
      <alignment horizontal="center" vertical="center"/>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182" fontId="4" fillId="6" borderId="102"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82" fontId="4" fillId="6" borderId="40"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166" fontId="0" fillId="3" borderId="0" xfId="0" applyNumberFormat="1" applyFill="1" applyAlignment="1">
      <alignment horizont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181" fontId="29" fillId="3" borderId="56" xfId="0" applyNumberFormat="1" applyFont="1" applyFill="1" applyBorder="1" applyAlignment="1">
      <alignment horizontal="center" vertic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29" xfId="0" applyFont="1" applyFill="1" applyBorder="1" applyAlignment="1">
      <alignment horizontal="center" vertical="center"/>
    </xf>
    <xf numFmtId="0" fontId="49" fillId="3" borderId="140" xfId="0" applyFont="1" applyFill="1" applyBorder="1" applyAlignment="1">
      <alignment horizontal="center" vertical="center"/>
    </xf>
    <xf numFmtId="184" fontId="9" fillId="3" borderId="190" xfId="0" applyNumberFormat="1" applyFont="1" applyFill="1" applyBorder="1" applyAlignment="1">
      <alignment horizontal="center"/>
    </xf>
    <xf numFmtId="184" fontId="9" fillId="3" borderId="191" xfId="0" applyNumberFormat="1" applyFont="1" applyFill="1" applyBorder="1" applyAlignment="1">
      <alignment horizontal="center"/>
    </xf>
    <xf numFmtId="184" fontId="9" fillId="3" borderId="206" xfId="0" applyNumberFormat="1" applyFont="1" applyFill="1" applyBorder="1" applyAlignment="1">
      <alignment horizontal="center"/>
    </xf>
    <xf numFmtId="181" fontId="29" fillId="3" borderId="51"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0" fontId="9" fillId="2" borderId="9" xfId="0" applyFont="1" applyFill="1" applyBorder="1" applyAlignment="1" applyProtection="1">
      <alignment horizontal="center"/>
      <protection locked="0"/>
    </xf>
    <xf numFmtId="0" fontId="5" fillId="3" borderId="11"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7" xfId="0" applyNumberFormat="1" applyFont="1" applyFill="1" applyBorder="1" applyAlignment="1">
      <alignment horizontal="center" vertical="center"/>
    </xf>
    <xf numFmtId="168" fontId="30" fillId="6" borderId="118"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5" fillId="3" borderId="15" xfId="0" applyFont="1" applyFill="1" applyBorder="1" applyAlignment="1">
      <alignment horizontal="center" vertical="center"/>
    </xf>
    <xf numFmtId="0" fontId="9" fillId="3" borderId="131" xfId="0" applyFont="1" applyFill="1" applyBorder="1" applyAlignment="1">
      <alignment horizontal="center"/>
    </xf>
    <xf numFmtId="0" fontId="9" fillId="3" borderId="126"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166" fontId="14" fillId="3" borderId="0" xfId="0" applyNumberFormat="1" applyFont="1" applyFill="1" applyAlignment="1">
      <alignment horizontal="left" vertical="center" textRotation="18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88" fillId="3" borderId="9" xfId="0" applyFont="1" applyFill="1" applyBorder="1" applyAlignment="1">
      <alignment horizontal="center"/>
    </xf>
    <xf numFmtId="184" fontId="9" fillId="3" borderId="207"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184" fontId="9" fillId="3" borderId="208"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181" fontId="29" fillId="3" borderId="33"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4" fillId="7" borderId="64"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7" xfId="0" applyFont="1" applyFill="1" applyBorder="1" applyAlignment="1">
      <alignment horizontal="center"/>
    </xf>
    <xf numFmtId="168" fontId="2" fillId="6" borderId="119" xfId="0" applyNumberFormat="1" applyFont="1" applyFill="1" applyBorder="1" applyAlignment="1">
      <alignment horizontal="center" vertic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0" fontId="17" fillId="3" borderId="0" xfId="0" applyFont="1" applyFill="1" applyAlignment="1">
      <alignment horizontal="left" vertical="center" wrapText="1"/>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14" fontId="7" fillId="2" borderId="15" xfId="0" quotePrefix="1" applyNumberFormat="1" applyFont="1" applyFill="1" applyBorder="1" applyAlignment="1" applyProtection="1">
      <alignment horizontal="center"/>
      <protection locked="0"/>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0" fontId="7" fillId="0" borderId="9" xfId="0" applyFont="1" applyBorder="1" applyAlignment="1">
      <alignment horizontal="center"/>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row r="1">
          <cell r="A1" t="str">
            <v>Claim Period (enter as text)</v>
          </cell>
          <cell r="B1" t="str">
            <v>First Date of Claim Period (enter as date)</v>
          </cell>
          <cell r="C1" t="str">
            <v>Weeks on Timesheet</v>
          </cell>
          <cell r="D1" t="str">
            <v>Period</v>
          </cell>
          <cell r="G1" t="str">
            <v>Week Commencing</v>
          </cell>
          <cell r="H1" t="str">
            <v>Type</v>
          </cell>
          <cell r="K1" t="str">
            <v>Bank Holidays</v>
          </cell>
        </row>
        <row r="2">
          <cell r="A2" t="str">
            <v>Please select claim period</v>
          </cell>
          <cell r="B2">
            <v>43010</v>
          </cell>
          <cell r="C2">
            <v>4</v>
          </cell>
          <cell r="D2" t="str">
            <v>Oct17</v>
          </cell>
          <cell r="G2">
            <v>42793</v>
          </cell>
          <cell r="H2" t="str">
            <v>Term Time</v>
          </cell>
          <cell r="K2">
            <v>42838</v>
          </cell>
        </row>
        <row r="3">
          <cell r="A3" t="str">
            <v>2 October - 29 October 2017</v>
          </cell>
          <cell r="B3">
            <v>43010</v>
          </cell>
          <cell r="C3">
            <v>4</v>
          </cell>
          <cell r="D3" t="str">
            <v>Oct17</v>
          </cell>
          <cell r="G3">
            <v>42800</v>
          </cell>
          <cell r="H3" t="str">
            <v>Term Time</v>
          </cell>
          <cell r="K3">
            <v>42839</v>
          </cell>
        </row>
        <row r="4">
          <cell r="A4" t="str">
            <v>30 October - 26 November 2017</v>
          </cell>
          <cell r="B4">
            <v>43038</v>
          </cell>
          <cell r="C4">
            <v>4</v>
          </cell>
          <cell r="D4" t="str">
            <v>Nov17</v>
          </cell>
          <cell r="G4">
            <v>42807</v>
          </cell>
          <cell r="H4" t="str">
            <v>Term Time</v>
          </cell>
          <cell r="K4">
            <v>42840</v>
          </cell>
        </row>
        <row r="5">
          <cell r="A5" t="str">
            <v>27 November - 31 December 2017</v>
          </cell>
          <cell r="B5">
            <v>43066</v>
          </cell>
          <cell r="C5">
            <v>5</v>
          </cell>
          <cell r="D5" t="str">
            <v>Dec17</v>
          </cell>
          <cell r="G5">
            <v>42814</v>
          </cell>
          <cell r="H5" t="str">
            <v>Term Time</v>
          </cell>
          <cell r="K5">
            <v>42841</v>
          </cell>
        </row>
        <row r="6">
          <cell r="A6" t="str">
            <v>1 January - 28 January 2018</v>
          </cell>
          <cell r="B6">
            <v>43101</v>
          </cell>
          <cell r="C6">
            <v>4</v>
          </cell>
          <cell r="D6" t="str">
            <v>Jan18</v>
          </cell>
          <cell r="G6">
            <v>42821</v>
          </cell>
          <cell r="H6" t="str">
            <v>Vacation</v>
          </cell>
          <cell r="K6">
            <v>42842</v>
          </cell>
        </row>
        <row r="7">
          <cell r="A7" t="str">
            <v>29 January - 25 February 2018</v>
          </cell>
          <cell r="B7">
            <v>43129</v>
          </cell>
          <cell r="C7">
            <v>4</v>
          </cell>
          <cell r="D7" t="str">
            <v>Feb18</v>
          </cell>
          <cell r="G7">
            <v>42828</v>
          </cell>
          <cell r="H7" t="str">
            <v>Vacation</v>
          </cell>
          <cell r="K7">
            <v>42843</v>
          </cell>
        </row>
        <row r="8">
          <cell r="G8">
            <v>42835</v>
          </cell>
          <cell r="H8" t="str">
            <v>Vacation</v>
          </cell>
          <cell r="K8">
            <v>42856</v>
          </cell>
        </row>
        <row r="9">
          <cell r="G9">
            <v>42842</v>
          </cell>
          <cell r="H9" t="str">
            <v>Vacation</v>
          </cell>
          <cell r="K9">
            <v>42884</v>
          </cell>
        </row>
        <row r="10">
          <cell r="G10">
            <v>42849</v>
          </cell>
          <cell r="H10" t="str">
            <v>Term Time</v>
          </cell>
          <cell r="K10">
            <v>42975</v>
          </cell>
        </row>
        <row r="11">
          <cell r="G11">
            <v>42856</v>
          </cell>
          <cell r="H11" t="str">
            <v>Term Time</v>
          </cell>
          <cell r="K11">
            <v>43094</v>
          </cell>
        </row>
        <row r="12">
          <cell r="G12">
            <v>42863</v>
          </cell>
          <cell r="H12" t="str">
            <v>Term Time</v>
          </cell>
          <cell r="K12">
            <v>43095</v>
          </cell>
        </row>
        <row r="13">
          <cell r="G13">
            <v>42870</v>
          </cell>
          <cell r="H13" t="str">
            <v>Term Time</v>
          </cell>
          <cell r="K13">
            <v>43096</v>
          </cell>
        </row>
        <row r="14">
          <cell r="G14">
            <v>42877</v>
          </cell>
          <cell r="H14" t="str">
            <v>Term Time</v>
          </cell>
          <cell r="K14">
            <v>43097</v>
          </cell>
        </row>
        <row r="15">
          <cell r="G15">
            <v>42884</v>
          </cell>
          <cell r="H15" t="str">
            <v>Term Time</v>
          </cell>
          <cell r="K15">
            <v>43098</v>
          </cell>
        </row>
        <row r="16">
          <cell r="G16">
            <v>42891</v>
          </cell>
          <cell r="H16" t="str">
            <v>Term Time</v>
          </cell>
          <cell r="K16">
            <v>43099</v>
          </cell>
        </row>
        <row r="17">
          <cell r="G17">
            <v>42898</v>
          </cell>
          <cell r="H17" t="str">
            <v>Term Time</v>
          </cell>
          <cell r="K17">
            <v>43100</v>
          </cell>
        </row>
        <row r="18">
          <cell r="G18">
            <v>42905</v>
          </cell>
          <cell r="H18" t="str">
            <v>Vacation</v>
          </cell>
          <cell r="K18">
            <v>43101</v>
          </cell>
        </row>
        <row r="19">
          <cell r="G19">
            <v>42912</v>
          </cell>
          <cell r="H19" t="str">
            <v>Vacation</v>
          </cell>
          <cell r="K19">
            <v>43102</v>
          </cell>
        </row>
        <row r="20">
          <cell r="G20">
            <v>42919</v>
          </cell>
          <cell r="H20" t="str">
            <v>Vacation</v>
          </cell>
        </row>
        <row r="21">
          <cell r="G21">
            <v>42926</v>
          </cell>
          <cell r="H21" t="str">
            <v>Vacation</v>
          </cell>
        </row>
        <row r="22">
          <cell r="G22">
            <v>42933</v>
          </cell>
          <cell r="H22" t="str">
            <v>Vacation</v>
          </cell>
        </row>
        <row r="23">
          <cell r="G23">
            <v>42940</v>
          </cell>
          <cell r="H23" t="str">
            <v>Vacation</v>
          </cell>
        </row>
        <row r="24">
          <cell r="G24">
            <v>42947</v>
          </cell>
          <cell r="H24" t="str">
            <v>Vacation</v>
          </cell>
        </row>
        <row r="25">
          <cell r="G25">
            <v>42954</v>
          </cell>
          <cell r="H25" t="str">
            <v>Vacation</v>
          </cell>
        </row>
        <row r="26">
          <cell r="G26">
            <v>42961</v>
          </cell>
          <cell r="H26" t="str">
            <v>Vacation</v>
          </cell>
        </row>
        <row r="27">
          <cell r="G27">
            <v>42968</v>
          </cell>
          <cell r="H27" t="str">
            <v>Vacation</v>
          </cell>
        </row>
        <row r="28">
          <cell r="G28">
            <v>42975</v>
          </cell>
          <cell r="H28" t="str">
            <v>Vacation</v>
          </cell>
        </row>
        <row r="29">
          <cell r="G29">
            <v>42982</v>
          </cell>
          <cell r="H29" t="str">
            <v>Vacation</v>
          </cell>
        </row>
        <row r="30">
          <cell r="G30">
            <v>42989</v>
          </cell>
          <cell r="H30" t="str">
            <v>Vacation</v>
          </cell>
        </row>
        <row r="31">
          <cell r="G31">
            <v>42996</v>
          </cell>
          <cell r="H31" t="str">
            <v>Vacation</v>
          </cell>
        </row>
        <row r="32">
          <cell r="G32">
            <v>43003</v>
          </cell>
          <cell r="H32" t="str">
            <v>Term Time</v>
          </cell>
        </row>
        <row r="33">
          <cell r="G33">
            <v>43010</v>
          </cell>
          <cell r="H33" t="str">
            <v>Term Time</v>
          </cell>
        </row>
        <row r="34">
          <cell r="G34">
            <v>43017</v>
          </cell>
          <cell r="H34" t="str">
            <v>Term Time</v>
          </cell>
        </row>
        <row r="35">
          <cell r="G35">
            <v>43024</v>
          </cell>
          <cell r="H35" t="str">
            <v>Term Time</v>
          </cell>
        </row>
        <row r="36">
          <cell r="G36">
            <v>43031</v>
          </cell>
          <cell r="H36" t="str">
            <v>Term Time</v>
          </cell>
        </row>
        <row r="37">
          <cell r="G37">
            <v>43038</v>
          </cell>
          <cell r="H37" t="str">
            <v>Term Time</v>
          </cell>
        </row>
        <row r="38">
          <cell r="G38">
            <v>43045</v>
          </cell>
          <cell r="H38" t="str">
            <v>Term Time</v>
          </cell>
        </row>
        <row r="39">
          <cell r="G39">
            <v>43052</v>
          </cell>
          <cell r="H39" t="str">
            <v>Term Time</v>
          </cell>
        </row>
        <row r="40">
          <cell r="G40">
            <v>43059</v>
          </cell>
          <cell r="H40" t="str">
            <v>Term Time</v>
          </cell>
        </row>
        <row r="41">
          <cell r="G41">
            <v>43066</v>
          </cell>
          <cell r="H41" t="str">
            <v>Term Time</v>
          </cell>
        </row>
        <row r="42">
          <cell r="G42">
            <v>43073</v>
          </cell>
          <cell r="H42" t="str">
            <v>Term Time</v>
          </cell>
        </row>
        <row r="43">
          <cell r="G43">
            <v>43080</v>
          </cell>
          <cell r="H43" t="str">
            <v>Term Time</v>
          </cell>
        </row>
        <row r="44">
          <cell r="G44">
            <v>43087</v>
          </cell>
          <cell r="H44" t="str">
            <v>Vacation</v>
          </cell>
        </row>
        <row r="45">
          <cell r="G45">
            <v>43094</v>
          </cell>
          <cell r="H45" t="str">
            <v>Vacation</v>
          </cell>
        </row>
        <row r="46">
          <cell r="G46">
            <v>43101</v>
          </cell>
          <cell r="H46" t="str">
            <v>Vacation</v>
          </cell>
        </row>
        <row r="47">
          <cell r="G47">
            <v>43108</v>
          </cell>
          <cell r="H47" t="str">
            <v>Term Time</v>
          </cell>
        </row>
        <row r="48">
          <cell r="G48">
            <v>43115</v>
          </cell>
          <cell r="H48" t="str">
            <v>Term Time</v>
          </cell>
        </row>
        <row r="49">
          <cell r="G49">
            <v>43122</v>
          </cell>
          <cell r="H49" t="str">
            <v>Term Time</v>
          </cell>
        </row>
        <row r="50">
          <cell r="G50">
            <v>43129</v>
          </cell>
          <cell r="H50" t="str">
            <v>Term Time</v>
          </cell>
        </row>
        <row r="51">
          <cell r="G51">
            <v>43136</v>
          </cell>
          <cell r="H51" t="str">
            <v>Term Time</v>
          </cell>
        </row>
        <row r="52">
          <cell r="G52">
            <v>43143</v>
          </cell>
          <cell r="H52" t="str">
            <v>Term Time</v>
          </cell>
        </row>
        <row r="53">
          <cell r="G53">
            <v>43150</v>
          </cell>
          <cell r="H53" t="str">
            <v>Term Time</v>
          </cell>
        </row>
      </sheetData>
      <sheetData sheetId="6">
        <row r="2">
          <cell r="C2" t="str">
            <v>Ref</v>
          </cell>
          <cell r="D2" t="str">
            <v>A</v>
          </cell>
          <cell r="E2" t="str">
            <v>B</v>
          </cell>
          <cell r="F2" t="str">
            <v>C</v>
          </cell>
          <cell r="G2" t="str">
            <v>D</v>
          </cell>
          <cell r="H2" t="str">
            <v>E</v>
          </cell>
        </row>
        <row r="3">
          <cell r="C3">
            <v>2</v>
          </cell>
          <cell r="D3">
            <v>3.87</v>
          </cell>
          <cell r="E3">
            <v>3.87</v>
          </cell>
          <cell r="F3">
            <v>4</v>
          </cell>
          <cell r="G3">
            <v>4.05</v>
          </cell>
          <cell r="H3">
            <v>4.05</v>
          </cell>
        </row>
        <row r="4">
          <cell r="C4">
            <v>3</v>
          </cell>
          <cell r="D4">
            <v>5.3</v>
          </cell>
          <cell r="E4">
            <v>5.3</v>
          </cell>
          <cell r="F4">
            <v>5.55</v>
          </cell>
          <cell r="G4">
            <v>5.6</v>
          </cell>
          <cell r="H4">
            <v>5.6</v>
          </cell>
        </row>
        <row r="5">
          <cell r="C5">
            <v>4</v>
          </cell>
          <cell r="D5">
            <v>6.7</v>
          </cell>
          <cell r="E5">
            <v>6.7</v>
          </cell>
          <cell r="F5">
            <v>6.95</v>
          </cell>
          <cell r="G5">
            <v>7.05</v>
          </cell>
          <cell r="H5">
            <v>7.05</v>
          </cell>
        </row>
        <row r="6">
          <cell r="C6">
            <v>5</v>
          </cell>
          <cell r="D6">
            <v>7.2</v>
          </cell>
          <cell r="E6">
            <v>7.2</v>
          </cell>
          <cell r="F6">
            <v>7.2</v>
          </cell>
          <cell r="G6">
            <v>7.5</v>
          </cell>
          <cell r="H6">
            <v>7.5</v>
          </cell>
        </row>
        <row r="7">
          <cell r="A7" t="str">
            <v>Level 1a (Spine Point 2)</v>
          </cell>
          <cell r="B7" t="str">
            <v>n/a</v>
          </cell>
          <cell r="C7">
            <v>6</v>
          </cell>
          <cell r="D7">
            <v>7.78</v>
          </cell>
          <cell r="E7">
            <v>8.02</v>
          </cell>
          <cell r="F7">
            <v>8.02</v>
          </cell>
          <cell r="G7">
            <v>8.02</v>
          </cell>
          <cell r="H7">
            <v>8.2100000000000009</v>
          </cell>
        </row>
        <row r="8">
          <cell r="A8" t="str">
            <v>Level 1b (Spine Point 3)</v>
          </cell>
          <cell r="B8" t="str">
            <v>n/a</v>
          </cell>
          <cell r="C8">
            <v>7</v>
          </cell>
          <cell r="D8">
            <v>7.97</v>
          </cell>
          <cell r="E8">
            <v>8.18</v>
          </cell>
          <cell r="F8">
            <v>8.18</v>
          </cell>
          <cell r="G8">
            <v>8.18</v>
          </cell>
          <cell r="H8">
            <v>8.3699999999999992</v>
          </cell>
        </row>
        <row r="9">
          <cell r="A9" t="str">
            <v>Level 2a (Spine Point 7)</v>
          </cell>
          <cell r="B9" t="str">
            <v>n/a</v>
          </cell>
          <cell r="C9">
            <v>8</v>
          </cell>
          <cell r="D9">
            <v>8.7100000000000009</v>
          </cell>
          <cell r="E9">
            <v>8.85</v>
          </cell>
          <cell r="F9">
            <v>8.85</v>
          </cell>
          <cell r="G9">
            <v>8.85</v>
          </cell>
          <cell r="H9">
            <v>9.0500000000000007</v>
          </cell>
        </row>
        <row r="10">
          <cell r="A10" t="str">
            <v>Level 2b (Spine Point 13)</v>
          </cell>
          <cell r="B10" t="str">
            <v>n/a</v>
          </cell>
          <cell r="C10">
            <v>9</v>
          </cell>
          <cell r="D10">
            <v>10.27</v>
          </cell>
          <cell r="E10">
            <v>10.38</v>
          </cell>
          <cell r="F10">
            <v>10.38</v>
          </cell>
          <cell r="G10">
            <v>10.38</v>
          </cell>
          <cell r="H10">
            <v>10.57</v>
          </cell>
        </row>
        <row r="11">
          <cell r="A11" t="str">
            <v>Level 3 (Spine Point 20)</v>
          </cell>
          <cell r="B11" t="str">
            <v>n/a</v>
          </cell>
          <cell r="C11">
            <v>10</v>
          </cell>
          <cell r="D11">
            <v>12.94</v>
          </cell>
          <cell r="E11">
            <v>13.08</v>
          </cell>
          <cell r="F11">
            <v>13.08</v>
          </cell>
          <cell r="G11">
            <v>13.08</v>
          </cell>
          <cell r="H11">
            <v>13.31</v>
          </cell>
        </row>
        <row r="12">
          <cell r="A12" t="str">
            <v>Level 4 (Spine Point 27)</v>
          </cell>
          <cell r="B12" t="str">
            <v>n/a</v>
          </cell>
          <cell r="C12">
            <v>11</v>
          </cell>
          <cell r="D12">
            <v>15.88</v>
          </cell>
          <cell r="E12">
            <v>16.059999999999999</v>
          </cell>
          <cell r="F12">
            <v>16.059999999999999</v>
          </cell>
          <cell r="G12">
            <v>16.059999999999999</v>
          </cell>
          <cell r="H12">
            <v>16.329999999999998</v>
          </cell>
        </row>
        <row r="13">
          <cell r="A13" t="str">
            <v>Min. Rate (Spine Point 30)</v>
          </cell>
          <cell r="B13" t="str">
            <v>n/a</v>
          </cell>
          <cell r="C13">
            <v>12</v>
          </cell>
          <cell r="D13">
            <v>17.829999999999998</v>
          </cell>
          <cell r="E13">
            <v>17.829999999999998</v>
          </cell>
          <cell r="F13">
            <v>17.829999999999998</v>
          </cell>
          <cell r="G13">
            <v>17.829999999999998</v>
          </cell>
          <cell r="H13">
            <v>17.829999999999998</v>
          </cell>
        </row>
        <row r="14">
          <cell r="A14" t="str">
            <v>Demonstrator Rate</v>
          </cell>
          <cell r="B14" t="str">
            <v>n/a</v>
          </cell>
          <cell r="C14">
            <v>13</v>
          </cell>
          <cell r="D14">
            <v>12.53</v>
          </cell>
          <cell r="E14">
            <v>12.66</v>
          </cell>
          <cell r="F14">
            <v>12.66</v>
          </cell>
          <cell r="G14">
            <v>12.66</v>
          </cell>
          <cell r="H14">
            <v>12.88</v>
          </cell>
        </row>
        <row r="15">
          <cell r="A15" t="str">
            <v>Standard Rate (Excel Interns)</v>
          </cell>
          <cell r="B15" t="str">
            <v>n/a</v>
          </cell>
          <cell r="C15">
            <v>14</v>
          </cell>
          <cell r="D15">
            <v>7.87</v>
          </cell>
          <cell r="E15">
            <v>7.87</v>
          </cell>
          <cell r="F15">
            <v>7.87</v>
          </cell>
          <cell r="G15">
            <v>7.87</v>
          </cell>
          <cell r="H15">
            <v>8.2100000000000009</v>
          </cell>
        </row>
        <row r="16">
          <cell r="A16" t="str">
            <v>Standard Rate (£7.50/hour)</v>
          </cell>
          <cell r="B16" t="str">
            <v>n/a</v>
          </cell>
          <cell r="C16">
            <v>15</v>
          </cell>
          <cell r="D16">
            <v>7.5</v>
          </cell>
          <cell r="E16">
            <v>7.5</v>
          </cell>
          <cell r="F16">
            <v>7.5</v>
          </cell>
          <cell r="G16">
            <v>7.5</v>
          </cell>
          <cell r="H16">
            <v>7.5</v>
          </cell>
        </row>
        <row r="17">
          <cell r="A17" t="str">
            <v>Standard Rate (EYC)</v>
          </cell>
          <cell r="B17" t="str">
            <v>n/a</v>
          </cell>
          <cell r="C17">
            <v>16</v>
          </cell>
          <cell r="D17">
            <v>7.87</v>
          </cell>
          <cell r="E17">
            <v>7.87</v>
          </cell>
          <cell r="F17">
            <v>7.87</v>
          </cell>
          <cell r="G17">
            <v>7.87</v>
          </cell>
          <cell r="H17">
            <v>7.87</v>
          </cell>
        </row>
        <row r="18">
          <cell r="A18" t="str">
            <v>Invigilator (£8.80/hour)</v>
          </cell>
          <cell r="B18" t="str">
            <v>n/a</v>
          </cell>
          <cell r="C18">
            <v>17</v>
          </cell>
          <cell r="D18">
            <v>8.8000000000000007</v>
          </cell>
          <cell r="E18">
            <v>8.8000000000000007</v>
          </cell>
          <cell r="F18">
            <v>8.8000000000000007</v>
          </cell>
          <cell r="G18">
            <v>8.8000000000000007</v>
          </cell>
          <cell r="H18">
            <v>8.8000000000000007</v>
          </cell>
        </row>
        <row r="19">
          <cell r="A19" t="str">
            <v>Senior Invig. (£12.10/hour)</v>
          </cell>
          <cell r="B19" t="str">
            <v>n/a</v>
          </cell>
          <cell r="C19">
            <v>18</v>
          </cell>
          <cell r="D19">
            <v>12.1</v>
          </cell>
          <cell r="E19">
            <v>12.1</v>
          </cell>
          <cell r="F19">
            <v>12.1</v>
          </cell>
          <cell r="G19">
            <v>12.1</v>
          </cell>
          <cell r="H19">
            <v>12.1</v>
          </cell>
        </row>
        <row r="20">
          <cell r="A20" t="str">
            <v>Ambassador</v>
          </cell>
          <cell r="B20" t="str">
            <v>n/a</v>
          </cell>
          <cell r="C20">
            <v>19</v>
          </cell>
          <cell r="D20">
            <v>6.7</v>
          </cell>
          <cell r="E20">
            <v>6.7</v>
          </cell>
          <cell r="F20">
            <v>6.95</v>
          </cell>
          <cell r="G20">
            <v>7.05</v>
          </cell>
          <cell r="H20">
            <v>7.05</v>
          </cell>
        </row>
        <row r="21">
          <cell r="A21" t="str">
            <v>Lead Ambassador</v>
          </cell>
          <cell r="B21" t="str">
            <v>n/a</v>
          </cell>
          <cell r="C21">
            <v>20</v>
          </cell>
          <cell r="D21">
            <v>8.5</v>
          </cell>
          <cell r="E21">
            <v>8.5</v>
          </cell>
          <cell r="F21">
            <v>8.5</v>
          </cell>
          <cell r="G21">
            <v>8.5</v>
          </cell>
          <cell r="H21">
            <v>8.5</v>
          </cell>
        </row>
        <row r="22">
          <cell r="A22" t="str">
            <v>Open Days</v>
          </cell>
          <cell r="B22" t="str">
            <v>n/a</v>
          </cell>
          <cell r="C22">
            <v>21</v>
          </cell>
          <cell r="D22">
            <v>7.78</v>
          </cell>
          <cell r="E22">
            <v>7.78</v>
          </cell>
          <cell r="F22">
            <v>7.78</v>
          </cell>
          <cell r="G22">
            <v>7.78</v>
          </cell>
          <cell r="H22">
            <v>7.78</v>
          </cell>
        </row>
        <row r="23">
          <cell r="A23" t="str">
            <v>Graduation Days</v>
          </cell>
          <cell r="B23" t="str">
            <v>n/a</v>
          </cell>
          <cell r="C23">
            <v>22</v>
          </cell>
          <cell r="D23">
            <v>8.8000000000000007</v>
          </cell>
          <cell r="E23">
            <v>8.8000000000000007</v>
          </cell>
          <cell r="F23">
            <v>8.8000000000000007</v>
          </cell>
          <cell r="G23">
            <v>8.8000000000000007</v>
          </cell>
          <cell r="H23">
            <v>8.8000000000000007</v>
          </cell>
        </row>
        <row r="24">
          <cell r="A24" t="str">
            <v>Confirmation and Clearing</v>
          </cell>
          <cell r="B24" t="str">
            <v>n/a</v>
          </cell>
          <cell r="C24">
            <v>23</v>
          </cell>
          <cell r="D24">
            <v>8.7100000000000009</v>
          </cell>
          <cell r="E24">
            <v>8.85</v>
          </cell>
          <cell r="F24">
            <v>8.85</v>
          </cell>
          <cell r="G24">
            <v>8.85</v>
          </cell>
          <cell r="H24">
            <v>9.0500000000000007</v>
          </cell>
        </row>
        <row r="25">
          <cell r="A25" t="str">
            <v>Learning Support Assistant</v>
          </cell>
          <cell r="B25" t="str">
            <v>n/a</v>
          </cell>
          <cell r="C25">
            <v>24</v>
          </cell>
          <cell r="D25">
            <v>10.56</v>
          </cell>
          <cell r="E25">
            <v>10.68</v>
          </cell>
          <cell r="F25">
            <v>10.68</v>
          </cell>
          <cell r="G25">
            <v>10.68</v>
          </cell>
          <cell r="H25">
            <v>10.87</v>
          </cell>
        </row>
        <row r="26">
          <cell r="A26" t="str">
            <v>BLANK FOR FUTURE EXPANSION</v>
          </cell>
          <cell r="B26" t="str">
            <v>n/a</v>
          </cell>
          <cell r="C26">
            <v>25</v>
          </cell>
          <cell r="D26">
            <v>0</v>
          </cell>
          <cell r="E26">
            <v>0</v>
          </cell>
          <cell r="F26">
            <v>0</v>
          </cell>
          <cell r="G26">
            <v>0</v>
          </cell>
          <cell r="H26">
            <v>0</v>
          </cell>
        </row>
        <row r="27">
          <cell r="A27" t="str">
            <v>BLANK FOR FUTURE EXPANSION</v>
          </cell>
          <cell r="B27" t="str">
            <v>n/a</v>
          </cell>
          <cell r="C27">
            <v>26</v>
          </cell>
          <cell r="D27">
            <v>0</v>
          </cell>
          <cell r="E27">
            <v>0</v>
          </cell>
          <cell r="F27">
            <v>0</v>
          </cell>
          <cell r="G27">
            <v>0</v>
          </cell>
          <cell r="H27">
            <v>0</v>
          </cell>
        </row>
        <row r="28">
          <cell r="A28" t="str">
            <v>BLANK FOR FUTURE EXPANSION</v>
          </cell>
          <cell r="B28" t="str">
            <v>n/a</v>
          </cell>
          <cell r="C28">
            <v>27</v>
          </cell>
          <cell r="D28">
            <v>0</v>
          </cell>
          <cell r="E28">
            <v>0</v>
          </cell>
          <cell r="F28">
            <v>0</v>
          </cell>
          <cell r="G28">
            <v>0</v>
          </cell>
          <cell r="H28">
            <v>0</v>
          </cell>
        </row>
        <row r="29">
          <cell r="A29" t="str">
            <v>Minimum Wage</v>
          </cell>
          <cell r="B29" t="str">
            <v>n/a</v>
          </cell>
          <cell r="C29">
            <v>28</v>
          </cell>
          <cell r="D29">
            <v>0</v>
          </cell>
          <cell r="E29">
            <v>0</v>
          </cell>
          <cell r="F29">
            <v>0</v>
          </cell>
          <cell r="G29">
            <v>0</v>
          </cell>
          <cell r="H29">
            <v>0</v>
          </cell>
        </row>
        <row r="30">
          <cell r="A30" t="str">
            <v>Select type of work first</v>
          </cell>
          <cell r="B30" t="str">
            <v>n/a</v>
          </cell>
          <cell r="C30">
            <v>29</v>
          </cell>
          <cell r="D30">
            <v>0</v>
          </cell>
          <cell r="E30">
            <v>0</v>
          </cell>
          <cell r="F30">
            <v>0</v>
          </cell>
          <cell r="G30">
            <v>0</v>
          </cell>
          <cell r="H30">
            <v>0</v>
          </cell>
        </row>
      </sheetData>
      <sheetData sheetId="7">
        <row r="5">
          <cell r="A5" t="str">
            <v>Please select type of work</v>
          </cell>
          <cell r="B5" t="str">
            <v>----</v>
          </cell>
          <cell r="C5" t="str">
            <v>----</v>
          </cell>
        </row>
        <row r="6">
          <cell r="A6" t="str">
            <v>Administrative Work</v>
          </cell>
          <cell r="B6">
            <v>4011</v>
          </cell>
          <cell r="C6" t="str">
            <v>FEES</v>
          </cell>
        </row>
        <row r="7">
          <cell r="A7" t="str">
            <v>Arts on Campus</v>
          </cell>
          <cell r="B7">
            <v>4006</v>
          </cell>
          <cell r="C7" t="str">
            <v>FEES</v>
          </cell>
        </row>
        <row r="8">
          <cell r="A8" t="str">
            <v>Catering Work</v>
          </cell>
          <cell r="B8">
            <v>4012</v>
          </cell>
          <cell r="C8" t="str">
            <v>FEES</v>
          </cell>
        </row>
        <row r="9">
          <cell r="A9" t="str">
            <v>Cleaning Work</v>
          </cell>
          <cell r="B9">
            <v>4013</v>
          </cell>
          <cell r="C9" t="str">
            <v>FEES</v>
          </cell>
        </row>
        <row r="10">
          <cell r="A10" t="str">
            <v>Consultancy</v>
          </cell>
          <cell r="B10">
            <v>4114</v>
          </cell>
          <cell r="C10" t="str">
            <v>FEES</v>
          </cell>
        </row>
        <row r="11">
          <cell r="A11" t="str">
            <v>Demonstrator</v>
          </cell>
          <cell r="B11">
            <v>4000</v>
          </cell>
          <cell r="C11" t="str">
            <v>DEMO</v>
          </cell>
        </row>
        <row r="12">
          <cell r="A12" t="str">
            <v>Early Years Centre Work</v>
          </cell>
          <cell r="B12">
            <v>4007</v>
          </cell>
          <cell r="C12" t="str">
            <v>FEES</v>
          </cell>
        </row>
        <row r="13">
          <cell r="A13" t="str">
            <v>Exam Invigilation</v>
          </cell>
          <cell r="B13">
            <v>4016</v>
          </cell>
          <cell r="C13" t="str">
            <v>FEES</v>
          </cell>
        </row>
        <row r="14">
          <cell r="A14" t="str">
            <v>Excel Internship</v>
          </cell>
          <cell r="B14">
            <v>4040</v>
          </cell>
          <cell r="C14" t="str">
            <v>ESI1</v>
          </cell>
        </row>
        <row r="15">
          <cell r="A15" t="str">
            <v>Lecturing</v>
          </cell>
          <cell r="B15">
            <v>4015</v>
          </cell>
          <cell r="C15" t="str">
            <v>FEES</v>
          </cell>
        </row>
        <row r="16">
          <cell r="A16" t="str">
            <v>Library Work</v>
          </cell>
          <cell r="B16">
            <v>4004</v>
          </cell>
          <cell r="C16" t="str">
            <v>FEES</v>
          </cell>
        </row>
        <row r="17">
          <cell r="A17" t="str">
            <v>Marking</v>
          </cell>
          <cell r="B17">
            <v>4106</v>
          </cell>
          <cell r="C17" t="str">
            <v>FEES</v>
          </cell>
        </row>
        <row r="18">
          <cell r="A18" t="str">
            <v>Research Assistance</v>
          </cell>
          <cell r="B18">
            <v>4005</v>
          </cell>
          <cell r="C18" t="str">
            <v>FEES</v>
          </cell>
        </row>
        <row r="19">
          <cell r="A19" t="str">
            <v>Sport and Wellbeing Work</v>
          </cell>
          <cell r="B19">
            <v>4009</v>
          </cell>
          <cell r="C19" t="str">
            <v>FEES</v>
          </cell>
        </row>
        <row r="20">
          <cell r="A20" t="str">
            <v>Student Demonstrator</v>
          </cell>
          <cell r="B20">
            <v>4000</v>
          </cell>
          <cell r="C20" t="str">
            <v>DEMO</v>
          </cell>
        </row>
        <row r="21">
          <cell r="A21" t="str">
            <v>Student Ambassador</v>
          </cell>
          <cell r="B21">
            <v>4019</v>
          </cell>
          <cell r="C21" t="str">
            <v>FEES</v>
          </cell>
        </row>
        <row r="22">
          <cell r="A22" t="str">
            <v>Student Helper</v>
          </cell>
          <cell r="B22">
            <v>4113</v>
          </cell>
          <cell r="C22" t="str">
            <v>FEES</v>
          </cell>
        </row>
      </sheetData>
      <sheetData sheetId="8">
        <row r="1">
          <cell r="B1" t="str">
            <v>Department</v>
          </cell>
          <cell r="C1" t="str">
            <v>Headline Bucket Post</v>
          </cell>
          <cell r="D1" t="str">
            <v>TBNK</v>
          </cell>
          <cell r="E1" t="str">
            <v>FEES</v>
          </cell>
          <cell r="F1" t="str">
            <v>DEMO</v>
          </cell>
          <cell r="G1" t="str">
            <v>EXTEX</v>
          </cell>
          <cell r="H1" t="str">
            <v>ESI1</v>
          </cell>
        </row>
        <row r="2">
          <cell r="B2" t="str">
            <v>Central Faculty (FBLA)</v>
          </cell>
          <cell r="C2" t="str">
            <v>F100</v>
          </cell>
          <cell r="D2" t="str">
            <v>F100-TBNK</v>
          </cell>
          <cell r="E2" t="str">
            <v>F100-FEES</v>
          </cell>
          <cell r="F2" t="str">
            <v>F100-DEMO</v>
          </cell>
          <cell r="G2" t="str">
            <v>F100-EXTEX</v>
          </cell>
          <cell r="H2" t="str">
            <v>F100-ESI1</v>
          </cell>
        </row>
        <row r="3">
          <cell r="B3" t="str">
            <v>Faculty Operating Service (FBLA)</v>
          </cell>
          <cell r="C3" t="str">
            <v>TX01</v>
          </cell>
          <cell r="D3" t="str">
            <v>TX01-TBNK</v>
          </cell>
          <cell r="E3" t="str">
            <v>TX01-FEES</v>
          </cell>
          <cell r="F3" t="str">
            <v>TX01-DEMO</v>
          </cell>
          <cell r="G3" t="str">
            <v>TX01-EXTEX</v>
          </cell>
          <cell r="H3" t="str">
            <v>TX01-ESI1</v>
          </cell>
        </row>
        <row r="4">
          <cell r="B4" t="str">
            <v>Southampton Business School</v>
          </cell>
          <cell r="C4" t="str">
            <v>TR00</v>
          </cell>
          <cell r="D4" t="str">
            <v>TR00-TBNK</v>
          </cell>
          <cell r="E4" t="str">
            <v>TR00-FEES</v>
          </cell>
          <cell r="F4" t="str">
            <v>TR00-DEMO</v>
          </cell>
          <cell r="G4" t="str">
            <v>TR00-EXTEX</v>
          </cell>
          <cell r="H4" t="str">
            <v>TR00-ESI1</v>
          </cell>
        </row>
        <row r="5">
          <cell r="B5" t="str">
            <v>Southampton Law School</v>
          </cell>
          <cell r="C5" t="str">
            <v>JJ00</v>
          </cell>
          <cell r="D5" t="str">
            <v>JJ00-TBNK</v>
          </cell>
          <cell r="E5" t="str">
            <v>JJ00-FEES</v>
          </cell>
          <cell r="F5" t="str">
            <v>JJ00-DEMO</v>
          </cell>
          <cell r="G5" t="str">
            <v>JJ00-EXTEX</v>
          </cell>
          <cell r="H5" t="str">
            <v>JJ00-ESI1</v>
          </cell>
        </row>
        <row r="6">
          <cell r="B6" t="str">
            <v>Winchester School of Art</v>
          </cell>
          <cell r="C6" t="str">
            <v>FH00</v>
          </cell>
          <cell r="D6" t="str">
            <v>FH00-TBNK</v>
          </cell>
          <cell r="E6" t="str">
            <v>FH00-FEES</v>
          </cell>
          <cell r="F6" t="str">
            <v>FH00-DEMO</v>
          </cell>
          <cell r="G6" t="str">
            <v>FH00-EXTEX</v>
          </cell>
          <cell r="H6" t="str">
            <v>FH00-ESI1</v>
          </cell>
        </row>
        <row r="7">
          <cell r="B7" t="str">
            <v>Central Faculty (FEE)</v>
          </cell>
          <cell r="C7" t="str">
            <v>F200</v>
          </cell>
          <cell r="D7" t="str">
            <v>F200-TBNK</v>
          </cell>
          <cell r="E7" t="str">
            <v>F200-FEES</v>
          </cell>
          <cell r="F7" t="str">
            <v>F200-DEMO</v>
          </cell>
          <cell r="G7" t="str">
            <v>F200-EXTEX</v>
          </cell>
          <cell r="H7" t="str">
            <v>F200-ESI1</v>
          </cell>
        </row>
        <row r="8">
          <cell r="B8" t="str">
            <v>Faculty Operating Service (FEE)</v>
          </cell>
          <cell r="C8" t="str">
            <v>TX02</v>
          </cell>
          <cell r="D8" t="str">
            <v>TX02-TBNK</v>
          </cell>
          <cell r="E8" t="str">
            <v>TX02-FEES</v>
          </cell>
          <cell r="F8" t="str">
            <v>TX02-DEMO</v>
          </cell>
          <cell r="G8" t="str">
            <v>TX02-EXTEX</v>
          </cell>
          <cell r="H8" t="str">
            <v>TX02-ESI1</v>
          </cell>
        </row>
        <row r="9">
          <cell r="B9" t="str">
            <v>Aero, Astro and Comp. Engineering</v>
          </cell>
          <cell r="C9" t="str">
            <v>AK00</v>
          </cell>
          <cell r="D9" t="str">
            <v>AK00-TBNK</v>
          </cell>
          <cell r="E9" t="str">
            <v>AK00-FEES</v>
          </cell>
          <cell r="F9" t="str">
            <v>AK00-DEMO</v>
          </cell>
          <cell r="G9" t="str">
            <v>AK00-EXTEX</v>
          </cell>
          <cell r="H9" t="str">
            <v>AK00-ESI1</v>
          </cell>
        </row>
        <row r="10">
          <cell r="B10" t="str">
            <v>Civil, Maritime and Env. Engineering and Science</v>
          </cell>
          <cell r="C10" t="str">
            <v>MJ00</v>
          </cell>
          <cell r="D10" t="str">
            <v>MJ00-TBNK</v>
          </cell>
          <cell r="E10" t="str">
            <v>MJ00-FEES</v>
          </cell>
          <cell r="F10" t="str">
            <v>MJ00-DEMO</v>
          </cell>
          <cell r="G10" t="str">
            <v>MJ00-EXTEX</v>
          </cell>
          <cell r="H10" t="str">
            <v>MJ00-ESI1</v>
          </cell>
        </row>
        <row r="11">
          <cell r="B11" t="str">
            <v>Education Hub</v>
          </cell>
          <cell r="C11" t="str">
            <v>MM00</v>
          </cell>
          <cell r="D11" t="str">
            <v>MM00-TBNK</v>
          </cell>
          <cell r="E11" t="str">
            <v>MM00-FEES</v>
          </cell>
          <cell r="F11" t="str">
            <v>MM00-DEMO</v>
          </cell>
          <cell r="G11" t="str">
            <v>MM00-EXTEX</v>
          </cell>
          <cell r="H11" t="str">
            <v>MM00-ESI1</v>
          </cell>
        </row>
        <row r="12">
          <cell r="B12" t="str">
            <v>Engineering Sciences Unit</v>
          </cell>
          <cell r="C12" t="str">
            <v>KK00</v>
          </cell>
          <cell r="D12" t="str">
            <v>KK00-TBNK</v>
          </cell>
          <cell r="E12" t="str">
            <v>KK00-FEES</v>
          </cell>
          <cell r="F12" t="str">
            <v>KK00-DEMO</v>
          </cell>
          <cell r="G12" t="str">
            <v>KK00-EXTEX</v>
          </cell>
          <cell r="H12" t="str">
            <v>KK00-ESI1</v>
          </cell>
        </row>
        <row r="13">
          <cell r="B13" t="str">
            <v>Enterprise</v>
          </cell>
          <cell r="C13" t="str">
            <v>LH00</v>
          </cell>
          <cell r="D13" t="str">
            <v>LH00-TBNK</v>
          </cell>
          <cell r="E13" t="str">
            <v>LH00-FEES</v>
          </cell>
          <cell r="F13" t="str">
            <v>LH00-DEMO</v>
          </cell>
          <cell r="G13" t="str">
            <v>LH00-EXTEX</v>
          </cell>
          <cell r="H13" t="str">
            <v>LH00-ESI1</v>
          </cell>
        </row>
        <row r="14">
          <cell r="B14" t="str">
            <v>Institute of Sound and Vibration Research</v>
          </cell>
          <cell r="C14" t="str">
            <v>KR00</v>
          </cell>
          <cell r="D14" t="str">
            <v>KR00-TBNK</v>
          </cell>
          <cell r="E14" t="str">
            <v>KR00-FEES</v>
          </cell>
          <cell r="F14" t="str">
            <v>KR00-DEMO</v>
          </cell>
          <cell r="G14" t="str">
            <v>KR00-EXTEX</v>
          </cell>
          <cell r="H14" t="str">
            <v>KR00-ESI1</v>
          </cell>
        </row>
        <row r="15">
          <cell r="B15" t="str">
            <v>Maritime Institute</v>
          </cell>
          <cell r="C15" t="str">
            <v>EF00</v>
          </cell>
          <cell r="D15" t="str">
            <v>EF00-TBNK</v>
          </cell>
          <cell r="E15" t="str">
            <v>EF00-FEES</v>
          </cell>
          <cell r="F15" t="str">
            <v>EF00-DEMO</v>
          </cell>
          <cell r="G15" t="str">
            <v>EF00-EXTEX</v>
          </cell>
          <cell r="H15" t="str">
            <v>EF00-ESI1</v>
          </cell>
        </row>
        <row r="16">
          <cell r="B16" t="str">
            <v>Central Faculty (FHS)</v>
          </cell>
          <cell r="C16" t="str">
            <v>MR00</v>
          </cell>
          <cell r="D16" t="str">
            <v>MR00-TBNK</v>
          </cell>
          <cell r="E16" t="str">
            <v>MR00-FEES</v>
          </cell>
          <cell r="F16" t="str">
            <v>MR00-DEMO</v>
          </cell>
          <cell r="G16" t="str">
            <v>MR00-EXTEX</v>
          </cell>
          <cell r="H16" t="str">
            <v>MR00-ESI1</v>
          </cell>
        </row>
        <row r="17">
          <cell r="B17" t="str">
            <v>Faculty Operating Service (FHS)</v>
          </cell>
          <cell r="C17" t="str">
            <v>TX03</v>
          </cell>
          <cell r="D17" t="str">
            <v>TX03-TBNK</v>
          </cell>
          <cell r="E17" t="str">
            <v>TX03-FEES</v>
          </cell>
          <cell r="F17" t="str">
            <v>TX03-DEMO</v>
          </cell>
          <cell r="G17" t="str">
            <v>TX03-EXTEX</v>
          </cell>
          <cell r="H17" t="str">
            <v>TX03-ESI1</v>
          </cell>
        </row>
        <row r="18">
          <cell r="B18" t="str">
            <v>Centre for Innovation and Leadership in Health Sciences</v>
          </cell>
          <cell r="C18" t="str">
            <v>BN00</v>
          </cell>
          <cell r="D18" t="str">
            <v>BN00-TBNK</v>
          </cell>
          <cell r="E18" t="str">
            <v>BN00-FEES</v>
          </cell>
          <cell r="F18" t="str">
            <v>BN00-DEMO</v>
          </cell>
          <cell r="G18" t="str">
            <v>BN00-EXTEX</v>
          </cell>
          <cell r="H18" t="str">
            <v>BN00-ESI1</v>
          </cell>
        </row>
        <row r="19">
          <cell r="B19" t="str">
            <v>Professional Practice in Health Sciences</v>
          </cell>
          <cell r="C19" t="str">
            <v>KE00</v>
          </cell>
          <cell r="D19" t="str">
            <v>KE00-TBNK</v>
          </cell>
          <cell r="E19" t="str">
            <v>KE00-FEES</v>
          </cell>
          <cell r="F19" t="str">
            <v>KE00-DEMO</v>
          </cell>
          <cell r="G19" t="str">
            <v>KE00-EXTEX</v>
          </cell>
          <cell r="H19" t="str">
            <v>KE00-ESI1</v>
          </cell>
        </row>
        <row r="20">
          <cell r="B20" t="str">
            <v>Central Faculty (Humanities)</v>
          </cell>
          <cell r="C20" t="str">
            <v>F400/KW01</v>
          </cell>
          <cell r="D20" t="str">
            <v>KW01-TBNK</v>
          </cell>
          <cell r="E20" t="str">
            <v>F400-FEES</v>
          </cell>
          <cell r="F20" t="str">
            <v>F400-DEMO</v>
          </cell>
          <cell r="G20" t="str">
            <v>KW01-EXTEX</v>
          </cell>
          <cell r="H20" t="str">
            <v>F400-ESI1</v>
          </cell>
        </row>
        <row r="21">
          <cell r="B21" t="str">
            <v>Faculty Operating Service (Humanities)</v>
          </cell>
          <cell r="C21" t="str">
            <v>TX04</v>
          </cell>
          <cell r="D21" t="str">
            <v>TX04-TBNK</v>
          </cell>
          <cell r="E21" t="str">
            <v>TX04-FEES</v>
          </cell>
          <cell r="F21" t="str">
            <v>TX04-DEMO</v>
          </cell>
          <cell r="G21" t="str">
            <v>TX04-EXTEX</v>
          </cell>
          <cell r="H21" t="str">
            <v>TX04-ESI1</v>
          </cell>
        </row>
        <row r="22">
          <cell r="B22" t="str">
            <v>Archaeology</v>
          </cell>
          <cell r="C22" t="str">
            <v>KW06</v>
          </cell>
          <cell r="D22" t="str">
            <v>KW06-TBNK</v>
          </cell>
          <cell r="E22" t="str">
            <v>KW06-FEES</v>
          </cell>
          <cell r="F22" t="str">
            <v>KW06-DEMO</v>
          </cell>
          <cell r="G22" t="str">
            <v>KW06-EXTEX</v>
          </cell>
          <cell r="H22" t="str">
            <v>KW06-ESI1</v>
          </cell>
        </row>
        <row r="23">
          <cell r="B23" t="str">
            <v>English</v>
          </cell>
          <cell r="C23" t="str">
            <v>KW03</v>
          </cell>
          <cell r="D23" t="str">
            <v>KW03-TBNK</v>
          </cell>
          <cell r="E23" t="str">
            <v>KW03-FEES</v>
          </cell>
          <cell r="F23" t="str">
            <v>KW03-DEMO</v>
          </cell>
          <cell r="G23" t="str">
            <v>KW03-EXTEX</v>
          </cell>
          <cell r="H23" t="str">
            <v>KW03-ESI1</v>
          </cell>
        </row>
        <row r="24">
          <cell r="B24" t="str">
            <v>Film</v>
          </cell>
          <cell r="C24" t="str">
            <v>KW08</v>
          </cell>
          <cell r="D24" t="str">
            <v>KW08-TBNK</v>
          </cell>
          <cell r="E24" t="str">
            <v>KW08-FEES</v>
          </cell>
          <cell r="F24" t="str">
            <v>KW08-DEMO</v>
          </cell>
          <cell r="G24" t="str">
            <v>KW08-EXTEX</v>
          </cell>
          <cell r="H24" t="str">
            <v>KW08-ESI1</v>
          </cell>
        </row>
        <row r="25">
          <cell r="B25" t="str">
            <v>History</v>
          </cell>
          <cell r="C25" t="str">
            <v>KW04</v>
          </cell>
          <cell r="D25" t="str">
            <v>KW04-TBNK</v>
          </cell>
          <cell r="E25" t="str">
            <v>KW04-FEES</v>
          </cell>
          <cell r="F25" t="str">
            <v>KW04-DEMO</v>
          </cell>
          <cell r="G25" t="str">
            <v>KW04-EXTEX</v>
          </cell>
          <cell r="H25" t="str">
            <v>KW04-ESI1</v>
          </cell>
        </row>
        <row r="26">
          <cell r="B26" t="str">
            <v>Modern Languages</v>
          </cell>
          <cell r="C26" t="str">
            <v>KW02</v>
          </cell>
          <cell r="D26" t="str">
            <v>KW02-TBNK</v>
          </cell>
          <cell r="E26" t="str">
            <v>KW02-FEES</v>
          </cell>
          <cell r="F26" t="str">
            <v>KW02-DEMO</v>
          </cell>
          <cell r="G26" t="str">
            <v>KW02-EXTEX</v>
          </cell>
          <cell r="H26" t="str">
            <v>KW02-ESI1</v>
          </cell>
        </row>
        <row r="27">
          <cell r="B27" t="str">
            <v>Music</v>
          </cell>
          <cell r="C27" t="str">
            <v>KW07</v>
          </cell>
          <cell r="D27" t="str">
            <v>KW07-TBNK</v>
          </cell>
          <cell r="E27" t="str">
            <v>KW07-FEES</v>
          </cell>
          <cell r="F27" t="str">
            <v>KW07-DEMO</v>
          </cell>
          <cell r="G27" t="str">
            <v>KW07-EXTEX</v>
          </cell>
          <cell r="H27" t="str">
            <v>KW07-ESI1</v>
          </cell>
        </row>
        <row r="28">
          <cell r="B28" t="str">
            <v>Philosophy</v>
          </cell>
          <cell r="C28" t="str">
            <v>KW05</v>
          </cell>
          <cell r="D28" t="str">
            <v>KW05-TBNK</v>
          </cell>
          <cell r="E28" t="str">
            <v>KW05-FEES</v>
          </cell>
          <cell r="F28" t="str">
            <v>KW05-DEMO</v>
          </cell>
          <cell r="G28" t="str">
            <v>KW05-EXTEX</v>
          </cell>
          <cell r="H28" t="str">
            <v>KW05-ESI1</v>
          </cell>
        </row>
        <row r="29">
          <cell r="B29" t="str">
            <v>Central Faculty (Medicine)</v>
          </cell>
          <cell r="C29" t="str">
            <v>RJ00</v>
          </cell>
          <cell r="D29" t="str">
            <v>RJ00-TBNK</v>
          </cell>
          <cell r="E29" t="str">
            <v>RJ00-FEES</v>
          </cell>
          <cell r="F29" t="str">
            <v>RJ00-DEMO</v>
          </cell>
          <cell r="G29" t="str">
            <v>RJ00-EXTEX</v>
          </cell>
          <cell r="H29" t="str">
            <v>RJ00-ESI1</v>
          </cell>
        </row>
        <row r="30">
          <cell r="B30" t="str">
            <v>Faculty Operating Service (Medicine)</v>
          </cell>
          <cell r="C30" t="str">
            <v>TX05</v>
          </cell>
          <cell r="D30" t="str">
            <v>TX05-TBNK</v>
          </cell>
          <cell r="E30" t="str">
            <v>TX05-FEES</v>
          </cell>
          <cell r="F30" t="str">
            <v>TX05-DEMO</v>
          </cell>
          <cell r="G30" t="str">
            <v>TX05-EXTEX</v>
          </cell>
          <cell r="H30" t="str">
            <v>TX05-ESI1</v>
          </cell>
        </row>
        <row r="31">
          <cell r="B31" t="str">
            <v>Cancer Sciences</v>
          </cell>
          <cell r="C31" t="str">
            <v>RJ04</v>
          </cell>
          <cell r="D31" t="str">
            <v>RJ04-TBNK</v>
          </cell>
          <cell r="E31" t="str">
            <v>RJ04-FEES</v>
          </cell>
          <cell r="F31" t="str">
            <v>RJ04-DEMO</v>
          </cell>
          <cell r="G31" t="str">
            <v>RJ04-EXTEX</v>
          </cell>
          <cell r="H31" t="str">
            <v>RJ04-ESI1</v>
          </cell>
        </row>
        <row r="32">
          <cell r="B32" t="str">
            <v>Clinical and Experimental Sciences</v>
          </cell>
          <cell r="C32" t="str">
            <v>RJ08</v>
          </cell>
          <cell r="D32" t="str">
            <v>RJ08-TBNK</v>
          </cell>
          <cell r="E32" t="str">
            <v>RJ08-FEES</v>
          </cell>
          <cell r="F32" t="str">
            <v>RJ08-DEMO</v>
          </cell>
          <cell r="G32" t="str">
            <v>RJ08-EXTEX</v>
          </cell>
          <cell r="H32" t="str">
            <v>RJ08-ESI1</v>
          </cell>
        </row>
        <row r="33">
          <cell r="B33" t="str">
            <v>Human Development and Health</v>
          </cell>
          <cell r="C33" t="str">
            <v>RJ07</v>
          </cell>
          <cell r="D33" t="str">
            <v>RJ07-TBNK</v>
          </cell>
          <cell r="E33" t="str">
            <v>RJ07-FEES</v>
          </cell>
          <cell r="F33" t="str">
            <v>RJ07-DEMO</v>
          </cell>
          <cell r="G33" t="str">
            <v>RJ07-EXTEX</v>
          </cell>
          <cell r="H33" t="str">
            <v>RJ07-ESI1</v>
          </cell>
        </row>
        <row r="34">
          <cell r="B34" t="str">
            <v>Medical Education</v>
          </cell>
          <cell r="C34" t="str">
            <v>RJ01</v>
          </cell>
          <cell r="D34" t="str">
            <v>RJ01-TBNK</v>
          </cell>
          <cell r="E34" t="str">
            <v>RJ01-FEES</v>
          </cell>
          <cell r="F34" t="str">
            <v>RJ01-DEMO</v>
          </cell>
          <cell r="G34" t="str">
            <v>RJ01-EXTEX</v>
          </cell>
          <cell r="H34" t="str">
            <v>RJ01-ESI1</v>
          </cell>
        </row>
        <row r="35">
          <cell r="B35" t="str">
            <v>Primary Care and Population Sciences</v>
          </cell>
          <cell r="C35" t="str">
            <v>RJ02</v>
          </cell>
          <cell r="D35" t="str">
            <v>RJ02-TBNK</v>
          </cell>
          <cell r="E35" t="str">
            <v>RJ02-FEES</v>
          </cell>
          <cell r="F35" t="str">
            <v>RJ02-DEMO</v>
          </cell>
          <cell r="G35" t="str">
            <v>RJ02-EXTEX</v>
          </cell>
          <cell r="H35" t="str">
            <v>RJ02-ESI1</v>
          </cell>
        </row>
        <row r="36">
          <cell r="B36" t="str">
            <v>Wessex Institute (except NETSCC)</v>
          </cell>
          <cell r="C36" t="str">
            <v>RJ10</v>
          </cell>
          <cell r="D36" t="str">
            <v>RJ10-TBNK</v>
          </cell>
          <cell r="E36" t="str">
            <v>RJ10-FEES</v>
          </cell>
          <cell r="F36" t="str">
            <v>RJ10-DEMO</v>
          </cell>
          <cell r="G36" t="str">
            <v>RJ10-EXTEX</v>
          </cell>
          <cell r="H36" t="str">
            <v>RJ10-ESI1</v>
          </cell>
        </row>
        <row r="37">
          <cell r="B37" t="str">
            <v>NETSCC</v>
          </cell>
          <cell r="C37" t="str">
            <v>VB00</v>
          </cell>
          <cell r="D37" t="str">
            <v>VB00-TBNK</v>
          </cell>
          <cell r="E37" t="str">
            <v>VB00-FEES</v>
          </cell>
          <cell r="F37" t="str">
            <v>VB00-DEMO</v>
          </cell>
          <cell r="G37" t="str">
            <v>VB00-EXTEX</v>
          </cell>
          <cell r="H37" t="str">
            <v>VB00-ESI1</v>
          </cell>
        </row>
        <row r="38">
          <cell r="B38" t="str">
            <v>Central Faculty (FNES)</v>
          </cell>
          <cell r="C38" t="str">
            <v>F600</v>
          </cell>
          <cell r="D38" t="str">
            <v>F600-TBNK</v>
          </cell>
          <cell r="E38" t="str">
            <v>F600-FEES</v>
          </cell>
          <cell r="F38" t="str">
            <v>F600-DEMO</v>
          </cell>
          <cell r="G38" t="str">
            <v>F600-EXTEX</v>
          </cell>
          <cell r="H38" t="str">
            <v>F600-ESI1</v>
          </cell>
        </row>
        <row r="39">
          <cell r="B39" t="str">
            <v>Faculty Operating Service (FNES)</v>
          </cell>
          <cell r="C39" t="str">
            <v>TX06</v>
          </cell>
          <cell r="D39" t="str">
            <v>TX06-TBNK</v>
          </cell>
          <cell r="E39" t="str">
            <v>TX06-FEES</v>
          </cell>
          <cell r="F39" t="str">
            <v>TX06-DEMO</v>
          </cell>
          <cell r="G39" t="str">
            <v>TX06-EXTEX</v>
          </cell>
          <cell r="H39" t="str">
            <v>TX06-ESI1</v>
          </cell>
        </row>
        <row r="40">
          <cell r="B40" t="str">
            <v>Centre for Biological Sciences</v>
          </cell>
          <cell r="C40" t="str">
            <v>BJ00</v>
          </cell>
          <cell r="D40" t="str">
            <v>BJ00-TBNK</v>
          </cell>
          <cell r="E40" t="str">
            <v>BJ00-FEES</v>
          </cell>
          <cell r="F40" t="str">
            <v>BJ00-DEMO</v>
          </cell>
          <cell r="G40" t="str">
            <v>BJ00-EXTEX</v>
          </cell>
          <cell r="H40" t="str">
            <v>BJ00-ESI1</v>
          </cell>
        </row>
        <row r="41">
          <cell r="B41" t="str">
            <v>Chemistry</v>
          </cell>
          <cell r="C41" t="str">
            <v>EB00</v>
          </cell>
          <cell r="D41" t="str">
            <v>EB00-TBNK</v>
          </cell>
          <cell r="E41" t="str">
            <v>EB00-FEES</v>
          </cell>
          <cell r="F41" t="str">
            <v>EB00-DEMO</v>
          </cell>
          <cell r="G41" t="str">
            <v>EB00-EXTEX</v>
          </cell>
          <cell r="H41" t="str">
            <v>EB00-ESI1</v>
          </cell>
        </row>
        <row r="42">
          <cell r="B42" t="str">
            <v>Ocean and Earth Science</v>
          </cell>
          <cell r="C42" t="str">
            <v>HN00</v>
          </cell>
          <cell r="D42" t="str">
            <v>HN00-TBNK</v>
          </cell>
          <cell r="E42" t="str">
            <v>HN00-FEES</v>
          </cell>
          <cell r="F42" t="str">
            <v>HN00-DEMO</v>
          </cell>
          <cell r="G42" t="str">
            <v>HN00-EXTEX</v>
          </cell>
          <cell r="H42" t="str">
            <v>HN00-ESI1</v>
          </cell>
        </row>
        <row r="43">
          <cell r="B43" t="str">
            <v>Institute for Life Sciences</v>
          </cell>
          <cell r="C43" t="str">
            <v>JL00</v>
          </cell>
          <cell r="D43" t="str">
            <v>JL00-TBNK</v>
          </cell>
          <cell r="E43" t="str">
            <v>JL00-FEES</v>
          </cell>
          <cell r="F43" t="str">
            <v>JL00-DEMO</v>
          </cell>
          <cell r="G43" t="str">
            <v>JL00-EXTEX</v>
          </cell>
          <cell r="H43" t="str">
            <v>JL00-ESI1</v>
          </cell>
        </row>
        <row r="44">
          <cell r="B44" t="str">
            <v>Central Faculty (FPSE)</v>
          </cell>
          <cell r="C44" t="str">
            <v>F700</v>
          </cell>
          <cell r="D44" t="str">
            <v>F700-TBNK</v>
          </cell>
          <cell r="E44" t="str">
            <v>F700-FEES</v>
          </cell>
          <cell r="F44" t="str">
            <v>F700-DEMO</v>
          </cell>
          <cell r="G44" t="str">
            <v>F700-EXTEX</v>
          </cell>
          <cell r="H44" t="str">
            <v>F700-ESI1</v>
          </cell>
        </row>
        <row r="45">
          <cell r="B45" t="str">
            <v>Faculty Operating Service (FPSE)</v>
          </cell>
          <cell r="C45" t="str">
            <v>TX07</v>
          </cell>
          <cell r="D45" t="str">
            <v>TX07-TBNK</v>
          </cell>
          <cell r="E45" t="str">
            <v>TX07-FEES</v>
          </cell>
          <cell r="F45" t="str">
            <v>TX07-DEMO</v>
          </cell>
          <cell r="G45" t="str">
            <v>TX07-EXTEX</v>
          </cell>
          <cell r="H45" t="str">
            <v>TX07-ESI1</v>
          </cell>
        </row>
        <row r="46">
          <cell r="B46" t="str">
            <v>Electronics and Computer Science</v>
          </cell>
          <cell r="C46" t="str">
            <v>FP00</v>
          </cell>
          <cell r="D46" t="str">
            <v>FP00-TBNK</v>
          </cell>
          <cell r="E46" t="str">
            <v>FP00-FEES</v>
          </cell>
          <cell r="F46" t="str">
            <v>FP00-DEMO</v>
          </cell>
          <cell r="G46" t="str">
            <v>FP00-EXTEX</v>
          </cell>
          <cell r="H46" t="str">
            <v>FP00-ESI1</v>
          </cell>
        </row>
        <row r="47">
          <cell r="B47" t="str">
            <v>Optoelectronics Research Centre (incl. Zepler)</v>
          </cell>
          <cell r="C47" t="str">
            <v>EH00</v>
          </cell>
          <cell r="D47" t="str">
            <v>EH00-TBNK</v>
          </cell>
          <cell r="E47" t="str">
            <v>EH00-FEES</v>
          </cell>
          <cell r="F47" t="str">
            <v>EH00-DEMO</v>
          </cell>
          <cell r="G47" t="str">
            <v>EH00-EXTEX</v>
          </cell>
          <cell r="H47" t="str">
            <v>EH00-ESI1</v>
          </cell>
        </row>
        <row r="48">
          <cell r="B48" t="str">
            <v>Physics and Astronomy</v>
          </cell>
          <cell r="C48" t="str">
            <v>WF00</v>
          </cell>
          <cell r="D48" t="str">
            <v>WF00-TBNK</v>
          </cell>
          <cell r="E48" t="str">
            <v>WF00-FEES</v>
          </cell>
          <cell r="F48" t="str">
            <v>WF00-DEMO</v>
          </cell>
          <cell r="G48" t="str">
            <v>WF00-EXTEX</v>
          </cell>
          <cell r="H48" t="str">
            <v>WF00-ESI1</v>
          </cell>
        </row>
        <row r="49">
          <cell r="B49" t="str">
            <v>Central Faculty (FSHMS)</v>
          </cell>
          <cell r="C49" t="str">
            <v>F800</v>
          </cell>
          <cell r="D49" t="str">
            <v>F800-TBNK</v>
          </cell>
          <cell r="E49" t="str">
            <v>F800-FEES</v>
          </cell>
          <cell r="F49" t="str">
            <v>F800-DEMO</v>
          </cell>
          <cell r="G49" t="str">
            <v>F800-EXTEX</v>
          </cell>
          <cell r="H49" t="str">
            <v>F800-ESI1</v>
          </cell>
        </row>
        <row r="50">
          <cell r="B50" t="str">
            <v>Faculty Operating Service (FSHMS)</v>
          </cell>
          <cell r="C50" t="str">
            <v>TX08</v>
          </cell>
          <cell r="D50" t="str">
            <v>TX08-TBNK</v>
          </cell>
          <cell r="E50" t="str">
            <v>TX08-FEES</v>
          </cell>
          <cell r="F50" t="str">
            <v>TX08-DEMO</v>
          </cell>
          <cell r="G50" t="str">
            <v>TX08-EXTEX</v>
          </cell>
          <cell r="H50" t="str">
            <v>TX08-ESI1</v>
          </cell>
        </row>
        <row r="51">
          <cell r="B51" t="str">
            <v>Geography and the Environment</v>
          </cell>
          <cell r="C51" t="str">
            <v>WR00</v>
          </cell>
          <cell r="D51" t="str">
            <v>WR00-TBNK</v>
          </cell>
          <cell r="E51" t="str">
            <v>WR00-FEES</v>
          </cell>
          <cell r="F51" t="str">
            <v>WR00-DEMO</v>
          </cell>
          <cell r="G51" t="str">
            <v>WR00-EXTEX</v>
          </cell>
          <cell r="H51" t="str">
            <v>WR00-ESI1</v>
          </cell>
        </row>
        <row r="52">
          <cell r="B52" t="str">
            <v>Mathematical Sciences</v>
          </cell>
          <cell r="C52" t="str">
            <v>PJ00</v>
          </cell>
          <cell r="D52" t="str">
            <v>PJ00-TBNK</v>
          </cell>
          <cell r="E52" t="str">
            <v>PJ00-FEES</v>
          </cell>
          <cell r="F52" t="str">
            <v>PJ00-DEMO</v>
          </cell>
          <cell r="G52" t="str">
            <v>PJ00-EXTEX</v>
          </cell>
          <cell r="H52" t="str">
            <v>PJ00-ESI1</v>
          </cell>
        </row>
        <row r="53">
          <cell r="B53" t="str">
            <v>Psychology</v>
          </cell>
          <cell r="C53" t="str">
            <v>JW00</v>
          </cell>
          <cell r="D53" t="str">
            <v>JW00-TBNK</v>
          </cell>
          <cell r="E53" t="str">
            <v>JW00-FEES</v>
          </cell>
          <cell r="F53" t="str">
            <v>JW00-DEMO</v>
          </cell>
          <cell r="G53" t="str">
            <v>JW00-EXTEX</v>
          </cell>
          <cell r="H53" t="str">
            <v>JW00-ESI1</v>
          </cell>
        </row>
        <row r="54">
          <cell r="B54" t="str">
            <v>Social Sciences</v>
          </cell>
          <cell r="C54" t="str">
            <v>CC00</v>
          </cell>
          <cell r="D54" t="str">
            <v>CC00-TBNK</v>
          </cell>
          <cell r="E54" t="str">
            <v>CC00-FEES</v>
          </cell>
          <cell r="F54" t="str">
            <v>CC00-DEMO</v>
          </cell>
          <cell r="G54" t="str">
            <v>CC00-EXTEX</v>
          </cell>
          <cell r="H54" t="str">
            <v>CC00-ESI1</v>
          </cell>
        </row>
        <row r="55">
          <cell r="B55" t="str">
            <v>Southampton Education School</v>
          </cell>
          <cell r="C55" t="str">
            <v>CJ00</v>
          </cell>
          <cell r="D55" t="str">
            <v>CJ00-TBNK</v>
          </cell>
          <cell r="E55" t="str">
            <v>CJ00-FEES</v>
          </cell>
          <cell r="F55" t="str">
            <v>CJ00-DEMO</v>
          </cell>
          <cell r="G55" t="str">
            <v>CJ00-EXTEX</v>
          </cell>
          <cell r="H55" t="str">
            <v>CJ00-ESI1</v>
          </cell>
        </row>
        <row r="56">
          <cell r="B56" t="str">
            <v>Arts on Campus (John Hansard Gallery)</v>
          </cell>
          <cell r="C56" t="str">
            <v>HH10</v>
          </cell>
          <cell r="D56" t="str">
            <v>HH10-TBNK</v>
          </cell>
          <cell r="E56" t="str">
            <v>HH10-FEES</v>
          </cell>
          <cell r="F56" t="str">
            <v>HH10-DEMO</v>
          </cell>
          <cell r="G56" t="str">
            <v>HH10-EXTEX</v>
          </cell>
          <cell r="H56" t="str">
            <v>HH10-ESI1</v>
          </cell>
        </row>
        <row r="57">
          <cell r="B57" t="str">
            <v>Arts on Campus (Turner Sims)</v>
          </cell>
          <cell r="C57" t="str">
            <v>HH02</v>
          </cell>
          <cell r="D57" t="str">
            <v>HH02-TBNK</v>
          </cell>
          <cell r="E57" t="str">
            <v>HH02-FEES</v>
          </cell>
          <cell r="F57" t="str">
            <v>HH02-DEMO</v>
          </cell>
          <cell r="G57" t="str">
            <v>HH02-EXTEX</v>
          </cell>
          <cell r="H57" t="str">
            <v>HH02-ESI1</v>
          </cell>
        </row>
        <row r="58">
          <cell r="B58" t="str">
            <v>Chief Operating Office</v>
          </cell>
          <cell r="C58" t="str">
            <v>P100</v>
          </cell>
          <cell r="D58" t="str">
            <v>P100-TBNK</v>
          </cell>
          <cell r="E58" t="str">
            <v>P100-FEES</v>
          </cell>
          <cell r="F58" t="str">
            <v>P100-DEMO</v>
          </cell>
          <cell r="G58" t="str">
            <v>P100-EXTEX</v>
          </cell>
          <cell r="H58" t="str">
            <v>P100-ESI1</v>
          </cell>
        </row>
        <row r="59">
          <cell r="B59" t="str">
            <v>Communications and Marketing</v>
          </cell>
          <cell r="C59" t="str">
            <v>DK00</v>
          </cell>
          <cell r="D59" t="str">
            <v>DK00-TBNK</v>
          </cell>
          <cell r="E59" t="str">
            <v>DK00-FEES</v>
          </cell>
          <cell r="F59" t="str">
            <v>DK00-DEMO</v>
          </cell>
          <cell r="G59" t="str">
            <v>DK00-EXTEX</v>
          </cell>
          <cell r="H59" t="str">
            <v>DK00-ESI1</v>
          </cell>
        </row>
        <row r="60">
          <cell r="B60" t="str">
            <v>Development and Alumni Relations</v>
          </cell>
          <cell r="C60" t="str">
            <v>CD00</v>
          </cell>
          <cell r="D60" t="str">
            <v>CD00-TBNK</v>
          </cell>
          <cell r="E60" t="str">
            <v>CD00-FEES</v>
          </cell>
          <cell r="F60" t="str">
            <v>CD00-DEMO</v>
          </cell>
          <cell r="G60" t="str">
            <v>CD00-EXTEX</v>
          </cell>
          <cell r="H60" t="str">
            <v>CD00-ESI1</v>
          </cell>
        </row>
        <row r="61">
          <cell r="B61" t="str">
            <v>Estates and Facilities</v>
          </cell>
          <cell r="C61" t="str">
            <v>TD00</v>
          </cell>
          <cell r="D61" t="str">
            <v>TD00-TBNK</v>
          </cell>
          <cell r="E61" t="str">
            <v>TD00-FEES</v>
          </cell>
          <cell r="F61" t="str">
            <v>TD00-DEMO</v>
          </cell>
          <cell r="G61" t="str">
            <v>TD00-EXTEX</v>
          </cell>
          <cell r="H61" t="str">
            <v>TD00-ESI1</v>
          </cell>
        </row>
        <row r="62">
          <cell r="B62" t="str">
            <v>Estates and Facilities (Catering)</v>
          </cell>
          <cell r="C62" t="str">
            <v>HH06</v>
          </cell>
          <cell r="D62" t="str">
            <v>HH06-TBNK</v>
          </cell>
          <cell r="E62" t="str">
            <v>HH06-FEES</v>
          </cell>
          <cell r="F62" t="str">
            <v>HH06-DEMO</v>
          </cell>
          <cell r="G62" t="str">
            <v>HH06-EXTEX</v>
          </cell>
          <cell r="H62" t="str">
            <v>HH06-ESI1</v>
          </cell>
        </row>
        <row r="63">
          <cell r="B63" t="str">
            <v>Estates and Facilities (Main Campuses)</v>
          </cell>
          <cell r="C63" t="str">
            <v>TD00</v>
          </cell>
          <cell r="D63" t="str">
            <v>TD00-TBNK</v>
          </cell>
          <cell r="E63" t="str">
            <v>TD00-FEES</v>
          </cell>
          <cell r="F63" t="str">
            <v>TD00-DEMO</v>
          </cell>
          <cell r="G63" t="str">
            <v>TD00-EXTEX</v>
          </cell>
          <cell r="H63" t="str">
            <v>TD00-ESI1</v>
          </cell>
        </row>
        <row r="64">
          <cell r="B64" t="str">
            <v>Estates and Facilities (Residences)</v>
          </cell>
          <cell r="C64" t="str">
            <v>FB00</v>
          </cell>
          <cell r="D64" t="str">
            <v>FB00-TBNK</v>
          </cell>
          <cell r="E64" t="str">
            <v>FB00-FEES</v>
          </cell>
          <cell r="F64" t="str">
            <v>FB00-DEMO</v>
          </cell>
          <cell r="G64" t="str">
            <v>FB00-EXTEX</v>
          </cell>
          <cell r="H64" t="str">
            <v>FB00-ESI1</v>
          </cell>
        </row>
        <row r="65">
          <cell r="B65" t="str">
            <v>Finance</v>
          </cell>
          <cell r="C65" t="str">
            <v>RR00</v>
          </cell>
          <cell r="D65" t="str">
            <v>RR00-TBNK</v>
          </cell>
          <cell r="E65" t="str">
            <v>RR00-FEES</v>
          </cell>
          <cell r="F65" t="str">
            <v>RR00-DEMO</v>
          </cell>
          <cell r="G65" t="str">
            <v>RR00-EXTEX</v>
          </cell>
          <cell r="H65" t="str">
            <v>RR00-ESI1</v>
          </cell>
        </row>
        <row r="66">
          <cell r="B66" t="str">
            <v>Health and Safety</v>
          </cell>
          <cell r="C66" t="str">
            <v>BH00</v>
          </cell>
          <cell r="D66" t="str">
            <v>BH00-TBNK</v>
          </cell>
          <cell r="E66" t="str">
            <v>BH00-FEES</v>
          </cell>
          <cell r="F66" t="str">
            <v>BH00-DEMO</v>
          </cell>
          <cell r="G66" t="str">
            <v>BH00-EXTEX</v>
          </cell>
          <cell r="H66" t="str">
            <v>BH00-ESI1</v>
          </cell>
        </row>
        <row r="67">
          <cell r="B67" t="str">
            <v>iSolutions</v>
          </cell>
          <cell r="C67" t="str">
            <v>JF00</v>
          </cell>
          <cell r="D67" t="str">
            <v>JF00-TBNK</v>
          </cell>
          <cell r="E67" t="str">
            <v>JF00-FEES</v>
          </cell>
          <cell r="F67" t="str">
            <v>JF00-DEMO</v>
          </cell>
          <cell r="G67" t="str">
            <v>JF00-EXTEX</v>
          </cell>
          <cell r="H67" t="str">
            <v>JF00-ESI1</v>
          </cell>
        </row>
        <row r="68">
          <cell r="B68" t="str">
            <v>iSolutions (Print Centre)</v>
          </cell>
          <cell r="C68" t="str">
            <v>HH08</v>
          </cell>
          <cell r="D68" t="str">
            <v>HH08-TBNK</v>
          </cell>
          <cell r="E68" t="str">
            <v>HH08-FEES</v>
          </cell>
          <cell r="F68" t="str">
            <v>HH08-DEMO</v>
          </cell>
          <cell r="G68" t="str">
            <v>HH08-EXTEX</v>
          </cell>
          <cell r="H68" t="str">
            <v>HH08-ESI1</v>
          </cell>
        </row>
        <row r="69">
          <cell r="B69" t="str">
            <v>Legal Services</v>
          </cell>
          <cell r="C69" t="str">
            <v>BB01</v>
          </cell>
          <cell r="D69" t="str">
            <v>BB01-TBNK</v>
          </cell>
          <cell r="E69" t="str">
            <v>BB01-FEES</v>
          </cell>
          <cell r="F69" t="str">
            <v>BB01-DEMO</v>
          </cell>
          <cell r="G69" t="str">
            <v>BB01-EXTEX</v>
          </cell>
          <cell r="H69" t="str">
            <v>BB01-ESI1</v>
          </cell>
        </row>
        <row r="70">
          <cell r="B70" t="str">
            <v>Library</v>
          </cell>
          <cell r="C70" t="str">
            <v>KX00</v>
          </cell>
          <cell r="D70" t="str">
            <v>KX00-TBNK</v>
          </cell>
          <cell r="E70" t="str">
            <v>KX00-FEES</v>
          </cell>
          <cell r="F70" t="str">
            <v>KX00-DEMO</v>
          </cell>
          <cell r="G70" t="str">
            <v>KX00-EXTEX</v>
          </cell>
          <cell r="H70" t="str">
            <v>KX00-ESI1</v>
          </cell>
        </row>
        <row r="71">
          <cell r="B71" t="str">
            <v>Human Resources</v>
          </cell>
          <cell r="C71" t="str">
            <v>DD00</v>
          </cell>
          <cell r="D71" t="str">
            <v>DD00-TBNK</v>
          </cell>
          <cell r="E71" t="str">
            <v>DD00-FEES</v>
          </cell>
          <cell r="F71" t="str">
            <v>DD00-DEMO</v>
          </cell>
          <cell r="G71" t="str">
            <v>DD00-EXTEX</v>
          </cell>
          <cell r="H71" t="str">
            <v>DD00-ESI1</v>
          </cell>
        </row>
        <row r="72">
          <cell r="B72" t="str">
            <v>Strategy, Planning and Analytics</v>
          </cell>
          <cell r="C72" t="str">
            <v>TL00</v>
          </cell>
          <cell r="D72" t="str">
            <v>TL00-TBNK</v>
          </cell>
          <cell r="E72" t="str">
            <v>TL00-FEES</v>
          </cell>
          <cell r="F72" t="str">
            <v>TL00-DEMO</v>
          </cell>
          <cell r="G72" t="str">
            <v>TL00-EXTEX</v>
          </cell>
          <cell r="H72" t="str">
            <v>TL00-ESI1</v>
          </cell>
        </row>
        <row r="73">
          <cell r="B73" t="str">
            <v>Registrar's Office</v>
          </cell>
          <cell r="C73" t="str">
            <v>PKPK</v>
          </cell>
          <cell r="D73" t="str">
            <v>PKPK-TBNK</v>
          </cell>
          <cell r="E73" t="str">
            <v>PKPK-FEES</v>
          </cell>
          <cell r="F73" t="str">
            <v>PKPK-DEMO</v>
          </cell>
          <cell r="G73" t="str">
            <v>PKPK-EXTEX</v>
          </cell>
          <cell r="H73" t="str">
            <v>PKPK-ESI1</v>
          </cell>
        </row>
        <row r="74">
          <cell r="B74" t="str">
            <v>Research and Innovation Services</v>
          </cell>
          <cell r="C74" t="str">
            <v>TW00</v>
          </cell>
          <cell r="D74" t="str">
            <v>TW00-TBNK</v>
          </cell>
          <cell r="E74" t="str">
            <v>TW00-FEES</v>
          </cell>
          <cell r="F74" t="str">
            <v>TW00-DEMO</v>
          </cell>
          <cell r="G74" t="str">
            <v>TW00-EXTEX</v>
          </cell>
          <cell r="H74" t="str">
            <v>TW00-ESI1</v>
          </cell>
        </row>
        <row r="75">
          <cell r="B75" t="str">
            <v>Student and Academic Administration</v>
          </cell>
          <cell r="C75" t="str">
            <v>GX00</v>
          </cell>
          <cell r="D75" t="str">
            <v>GX00-TBNK</v>
          </cell>
          <cell r="E75" t="str">
            <v>GX00-FEES</v>
          </cell>
          <cell r="F75" t="str">
            <v>GX00-DEMO</v>
          </cell>
          <cell r="G75" t="str">
            <v>GX00-EXTEX</v>
          </cell>
          <cell r="H75" t="str">
            <v>GX00-ESI1</v>
          </cell>
        </row>
        <row r="76">
          <cell r="B76" t="str">
            <v>Student Recruitment and International</v>
          </cell>
          <cell r="C76" t="str">
            <v>NP00</v>
          </cell>
          <cell r="D76" t="str">
            <v>NP00-TBNK</v>
          </cell>
          <cell r="E76" t="str">
            <v>NP00-FEES</v>
          </cell>
          <cell r="F76" t="str">
            <v>NP00-DEMO</v>
          </cell>
          <cell r="G76" t="str">
            <v>NP00-EXTEX</v>
          </cell>
          <cell r="H76" t="str">
            <v>NP00-ESI1</v>
          </cell>
        </row>
        <row r="77">
          <cell r="B77" t="str">
            <v>Student Services</v>
          </cell>
          <cell r="C77" t="str">
            <v>EW00</v>
          </cell>
          <cell r="D77" t="str">
            <v>EW00-TBNK</v>
          </cell>
          <cell r="E77" t="str">
            <v>EW00-FEES</v>
          </cell>
          <cell r="F77" t="str">
            <v>EW00-DEMO</v>
          </cell>
          <cell r="G77" t="str">
            <v>EW00-EXTEX</v>
          </cell>
          <cell r="H77" t="str">
            <v>EW00-ESI1</v>
          </cell>
        </row>
        <row r="78">
          <cell r="B78" t="str">
            <v>Student Services (Careers and Employability)</v>
          </cell>
          <cell r="C78" t="str">
            <v>EW02</v>
          </cell>
          <cell r="D78" t="str">
            <v>EW02-TBNK</v>
          </cell>
          <cell r="E78" t="str">
            <v>EW02-FEES</v>
          </cell>
          <cell r="F78" t="str">
            <v>EW02-DEMO</v>
          </cell>
          <cell r="G78" t="str">
            <v>EW02-EXTEX</v>
          </cell>
          <cell r="H78" t="str">
            <v>EW02-ESI1</v>
          </cell>
        </row>
        <row r="79">
          <cell r="B79" t="str">
            <v>Student Services (Sport and Wellbeing)</v>
          </cell>
          <cell r="C79" t="str">
            <v>HH04</v>
          </cell>
          <cell r="D79" t="str">
            <v>HH04-TBNK</v>
          </cell>
          <cell r="E79" t="str">
            <v>HH04-FEES</v>
          </cell>
          <cell r="F79" t="str">
            <v>HH04-DEMO</v>
          </cell>
          <cell r="G79" t="str">
            <v>HH04-EXTEX</v>
          </cell>
          <cell r="H79" t="str">
            <v>HH04-ESI1</v>
          </cell>
        </row>
        <row r="80">
          <cell r="B80" t="str">
            <v>University Executive</v>
          </cell>
          <cell r="C80" t="str">
            <v>PK00</v>
          </cell>
          <cell r="D80" t="str">
            <v>PK00-TBNK</v>
          </cell>
          <cell r="E80" t="str">
            <v>PK00-FEES</v>
          </cell>
          <cell r="F80" t="str">
            <v>PK00-DEMO</v>
          </cell>
          <cell r="G80" t="str">
            <v>PK00-EXTEX</v>
          </cell>
          <cell r="H80" t="str">
            <v>PK00-ESI1</v>
          </cell>
        </row>
        <row r="81">
          <cell r="B81" t="str">
            <v>Professional Services</v>
          </cell>
          <cell r="C81" t="str">
            <v>P100</v>
          </cell>
          <cell r="D81" t="str">
            <v>P100-TBNK</v>
          </cell>
          <cell r="E81" t="str">
            <v>P100-FEES</v>
          </cell>
          <cell r="F81" t="str">
            <v>P100-DEMO</v>
          </cell>
          <cell r="G81" t="str">
            <v>P100-EXTEX</v>
          </cell>
          <cell r="H81" t="str">
            <v>P100-ESI1</v>
          </cell>
        </row>
        <row r="82">
          <cell r="B82" t="str">
            <v>Business Law and Art</v>
          </cell>
          <cell r="C82" t="str">
            <v>F100</v>
          </cell>
          <cell r="D82" t="str">
            <v>F100-TBNK</v>
          </cell>
          <cell r="E82" t="str">
            <v>F100-FEES</v>
          </cell>
          <cell r="F82" t="str">
            <v>F100-DEMO</v>
          </cell>
          <cell r="G82" t="str">
            <v>F100-EXTEX</v>
          </cell>
          <cell r="H82" t="str">
            <v>F100-ESI1</v>
          </cell>
        </row>
        <row r="83">
          <cell r="B83" t="str">
            <v>Engineering and the Environment</v>
          </cell>
          <cell r="C83" t="str">
            <v>F200</v>
          </cell>
          <cell r="D83" t="str">
            <v>F200-TBNK</v>
          </cell>
          <cell r="E83" t="str">
            <v>F200-FEES</v>
          </cell>
          <cell r="F83" t="str">
            <v>F200-DEMO</v>
          </cell>
          <cell r="G83" t="str">
            <v>F200-EXTEX</v>
          </cell>
          <cell r="H83" t="str">
            <v>F200-ESI1</v>
          </cell>
        </row>
        <row r="84">
          <cell r="B84" t="str">
            <v>Health Sciences</v>
          </cell>
          <cell r="C84" t="str">
            <v>MR00</v>
          </cell>
          <cell r="D84" t="str">
            <v>MR00-TBNK</v>
          </cell>
          <cell r="E84" t="str">
            <v>MR00-FEES</v>
          </cell>
          <cell r="F84" t="str">
            <v>MR00-DEMO</v>
          </cell>
          <cell r="G84" t="str">
            <v>MR00-EXTEX</v>
          </cell>
          <cell r="H84" t="str">
            <v>MR00-ESI1</v>
          </cell>
        </row>
        <row r="85">
          <cell r="B85" t="str">
            <v>Humanities</v>
          </cell>
          <cell r="C85" t="str">
            <v>F400/KW01</v>
          </cell>
          <cell r="D85" t="str">
            <v>KW01-TBNK</v>
          </cell>
          <cell r="E85" t="str">
            <v>F400-FEES</v>
          </cell>
          <cell r="F85" t="str">
            <v>F400-DEMO</v>
          </cell>
          <cell r="G85" t="str">
            <v>KW01-EXTEX</v>
          </cell>
          <cell r="H85" t="str">
            <v>F400-ESI1</v>
          </cell>
        </row>
        <row r="86">
          <cell r="B86" t="str">
            <v>Medicine</v>
          </cell>
          <cell r="C86" t="str">
            <v>RJ00</v>
          </cell>
          <cell r="D86" t="str">
            <v>RJ00-TBNK</v>
          </cell>
          <cell r="E86" t="str">
            <v>RJ00-FEES</v>
          </cell>
          <cell r="F86" t="str">
            <v>RJ00-DEMO</v>
          </cell>
          <cell r="G86" t="str">
            <v>RJ00-EXTEX</v>
          </cell>
          <cell r="H86" t="str">
            <v>RJ00-ESI1</v>
          </cell>
        </row>
        <row r="87">
          <cell r="B87" t="str">
            <v>Natural and Environmental Sciences</v>
          </cell>
          <cell r="C87" t="str">
            <v>F600</v>
          </cell>
          <cell r="D87" t="str">
            <v>F600-TBNK</v>
          </cell>
          <cell r="E87" t="str">
            <v>F600-FEES</v>
          </cell>
          <cell r="F87" t="str">
            <v>F600-DEMO</v>
          </cell>
          <cell r="G87" t="str">
            <v>F600-EXTEX</v>
          </cell>
          <cell r="H87" t="str">
            <v>F600-ESI1</v>
          </cell>
        </row>
        <row r="88">
          <cell r="B88" t="str">
            <v>Physical Sciences and Engineering</v>
          </cell>
          <cell r="C88" t="str">
            <v>F700</v>
          </cell>
          <cell r="D88" t="str">
            <v>F700-TBNK</v>
          </cell>
          <cell r="E88" t="str">
            <v>F700-FEES</v>
          </cell>
          <cell r="F88" t="str">
            <v>F700-DEMO</v>
          </cell>
          <cell r="G88" t="str">
            <v>F700-EXTEX</v>
          </cell>
          <cell r="H88" t="str">
            <v>F700-ESI1</v>
          </cell>
        </row>
        <row r="89">
          <cell r="B89" t="str">
            <v>Social Human and Math Sciences</v>
          </cell>
          <cell r="C89" t="str">
            <v>F800</v>
          </cell>
          <cell r="D89" t="str">
            <v>F800-TBNK</v>
          </cell>
          <cell r="E89" t="str">
            <v>F800-FEES</v>
          </cell>
          <cell r="F89" t="str">
            <v>F800-DEMO</v>
          </cell>
          <cell r="G89" t="str">
            <v>F800-EXTEX</v>
          </cell>
          <cell r="H89" t="str">
            <v>F800-ESI1</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292</v>
      </c>
      <c r="B1" s="16" t="s">
        <v>293</v>
      </c>
      <c r="C1" s="16" t="s">
        <v>294</v>
      </c>
      <c r="D1" s="16" t="s">
        <v>295</v>
      </c>
      <c r="E1" s="16" t="s">
        <v>296</v>
      </c>
      <c r="F1" s="16" t="s">
        <v>297</v>
      </c>
      <c r="G1" s="16" t="s">
        <v>298</v>
      </c>
      <c r="I1" s="16" t="s">
        <v>299</v>
      </c>
      <c r="J1" s="16" t="s">
        <v>300</v>
      </c>
      <c r="K1" s="16"/>
      <c r="L1" s="16"/>
      <c r="M1" s="16" t="s">
        <v>301</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44592</v>
      </c>
      <c r="G2" s="356">
        <f>IF('UniWorkforce Hourly Timesheet'!E7="Please select claim period",VLOOKUP('UniWorkforce Fixed Fee Claim'!F7,Parameters!A:C,3,FALSE),VLOOKUP('UniWorkforce Hourly Timesheet'!E7,Parameters!A:C,3,FALSE))</f>
        <v>44619</v>
      </c>
      <c r="I2" s="408">
        <v>43983</v>
      </c>
      <c r="J2" s="16" t="s">
        <v>302</v>
      </c>
      <c r="K2" s="16"/>
      <c r="L2" s="16"/>
      <c r="M2" s="408">
        <v>43824</v>
      </c>
      <c r="T2" s="408"/>
    </row>
    <row r="3" spans="1:23" x14ac:dyDescent="0.2">
      <c r="A3" s="335" t="s">
        <v>303</v>
      </c>
      <c r="B3" s="409">
        <v>44193</v>
      </c>
      <c r="C3" s="409">
        <f t="shared" ref="C3:C15" si="0">B4-1</f>
        <v>44227</v>
      </c>
      <c r="D3" s="335">
        <f t="shared" ref="D3:D17" si="1">(C3-B3+1)/7</f>
        <v>5</v>
      </c>
      <c r="E3" s="408" t="str">
        <f t="shared" ref="E3:E17" si="2">TEXT(C3,"mmm")&amp;TEXT(C3,"yy")</f>
        <v>Jan21</v>
      </c>
      <c r="F3" s="24"/>
      <c r="I3" s="408">
        <f t="shared" ref="I3:I41" si="3">I2+7</f>
        <v>43990</v>
      </c>
      <c r="J3" s="16" t="s">
        <v>302</v>
      </c>
      <c r="K3" s="16"/>
      <c r="L3" s="16"/>
      <c r="M3" s="408">
        <v>43825</v>
      </c>
      <c r="T3" s="408"/>
    </row>
    <row r="4" spans="1:23" x14ac:dyDescent="0.2">
      <c r="A4" s="335" t="s">
        <v>271</v>
      </c>
      <c r="B4" s="409">
        <v>44228</v>
      </c>
      <c r="C4" s="409">
        <f t="shared" si="0"/>
        <v>44255</v>
      </c>
      <c r="D4" s="335">
        <f t="shared" si="1"/>
        <v>4</v>
      </c>
      <c r="E4" s="408" t="str">
        <f t="shared" si="2"/>
        <v>Feb21</v>
      </c>
      <c r="F4" s="24"/>
      <c r="I4" s="408">
        <f t="shared" si="3"/>
        <v>43997</v>
      </c>
      <c r="J4" s="16" t="s">
        <v>304</v>
      </c>
      <c r="K4" s="16"/>
      <c r="L4" s="16"/>
      <c r="M4" s="408">
        <v>43831</v>
      </c>
      <c r="T4" s="408"/>
      <c r="W4" s="419"/>
    </row>
    <row r="5" spans="1:23" x14ac:dyDescent="0.2">
      <c r="A5" s="335" t="s">
        <v>305</v>
      </c>
      <c r="B5" s="409">
        <v>44256</v>
      </c>
      <c r="C5" s="409">
        <f t="shared" si="0"/>
        <v>44283</v>
      </c>
      <c r="D5" s="335">
        <f t="shared" si="1"/>
        <v>4</v>
      </c>
      <c r="E5" s="408" t="str">
        <f t="shared" si="2"/>
        <v>Mar21</v>
      </c>
      <c r="F5" s="24"/>
      <c r="I5" s="408">
        <f t="shared" si="3"/>
        <v>44004</v>
      </c>
      <c r="J5" s="16" t="s">
        <v>304</v>
      </c>
      <c r="K5" s="16"/>
      <c r="L5" s="16"/>
      <c r="M5" s="408">
        <v>43931</v>
      </c>
      <c r="T5" s="408"/>
      <c r="W5" s="419"/>
    </row>
    <row r="6" spans="1:23" x14ac:dyDescent="0.2">
      <c r="A6" s="335" t="s">
        <v>306</v>
      </c>
      <c r="B6" s="409">
        <v>44284</v>
      </c>
      <c r="C6" s="409">
        <f t="shared" si="0"/>
        <v>44311</v>
      </c>
      <c r="D6" s="335">
        <f t="shared" si="1"/>
        <v>4</v>
      </c>
      <c r="E6" s="408" t="str">
        <f t="shared" si="2"/>
        <v>Apr21</v>
      </c>
      <c r="F6" s="24"/>
      <c r="I6" s="408">
        <f t="shared" si="3"/>
        <v>44011</v>
      </c>
      <c r="J6" s="16" t="s">
        <v>304</v>
      </c>
      <c r="K6" s="16"/>
      <c r="L6" s="16"/>
      <c r="M6" s="408">
        <v>43934</v>
      </c>
      <c r="T6" s="408"/>
      <c r="W6" s="419"/>
    </row>
    <row r="7" spans="1:23" x14ac:dyDescent="0.2">
      <c r="A7" s="335" t="s">
        <v>307</v>
      </c>
      <c r="B7" s="409">
        <v>44312</v>
      </c>
      <c r="C7" s="409">
        <f t="shared" si="0"/>
        <v>44346</v>
      </c>
      <c r="D7" s="335">
        <f t="shared" si="1"/>
        <v>5</v>
      </c>
      <c r="E7" s="408" t="str">
        <f t="shared" si="2"/>
        <v>May21</v>
      </c>
      <c r="F7" s="151"/>
      <c r="I7" s="408">
        <f t="shared" si="3"/>
        <v>44018</v>
      </c>
      <c r="J7" s="16" t="s">
        <v>304</v>
      </c>
      <c r="K7" s="16"/>
      <c r="L7" s="16"/>
      <c r="M7" s="408">
        <v>43959</v>
      </c>
      <c r="T7" s="408"/>
      <c r="W7" s="419"/>
    </row>
    <row r="8" spans="1:23" x14ac:dyDescent="0.2">
      <c r="A8" s="335" t="s">
        <v>308</v>
      </c>
      <c r="B8" s="409">
        <v>44347</v>
      </c>
      <c r="C8" s="409">
        <f t="shared" si="0"/>
        <v>44374</v>
      </c>
      <c r="D8" s="335">
        <f t="shared" si="1"/>
        <v>4</v>
      </c>
      <c r="E8" s="408" t="str">
        <f t="shared" si="2"/>
        <v>Jun21</v>
      </c>
      <c r="F8" s="24"/>
      <c r="I8" s="408">
        <f t="shared" si="3"/>
        <v>44025</v>
      </c>
      <c r="J8" s="16" t="s">
        <v>304</v>
      </c>
      <c r="K8" s="16"/>
      <c r="L8" s="16"/>
      <c r="M8" s="408">
        <v>43976</v>
      </c>
      <c r="T8" s="408"/>
      <c r="W8" s="419"/>
    </row>
    <row r="9" spans="1:23" x14ac:dyDescent="0.2">
      <c r="A9" s="335" t="s">
        <v>309</v>
      </c>
      <c r="B9" s="409">
        <v>44375</v>
      </c>
      <c r="C9" s="409">
        <f t="shared" si="0"/>
        <v>44402</v>
      </c>
      <c r="D9" s="335">
        <f t="shared" si="1"/>
        <v>4</v>
      </c>
      <c r="E9" s="408" t="str">
        <f t="shared" si="2"/>
        <v>Jul21</v>
      </c>
      <c r="F9" s="24"/>
      <c r="I9" s="408">
        <f t="shared" si="3"/>
        <v>44032</v>
      </c>
      <c r="J9" s="16" t="s">
        <v>304</v>
      </c>
      <c r="K9" s="16"/>
      <c r="L9" s="16"/>
      <c r="M9" s="408">
        <v>44074</v>
      </c>
      <c r="T9" s="408"/>
      <c r="W9" s="419"/>
    </row>
    <row r="10" spans="1:23" x14ac:dyDescent="0.2">
      <c r="A10" s="335" t="s">
        <v>310</v>
      </c>
      <c r="B10" s="409">
        <v>44403</v>
      </c>
      <c r="C10" s="409">
        <f t="shared" si="0"/>
        <v>44437</v>
      </c>
      <c r="D10" s="335">
        <f t="shared" si="1"/>
        <v>5</v>
      </c>
      <c r="E10" s="408" t="str">
        <f t="shared" si="2"/>
        <v>Aug21</v>
      </c>
      <c r="F10" s="24"/>
      <c r="I10" s="408">
        <f t="shared" si="3"/>
        <v>44039</v>
      </c>
      <c r="J10" s="16" t="s">
        <v>304</v>
      </c>
      <c r="K10" s="16"/>
      <c r="L10" s="16"/>
      <c r="M10" s="408">
        <v>44190</v>
      </c>
      <c r="T10" s="408"/>
      <c r="W10" s="419"/>
    </row>
    <row r="11" spans="1:23" x14ac:dyDescent="0.2">
      <c r="A11" s="335" t="s">
        <v>311</v>
      </c>
      <c r="B11" s="409">
        <v>44438</v>
      </c>
      <c r="C11" s="409">
        <f t="shared" si="0"/>
        <v>44465</v>
      </c>
      <c r="D11" s="335">
        <f t="shared" si="1"/>
        <v>4</v>
      </c>
      <c r="E11" s="408" t="str">
        <f t="shared" si="2"/>
        <v>Sep21</v>
      </c>
      <c r="F11" s="24"/>
      <c r="I11" s="408">
        <f t="shared" si="3"/>
        <v>44046</v>
      </c>
      <c r="J11" s="16" t="s">
        <v>304</v>
      </c>
      <c r="K11" s="411"/>
      <c r="L11" s="16"/>
      <c r="M11" s="408">
        <v>44193</v>
      </c>
      <c r="T11" s="408"/>
      <c r="W11" s="419"/>
    </row>
    <row r="12" spans="1:23" x14ac:dyDescent="0.2">
      <c r="A12" s="335" t="s">
        <v>312</v>
      </c>
      <c r="B12" s="409">
        <v>44466</v>
      </c>
      <c r="C12" s="409">
        <f t="shared" si="0"/>
        <v>44500</v>
      </c>
      <c r="D12" s="335">
        <f t="shared" si="1"/>
        <v>5</v>
      </c>
      <c r="E12" s="408" t="str">
        <f t="shared" si="2"/>
        <v>Oct21</v>
      </c>
      <c r="F12" s="24"/>
      <c r="I12" s="409">
        <f t="shared" si="3"/>
        <v>44053</v>
      </c>
      <c r="J12" s="335" t="s">
        <v>304</v>
      </c>
      <c r="K12" s="411"/>
      <c r="L12" s="16"/>
      <c r="M12" s="408">
        <v>44531</v>
      </c>
      <c r="T12" s="408"/>
      <c r="W12" s="419"/>
    </row>
    <row r="13" spans="1:23" x14ac:dyDescent="0.2">
      <c r="A13" s="335" t="s">
        <v>313</v>
      </c>
      <c r="B13" s="409">
        <v>44501</v>
      </c>
      <c r="C13" s="409">
        <f t="shared" si="0"/>
        <v>44528</v>
      </c>
      <c r="D13" s="335">
        <f t="shared" si="1"/>
        <v>4</v>
      </c>
      <c r="E13" s="408" t="str">
        <f t="shared" si="2"/>
        <v>Nov21</v>
      </c>
      <c r="F13" s="24"/>
      <c r="I13" s="409">
        <f t="shared" si="3"/>
        <v>44060</v>
      </c>
      <c r="J13" s="335" t="s">
        <v>304</v>
      </c>
      <c r="K13" s="411"/>
      <c r="L13" s="16"/>
      <c r="M13" s="408">
        <v>44288</v>
      </c>
      <c r="T13" s="408"/>
      <c r="W13" s="419"/>
    </row>
    <row r="14" spans="1:23" x14ac:dyDescent="0.2">
      <c r="A14" s="335" t="s">
        <v>314</v>
      </c>
      <c r="B14" s="409">
        <v>44529</v>
      </c>
      <c r="C14" s="409">
        <f t="shared" si="0"/>
        <v>44556</v>
      </c>
      <c r="D14" s="335">
        <f t="shared" si="1"/>
        <v>4</v>
      </c>
      <c r="E14" s="408" t="str">
        <f t="shared" si="2"/>
        <v>Dec21</v>
      </c>
      <c r="F14" s="24"/>
      <c r="I14" s="409">
        <f t="shared" si="3"/>
        <v>44067</v>
      </c>
      <c r="J14" s="335" t="s">
        <v>304</v>
      </c>
      <c r="K14" s="411"/>
      <c r="L14" s="16"/>
      <c r="M14" s="408">
        <v>44291</v>
      </c>
      <c r="T14" s="408"/>
      <c r="W14" s="419"/>
    </row>
    <row r="15" spans="1:23" x14ac:dyDescent="0.2">
      <c r="A15" s="335" t="s">
        <v>315</v>
      </c>
      <c r="B15" s="409">
        <v>44557</v>
      </c>
      <c r="C15" s="409">
        <f t="shared" si="0"/>
        <v>44591</v>
      </c>
      <c r="D15" s="335">
        <f t="shared" si="1"/>
        <v>5</v>
      </c>
      <c r="E15" s="408" t="str">
        <f t="shared" si="2"/>
        <v>Jan22</v>
      </c>
      <c r="F15" s="24"/>
      <c r="G15" s="24"/>
      <c r="H15" s="24"/>
      <c r="I15" s="409">
        <f t="shared" si="3"/>
        <v>44074</v>
      </c>
      <c r="J15" s="335" t="s">
        <v>304</v>
      </c>
      <c r="K15" s="411"/>
      <c r="L15" s="16"/>
      <c r="M15" s="408">
        <v>44319</v>
      </c>
      <c r="T15" s="408"/>
    </row>
    <row r="16" spans="1:23" x14ac:dyDescent="0.2">
      <c r="A16" s="335" t="s">
        <v>316</v>
      </c>
      <c r="B16" s="409">
        <v>44592</v>
      </c>
      <c r="C16" s="409">
        <v>44619</v>
      </c>
      <c r="D16" s="335">
        <f t="shared" si="1"/>
        <v>4</v>
      </c>
      <c r="E16" s="408" t="str">
        <f t="shared" si="2"/>
        <v>Feb22</v>
      </c>
      <c r="F16" s="24"/>
      <c r="G16" s="24"/>
      <c r="H16" s="24"/>
      <c r="I16" s="409">
        <f t="shared" si="3"/>
        <v>44081</v>
      </c>
      <c r="J16" s="335" t="s">
        <v>304</v>
      </c>
      <c r="K16" s="411"/>
      <c r="L16" s="16"/>
      <c r="M16" s="408">
        <v>44347</v>
      </c>
      <c r="T16" s="408"/>
    </row>
    <row r="17" spans="1:20" x14ac:dyDescent="0.2">
      <c r="A17" s="335" t="s">
        <v>317</v>
      </c>
      <c r="B17" s="409">
        <v>44620</v>
      </c>
      <c r="C17" s="409">
        <v>44647</v>
      </c>
      <c r="D17" s="335">
        <f t="shared" si="1"/>
        <v>4</v>
      </c>
      <c r="E17" s="408" t="str">
        <f t="shared" si="2"/>
        <v>Mar22</v>
      </c>
      <c r="F17" s="24"/>
      <c r="G17" s="24"/>
      <c r="H17" s="24"/>
      <c r="I17" s="409">
        <f t="shared" si="3"/>
        <v>44088</v>
      </c>
      <c r="J17" s="335" t="s">
        <v>304</v>
      </c>
      <c r="K17" s="411"/>
      <c r="L17" s="16"/>
      <c r="M17" s="408">
        <v>44438</v>
      </c>
      <c r="T17" s="408"/>
    </row>
    <row r="18" spans="1:20" ht="12.75" customHeight="1" x14ac:dyDescent="0.2">
      <c r="A18" s="335"/>
      <c r="C18" s="409"/>
      <c r="D18" s="335"/>
      <c r="E18" s="408"/>
      <c r="F18" s="24"/>
      <c r="G18" s="24"/>
      <c r="H18" s="24"/>
      <c r="I18" s="409">
        <f t="shared" si="3"/>
        <v>44095</v>
      </c>
      <c r="J18" s="335" t="s">
        <v>304</v>
      </c>
      <c r="K18" s="412" t="s">
        <v>318</v>
      </c>
      <c r="L18" s="16"/>
      <c r="M18" s="408">
        <v>44557</v>
      </c>
      <c r="T18" s="408"/>
    </row>
    <row r="19" spans="1:20" x14ac:dyDescent="0.2">
      <c r="A19" s="335"/>
      <c r="C19" s="409"/>
      <c r="D19" s="335"/>
      <c r="E19" s="408"/>
      <c r="F19" s="24"/>
      <c r="G19" s="24"/>
      <c r="H19" s="24"/>
      <c r="I19" s="409">
        <f t="shared" si="3"/>
        <v>44102</v>
      </c>
      <c r="J19" s="335" t="s">
        <v>304</v>
      </c>
      <c r="K19" s="412"/>
      <c r="L19" s="16"/>
      <c r="M19" s="408">
        <v>44558</v>
      </c>
      <c r="T19" s="408"/>
    </row>
    <row r="20" spans="1:20" x14ac:dyDescent="0.2">
      <c r="A20" s="335"/>
      <c r="C20" s="409"/>
      <c r="D20" s="335"/>
      <c r="E20" s="408"/>
      <c r="F20" s="24"/>
      <c r="G20" s="24"/>
      <c r="H20" s="24"/>
      <c r="I20" s="409">
        <f t="shared" si="3"/>
        <v>44109</v>
      </c>
      <c r="J20" s="335" t="s">
        <v>302</v>
      </c>
      <c r="K20" s="16"/>
      <c r="L20" s="16"/>
      <c r="M20" s="408">
        <v>44564</v>
      </c>
      <c r="T20" s="408"/>
    </row>
    <row r="21" spans="1:20" x14ac:dyDescent="0.2">
      <c r="A21" s="335"/>
      <c r="C21" s="409"/>
      <c r="D21" s="335"/>
      <c r="E21" s="408"/>
      <c r="F21" s="24"/>
      <c r="G21" s="24"/>
      <c r="H21" s="24"/>
      <c r="I21" s="409">
        <f t="shared" si="3"/>
        <v>44116</v>
      </c>
      <c r="J21" s="335" t="s">
        <v>302</v>
      </c>
      <c r="K21" s="16"/>
      <c r="L21" s="16"/>
      <c r="M21" s="408"/>
      <c r="T21" s="408"/>
    </row>
    <row r="22" spans="1:20" x14ac:dyDescent="0.2">
      <c r="A22" s="335"/>
      <c r="B22" s="408"/>
      <c r="C22" s="409"/>
      <c r="D22" s="335"/>
      <c r="E22" s="408"/>
      <c r="F22" s="24"/>
      <c r="G22" s="24"/>
      <c r="H22" s="24"/>
      <c r="I22" s="409">
        <f t="shared" si="3"/>
        <v>44123</v>
      </c>
      <c r="J22" s="335" t="s">
        <v>302</v>
      </c>
      <c r="K22" s="16"/>
      <c r="L22" s="16"/>
      <c r="M22" s="408"/>
      <c r="T22" s="408"/>
    </row>
    <row r="23" spans="1:20" x14ac:dyDescent="0.2">
      <c r="A23" s="335"/>
      <c r="C23" s="409"/>
      <c r="D23" s="335"/>
      <c r="E23" s="408"/>
      <c r="F23" s="24"/>
      <c r="G23" s="24"/>
      <c r="H23" s="24"/>
      <c r="I23" s="409">
        <f t="shared" si="3"/>
        <v>44130</v>
      </c>
      <c r="J23" s="335" t="s">
        <v>302</v>
      </c>
      <c r="K23" s="16"/>
      <c r="L23" s="16"/>
      <c r="M23" s="408"/>
      <c r="T23" s="408"/>
    </row>
    <row r="24" spans="1:20" x14ac:dyDescent="0.2">
      <c r="F24" s="24"/>
      <c r="G24" s="24"/>
      <c r="H24" s="24"/>
      <c r="I24" s="409">
        <f t="shared" si="3"/>
        <v>44137</v>
      </c>
      <c r="J24" s="335" t="s">
        <v>302</v>
      </c>
      <c r="K24" s="16"/>
      <c r="L24" s="16"/>
      <c r="M24" s="408"/>
      <c r="T24" s="408"/>
    </row>
    <row r="25" spans="1:20" x14ac:dyDescent="0.2">
      <c r="A25" s="405" t="s">
        <v>319</v>
      </c>
      <c r="I25" s="409">
        <f t="shared" si="3"/>
        <v>44144</v>
      </c>
      <c r="J25" s="335" t="s">
        <v>302</v>
      </c>
      <c r="K25" s="16"/>
      <c r="L25" s="16"/>
      <c r="M25" s="408"/>
      <c r="T25" s="408"/>
    </row>
    <row r="26" spans="1:20" x14ac:dyDescent="0.2">
      <c r="I26" s="409">
        <f t="shared" si="3"/>
        <v>44151</v>
      </c>
      <c r="J26" s="335" t="s">
        <v>302</v>
      </c>
      <c r="K26" s="16"/>
      <c r="L26" s="16"/>
      <c r="M26" s="16"/>
      <c r="T26" s="408"/>
    </row>
    <row r="27" spans="1:20" x14ac:dyDescent="0.2">
      <c r="I27" s="409">
        <f t="shared" si="3"/>
        <v>44158</v>
      </c>
      <c r="J27" s="335" t="s">
        <v>302</v>
      </c>
      <c r="K27" s="16"/>
      <c r="L27" s="16"/>
      <c r="M27" s="16"/>
      <c r="T27" s="408"/>
    </row>
    <row r="28" spans="1:20" x14ac:dyDescent="0.2">
      <c r="I28" s="409">
        <f t="shared" si="3"/>
        <v>44165</v>
      </c>
      <c r="J28" s="335" t="s">
        <v>302</v>
      </c>
      <c r="K28" s="16"/>
      <c r="L28" s="16"/>
      <c r="M28" s="16"/>
      <c r="T28" s="408"/>
    </row>
    <row r="29" spans="1:20" x14ac:dyDescent="0.2">
      <c r="I29" s="409">
        <f t="shared" si="3"/>
        <v>44172</v>
      </c>
      <c r="J29" s="335" t="s">
        <v>302</v>
      </c>
      <c r="K29" s="16"/>
      <c r="L29" s="16"/>
      <c r="M29" s="16"/>
      <c r="T29" s="408"/>
    </row>
    <row r="30" spans="1:20" x14ac:dyDescent="0.2">
      <c r="I30" s="409">
        <f t="shared" si="3"/>
        <v>44179</v>
      </c>
      <c r="J30" s="335" t="s">
        <v>304</v>
      </c>
      <c r="K30" s="16"/>
      <c r="L30" s="16"/>
      <c r="M30" s="16"/>
      <c r="T30" s="408"/>
    </row>
    <row r="31" spans="1:20" x14ac:dyDescent="0.2">
      <c r="I31" s="409">
        <f t="shared" si="3"/>
        <v>44186</v>
      </c>
      <c r="J31" s="335" t="s">
        <v>304</v>
      </c>
      <c r="K31" s="16"/>
      <c r="L31" s="16"/>
      <c r="M31" s="16"/>
      <c r="T31" s="408"/>
    </row>
    <row r="32" spans="1:20" x14ac:dyDescent="0.2">
      <c r="I32" s="409">
        <f t="shared" si="3"/>
        <v>44193</v>
      </c>
      <c r="J32" s="335" t="s">
        <v>304</v>
      </c>
      <c r="K32" s="16"/>
      <c r="L32" s="16"/>
      <c r="M32" s="16"/>
      <c r="T32" s="408"/>
    </row>
    <row r="33" spans="9:20" x14ac:dyDescent="0.2">
      <c r="I33" s="409">
        <f t="shared" si="3"/>
        <v>44200</v>
      </c>
      <c r="J33" s="335" t="s">
        <v>302</v>
      </c>
      <c r="K33" s="16"/>
      <c r="L33" s="16"/>
      <c r="M33" s="16"/>
      <c r="T33" s="408"/>
    </row>
    <row r="34" spans="9:20" x14ac:dyDescent="0.2">
      <c r="I34" s="409">
        <f t="shared" si="3"/>
        <v>44207</v>
      </c>
      <c r="J34" s="335" t="s">
        <v>302</v>
      </c>
      <c r="K34" s="16"/>
      <c r="L34" s="16"/>
      <c r="M34" s="16"/>
      <c r="T34" s="408"/>
    </row>
    <row r="35" spans="9:20" x14ac:dyDescent="0.2">
      <c r="I35" s="409">
        <f t="shared" si="3"/>
        <v>44214</v>
      </c>
      <c r="J35" s="335" t="s">
        <v>302</v>
      </c>
      <c r="K35" s="16"/>
      <c r="L35" s="16"/>
      <c r="M35" s="16"/>
      <c r="T35" s="408"/>
    </row>
    <row r="36" spans="9:20" x14ac:dyDescent="0.2">
      <c r="I36" s="409">
        <f t="shared" si="3"/>
        <v>44221</v>
      </c>
      <c r="J36" s="335" t="s">
        <v>302</v>
      </c>
      <c r="K36" s="16"/>
      <c r="L36" s="16"/>
      <c r="M36" s="16"/>
      <c r="T36" s="408"/>
    </row>
    <row r="37" spans="9:20" x14ac:dyDescent="0.2">
      <c r="I37" s="409">
        <f t="shared" si="3"/>
        <v>44228</v>
      </c>
      <c r="J37" s="335" t="s">
        <v>302</v>
      </c>
      <c r="K37" s="16"/>
      <c r="L37" s="16"/>
      <c r="M37" s="16"/>
      <c r="T37" s="408"/>
    </row>
    <row r="38" spans="9:20" x14ac:dyDescent="0.2">
      <c r="I38" s="409">
        <f t="shared" si="3"/>
        <v>44235</v>
      </c>
      <c r="J38" s="335" t="s">
        <v>302</v>
      </c>
      <c r="K38" s="16"/>
      <c r="L38" s="16"/>
      <c r="M38" s="16"/>
      <c r="T38" s="408"/>
    </row>
    <row r="39" spans="9:20" x14ac:dyDescent="0.2">
      <c r="I39" s="409">
        <f t="shared" si="3"/>
        <v>44242</v>
      </c>
      <c r="J39" s="335" t="s">
        <v>302</v>
      </c>
      <c r="K39" s="335"/>
      <c r="L39" s="335"/>
      <c r="M39" s="335"/>
      <c r="T39" s="408"/>
    </row>
    <row r="40" spans="9:20" x14ac:dyDescent="0.2">
      <c r="I40" s="409">
        <f t="shared" si="3"/>
        <v>44249</v>
      </c>
      <c r="J40" s="335" t="s">
        <v>302</v>
      </c>
      <c r="K40" s="335"/>
      <c r="L40" s="335"/>
      <c r="M40" s="335"/>
      <c r="T40" s="408"/>
    </row>
    <row r="41" spans="9:20" x14ac:dyDescent="0.2">
      <c r="I41" s="409">
        <f t="shared" si="3"/>
        <v>44256</v>
      </c>
      <c r="J41" s="335" t="s">
        <v>302</v>
      </c>
      <c r="K41" s="335"/>
      <c r="L41" s="335"/>
      <c r="M41" s="335"/>
      <c r="T41" s="408"/>
    </row>
    <row r="42" spans="9:20" x14ac:dyDescent="0.2">
      <c r="I42" s="409">
        <f t="shared" ref="I42:I96" si="4">I41+7</f>
        <v>44263</v>
      </c>
      <c r="J42" s="335" t="s">
        <v>302</v>
      </c>
      <c r="K42" s="335"/>
      <c r="L42" s="335"/>
      <c r="M42" s="335"/>
      <c r="T42" s="408"/>
    </row>
    <row r="43" spans="9:20" x14ac:dyDescent="0.2">
      <c r="I43" s="409">
        <f t="shared" si="4"/>
        <v>44270</v>
      </c>
      <c r="J43" s="335" t="s">
        <v>302</v>
      </c>
      <c r="K43" s="335"/>
      <c r="L43" s="335"/>
      <c r="M43" s="335"/>
      <c r="T43" s="408"/>
    </row>
    <row r="44" spans="9:20" x14ac:dyDescent="0.2">
      <c r="I44" s="409">
        <f t="shared" si="4"/>
        <v>44277</v>
      </c>
      <c r="J44" s="335" t="s">
        <v>304</v>
      </c>
      <c r="K44" s="335"/>
      <c r="L44" s="335"/>
      <c r="M44" s="335"/>
      <c r="T44" s="408"/>
    </row>
    <row r="45" spans="9:20" x14ac:dyDescent="0.2">
      <c r="I45" s="409">
        <f t="shared" si="4"/>
        <v>44284</v>
      </c>
      <c r="J45" s="335" t="s">
        <v>304</v>
      </c>
      <c r="K45" s="335"/>
      <c r="L45" s="335"/>
      <c r="M45" s="335"/>
      <c r="T45" s="408"/>
    </row>
    <row r="46" spans="9:20" x14ac:dyDescent="0.2">
      <c r="I46" s="409">
        <f t="shared" si="4"/>
        <v>44291</v>
      </c>
      <c r="J46" s="335" t="s">
        <v>304</v>
      </c>
      <c r="K46" s="335"/>
      <c r="L46" s="335"/>
      <c r="M46" s="335"/>
      <c r="T46" s="408"/>
    </row>
    <row r="47" spans="9:20" x14ac:dyDescent="0.2">
      <c r="I47" s="409">
        <f t="shared" si="4"/>
        <v>44298</v>
      </c>
      <c r="J47" s="335" t="s">
        <v>302</v>
      </c>
      <c r="K47" s="335"/>
      <c r="L47" s="335"/>
      <c r="M47" s="335"/>
      <c r="T47" s="408"/>
    </row>
    <row r="48" spans="9:20" x14ac:dyDescent="0.2">
      <c r="I48" s="409">
        <f t="shared" si="4"/>
        <v>44305</v>
      </c>
      <c r="J48" s="335" t="s">
        <v>302</v>
      </c>
      <c r="K48" s="335"/>
      <c r="L48" s="335"/>
      <c r="M48" s="335"/>
      <c r="T48" s="408"/>
    </row>
    <row r="49" spans="9:20" x14ac:dyDescent="0.2">
      <c r="I49" s="409">
        <f t="shared" si="4"/>
        <v>44312</v>
      </c>
      <c r="J49" s="335" t="s">
        <v>302</v>
      </c>
      <c r="K49" s="335"/>
      <c r="L49" s="335"/>
      <c r="M49" s="335"/>
      <c r="T49" s="408"/>
    </row>
    <row r="50" spans="9:20" x14ac:dyDescent="0.2">
      <c r="I50" s="409">
        <f t="shared" si="4"/>
        <v>44319</v>
      </c>
      <c r="J50" s="335" t="s">
        <v>302</v>
      </c>
      <c r="K50" s="335"/>
      <c r="L50" s="335"/>
      <c r="M50" s="335"/>
      <c r="T50" s="408"/>
    </row>
    <row r="51" spans="9:20" x14ac:dyDescent="0.2">
      <c r="I51" s="409">
        <f t="shared" si="4"/>
        <v>44326</v>
      </c>
      <c r="J51" s="335" t="s">
        <v>302</v>
      </c>
      <c r="K51" s="335"/>
      <c r="L51" s="335"/>
      <c r="M51" s="335"/>
      <c r="T51" s="408"/>
    </row>
    <row r="52" spans="9:20" x14ac:dyDescent="0.2">
      <c r="I52" s="409">
        <f t="shared" si="4"/>
        <v>44333</v>
      </c>
      <c r="J52" s="335" t="s">
        <v>302</v>
      </c>
      <c r="K52" s="335"/>
      <c r="L52" s="335"/>
      <c r="M52" s="335"/>
      <c r="T52" s="408"/>
    </row>
    <row r="53" spans="9:20" x14ac:dyDescent="0.2">
      <c r="I53" s="409">
        <f t="shared" si="4"/>
        <v>44340</v>
      </c>
      <c r="J53" s="335" t="s">
        <v>302</v>
      </c>
      <c r="K53" s="335"/>
      <c r="L53" s="335"/>
      <c r="M53" s="335"/>
      <c r="T53" s="408"/>
    </row>
    <row r="54" spans="9:20" x14ac:dyDescent="0.2">
      <c r="I54" s="409">
        <f t="shared" si="4"/>
        <v>44347</v>
      </c>
      <c r="J54" s="335" t="s">
        <v>302</v>
      </c>
      <c r="K54" s="335"/>
      <c r="L54" s="335"/>
      <c r="M54" s="335"/>
      <c r="T54" s="408"/>
    </row>
    <row r="55" spans="9:20" x14ac:dyDescent="0.2">
      <c r="I55" s="409">
        <f t="shared" si="4"/>
        <v>44354</v>
      </c>
      <c r="J55" s="335" t="s">
        <v>302</v>
      </c>
      <c r="K55" s="335"/>
      <c r="L55" s="335"/>
      <c r="M55" s="335"/>
      <c r="T55" s="408"/>
    </row>
    <row r="56" spans="9:20" x14ac:dyDescent="0.2">
      <c r="I56" s="427">
        <f t="shared" si="4"/>
        <v>44361</v>
      </c>
      <c r="J56" s="428" t="s">
        <v>304</v>
      </c>
      <c r="K56" s="335"/>
      <c r="L56" s="335"/>
      <c r="M56" s="335"/>
      <c r="T56" s="408"/>
    </row>
    <row r="57" spans="9:20" x14ac:dyDescent="0.2">
      <c r="I57" s="427">
        <f t="shared" si="4"/>
        <v>44368</v>
      </c>
      <c r="J57" s="428" t="s">
        <v>304</v>
      </c>
      <c r="K57" s="335"/>
      <c r="L57" s="335"/>
      <c r="M57" s="335"/>
      <c r="T57" s="408"/>
    </row>
    <row r="58" spans="9:20" x14ac:dyDescent="0.2">
      <c r="I58" s="427">
        <f t="shared" si="4"/>
        <v>44375</v>
      </c>
      <c r="J58" s="428" t="s">
        <v>304</v>
      </c>
      <c r="K58" s="335"/>
      <c r="L58" s="335"/>
      <c r="M58" s="335"/>
      <c r="T58" s="408"/>
    </row>
    <row r="59" spans="9:20" x14ac:dyDescent="0.2">
      <c r="I59" s="427">
        <f t="shared" si="4"/>
        <v>44382</v>
      </c>
      <c r="J59" s="428" t="s">
        <v>304</v>
      </c>
      <c r="K59" s="335"/>
      <c r="L59" s="335"/>
      <c r="M59" s="335"/>
      <c r="T59" s="408"/>
    </row>
    <row r="60" spans="9:20" x14ac:dyDescent="0.2">
      <c r="I60" s="427">
        <f t="shared" si="4"/>
        <v>44389</v>
      </c>
      <c r="J60" s="428" t="s">
        <v>304</v>
      </c>
      <c r="K60" s="335"/>
      <c r="L60" s="335"/>
      <c r="M60" s="335"/>
      <c r="T60" s="408"/>
    </row>
    <row r="61" spans="9:20" x14ac:dyDescent="0.2">
      <c r="I61" s="427">
        <f t="shared" si="4"/>
        <v>44396</v>
      </c>
      <c r="J61" s="428" t="s">
        <v>304</v>
      </c>
      <c r="K61" s="335"/>
      <c r="L61" s="335"/>
      <c r="M61" s="335"/>
      <c r="T61" s="408"/>
    </row>
    <row r="62" spans="9:20" x14ac:dyDescent="0.2">
      <c r="I62" s="427">
        <f t="shared" si="4"/>
        <v>44403</v>
      </c>
      <c r="J62" s="428" t="s">
        <v>304</v>
      </c>
      <c r="K62" s="335"/>
      <c r="L62" s="335"/>
      <c r="M62" s="335"/>
      <c r="T62" s="408"/>
    </row>
    <row r="63" spans="9:20" x14ac:dyDescent="0.2">
      <c r="I63" s="427">
        <f t="shared" si="4"/>
        <v>44410</v>
      </c>
      <c r="J63" s="428" t="s">
        <v>304</v>
      </c>
      <c r="K63" s="335"/>
      <c r="L63" s="335"/>
      <c r="M63" s="335"/>
      <c r="T63" s="408"/>
    </row>
    <row r="64" spans="9:20" x14ac:dyDescent="0.2">
      <c r="I64" s="427">
        <f t="shared" si="4"/>
        <v>44417</v>
      </c>
      <c r="J64" s="428" t="s">
        <v>304</v>
      </c>
      <c r="K64" s="335"/>
      <c r="L64" s="335"/>
      <c r="M64" s="335"/>
      <c r="T64" s="408"/>
    </row>
    <row r="65" spans="9:20" x14ac:dyDescent="0.2">
      <c r="I65" s="427">
        <f t="shared" si="4"/>
        <v>44424</v>
      </c>
      <c r="J65" s="428" t="s">
        <v>304</v>
      </c>
      <c r="K65" s="335"/>
      <c r="L65" s="335"/>
      <c r="M65" s="335"/>
      <c r="T65" s="408"/>
    </row>
    <row r="66" spans="9:20" x14ac:dyDescent="0.2">
      <c r="I66" s="427">
        <f t="shared" si="4"/>
        <v>44431</v>
      </c>
      <c r="J66" s="428" t="s">
        <v>304</v>
      </c>
      <c r="K66" s="335"/>
      <c r="L66" s="335"/>
      <c r="M66" s="335"/>
      <c r="T66" s="408"/>
    </row>
    <row r="67" spans="9:20" x14ac:dyDescent="0.2">
      <c r="I67" s="427">
        <f t="shared" si="4"/>
        <v>44438</v>
      </c>
      <c r="J67" s="428" t="s">
        <v>304</v>
      </c>
      <c r="K67" s="335"/>
      <c r="L67" s="335"/>
      <c r="M67" s="335"/>
      <c r="T67" s="408"/>
    </row>
    <row r="68" spans="9:20" x14ac:dyDescent="0.2">
      <c r="I68" s="427">
        <f t="shared" si="4"/>
        <v>44445</v>
      </c>
      <c r="J68" s="428" t="s">
        <v>304</v>
      </c>
      <c r="K68" s="335"/>
      <c r="L68" s="335"/>
      <c r="M68" s="335"/>
      <c r="T68" s="408"/>
    </row>
    <row r="69" spans="9:20" x14ac:dyDescent="0.2">
      <c r="I69" s="427">
        <f t="shared" si="4"/>
        <v>44452</v>
      </c>
      <c r="J69" s="428" t="s">
        <v>304</v>
      </c>
      <c r="K69" s="335"/>
      <c r="L69" s="335"/>
      <c r="M69" s="335"/>
      <c r="T69" s="408"/>
    </row>
    <row r="70" spans="9:20" x14ac:dyDescent="0.2">
      <c r="I70" s="427">
        <f t="shared" si="4"/>
        <v>44459</v>
      </c>
      <c r="J70" s="428" t="s">
        <v>304</v>
      </c>
      <c r="K70" s="335"/>
      <c r="L70" s="335"/>
      <c r="M70" s="335"/>
      <c r="T70" s="408"/>
    </row>
    <row r="71" spans="9:20" x14ac:dyDescent="0.2">
      <c r="I71" s="427">
        <f t="shared" si="4"/>
        <v>44466</v>
      </c>
      <c r="J71" s="428" t="s">
        <v>304</v>
      </c>
      <c r="K71" s="335"/>
      <c r="L71" s="335"/>
      <c r="M71" s="335"/>
      <c r="T71" s="408"/>
    </row>
    <row r="72" spans="9:20" x14ac:dyDescent="0.2">
      <c r="I72" s="427">
        <f t="shared" si="4"/>
        <v>44473</v>
      </c>
      <c r="J72" s="428" t="s">
        <v>302</v>
      </c>
      <c r="K72" s="335"/>
      <c r="L72" s="335"/>
      <c r="M72" s="335"/>
      <c r="T72" s="408"/>
    </row>
    <row r="73" spans="9:20" x14ac:dyDescent="0.2">
      <c r="I73" s="427">
        <f t="shared" si="4"/>
        <v>44480</v>
      </c>
      <c r="J73" s="428" t="s">
        <v>302</v>
      </c>
      <c r="K73" s="335"/>
      <c r="L73" s="335"/>
      <c r="M73" s="335"/>
      <c r="T73" s="408"/>
    </row>
    <row r="74" spans="9:20" x14ac:dyDescent="0.2">
      <c r="I74" s="427">
        <f t="shared" si="4"/>
        <v>44487</v>
      </c>
      <c r="J74" s="428" t="s">
        <v>302</v>
      </c>
      <c r="K74" s="335"/>
      <c r="L74" s="335"/>
      <c r="M74" s="335"/>
      <c r="T74" s="408"/>
    </row>
    <row r="75" spans="9:20" x14ac:dyDescent="0.2">
      <c r="I75" s="427">
        <f t="shared" si="4"/>
        <v>44494</v>
      </c>
      <c r="J75" s="428" t="s">
        <v>302</v>
      </c>
      <c r="K75" s="335"/>
      <c r="L75" s="335"/>
      <c r="M75" s="335"/>
      <c r="T75" s="408"/>
    </row>
    <row r="76" spans="9:20" x14ac:dyDescent="0.2">
      <c r="I76" s="427">
        <f t="shared" si="4"/>
        <v>44501</v>
      </c>
      <c r="J76" s="428" t="s">
        <v>302</v>
      </c>
      <c r="K76" s="335"/>
      <c r="L76" s="335"/>
      <c r="M76" s="335"/>
      <c r="T76" s="408"/>
    </row>
    <row r="77" spans="9:20" x14ac:dyDescent="0.2">
      <c r="I77" s="427">
        <f t="shared" si="4"/>
        <v>44508</v>
      </c>
      <c r="J77" s="428" t="s">
        <v>302</v>
      </c>
      <c r="K77" s="335"/>
      <c r="L77" s="335"/>
      <c r="M77" s="335"/>
      <c r="T77" s="408"/>
    </row>
    <row r="78" spans="9:20" x14ac:dyDescent="0.2">
      <c r="I78" s="427">
        <f t="shared" si="4"/>
        <v>44515</v>
      </c>
      <c r="J78" s="428" t="s">
        <v>302</v>
      </c>
      <c r="K78" s="335"/>
      <c r="L78" s="335"/>
      <c r="M78" s="335"/>
      <c r="T78" s="408"/>
    </row>
    <row r="79" spans="9:20" x14ac:dyDescent="0.2">
      <c r="I79" s="427">
        <f t="shared" si="4"/>
        <v>44522</v>
      </c>
      <c r="J79" s="428" t="s">
        <v>302</v>
      </c>
      <c r="K79" s="335"/>
      <c r="L79" s="335"/>
      <c r="M79" s="335"/>
      <c r="T79" s="408"/>
    </row>
    <row r="80" spans="9:20" x14ac:dyDescent="0.2">
      <c r="I80" s="427">
        <f t="shared" si="4"/>
        <v>44529</v>
      </c>
      <c r="J80" s="428" t="s">
        <v>302</v>
      </c>
      <c r="K80" s="335"/>
      <c r="L80" s="335"/>
      <c r="M80" s="335"/>
      <c r="T80" s="408"/>
    </row>
    <row r="81" spans="9:20" x14ac:dyDescent="0.2">
      <c r="I81" s="427">
        <f t="shared" si="4"/>
        <v>44536</v>
      </c>
      <c r="J81" s="428" t="s">
        <v>302</v>
      </c>
      <c r="K81" s="335"/>
      <c r="L81" s="335"/>
      <c r="M81" s="335"/>
      <c r="T81" s="408"/>
    </row>
    <row r="82" spans="9:20" x14ac:dyDescent="0.2">
      <c r="I82" s="427">
        <f t="shared" si="4"/>
        <v>44543</v>
      </c>
      <c r="J82" s="428" t="s">
        <v>302</v>
      </c>
      <c r="K82" s="335"/>
      <c r="L82" s="335"/>
      <c r="M82" s="335"/>
      <c r="T82" s="408"/>
    </row>
    <row r="83" spans="9:20" x14ac:dyDescent="0.2">
      <c r="I83" s="427">
        <f t="shared" si="4"/>
        <v>44550</v>
      </c>
      <c r="J83" s="428" t="s">
        <v>304</v>
      </c>
      <c r="K83" s="406" t="s">
        <v>320</v>
      </c>
      <c r="T83" s="408"/>
    </row>
    <row r="84" spans="9:20" x14ac:dyDescent="0.2">
      <c r="I84" s="427">
        <f t="shared" si="4"/>
        <v>44557</v>
      </c>
      <c r="J84" s="428" t="s">
        <v>304</v>
      </c>
      <c r="T84" s="408"/>
    </row>
    <row r="85" spans="9:20" x14ac:dyDescent="0.2">
      <c r="I85" s="427">
        <f t="shared" si="4"/>
        <v>44564</v>
      </c>
      <c r="J85" s="428" t="s">
        <v>304</v>
      </c>
      <c r="T85" s="408"/>
    </row>
    <row r="86" spans="9:20" x14ac:dyDescent="0.2">
      <c r="I86" s="427">
        <f t="shared" si="4"/>
        <v>44571</v>
      </c>
      <c r="J86" s="428" t="s">
        <v>302</v>
      </c>
      <c r="T86" s="408"/>
    </row>
    <row r="87" spans="9:20" x14ac:dyDescent="0.2">
      <c r="I87" s="427">
        <f t="shared" si="4"/>
        <v>44578</v>
      </c>
      <c r="J87" s="428" t="s">
        <v>302</v>
      </c>
      <c r="T87" s="408"/>
    </row>
    <row r="88" spans="9:20" x14ac:dyDescent="0.2">
      <c r="I88" s="427">
        <f t="shared" si="4"/>
        <v>44585</v>
      </c>
      <c r="J88" s="428" t="s">
        <v>302</v>
      </c>
      <c r="T88" s="408"/>
    </row>
    <row r="89" spans="9:20" x14ac:dyDescent="0.2">
      <c r="I89" s="427">
        <f t="shared" si="4"/>
        <v>44592</v>
      </c>
      <c r="J89" s="428" t="s">
        <v>302</v>
      </c>
      <c r="T89" s="408"/>
    </row>
    <row r="90" spans="9:20" x14ac:dyDescent="0.2">
      <c r="I90" s="427">
        <f t="shared" si="4"/>
        <v>44599</v>
      </c>
      <c r="J90" s="428" t="s">
        <v>302</v>
      </c>
      <c r="T90" s="408"/>
    </row>
    <row r="91" spans="9:20" x14ac:dyDescent="0.2">
      <c r="I91" s="427">
        <f t="shared" si="4"/>
        <v>44606</v>
      </c>
      <c r="J91" s="428" t="s">
        <v>302</v>
      </c>
      <c r="T91" s="408"/>
    </row>
    <row r="92" spans="9:20" x14ac:dyDescent="0.2">
      <c r="I92" s="427">
        <f t="shared" si="4"/>
        <v>44613</v>
      </c>
      <c r="J92" s="428" t="s">
        <v>302</v>
      </c>
      <c r="T92" s="408"/>
    </row>
    <row r="93" spans="9:20" x14ac:dyDescent="0.2">
      <c r="I93" s="427">
        <f t="shared" si="4"/>
        <v>44620</v>
      </c>
      <c r="J93" s="428" t="s">
        <v>302</v>
      </c>
      <c r="T93" s="408"/>
    </row>
    <row r="94" spans="9:20" x14ac:dyDescent="0.2">
      <c r="I94" s="427">
        <f t="shared" si="4"/>
        <v>44627</v>
      </c>
      <c r="J94" s="428" t="s">
        <v>302</v>
      </c>
      <c r="T94" s="408"/>
    </row>
    <row r="95" spans="9:20" x14ac:dyDescent="0.2">
      <c r="I95" s="427">
        <f t="shared" si="4"/>
        <v>44634</v>
      </c>
      <c r="J95" s="428" t="s">
        <v>302</v>
      </c>
      <c r="T95" s="408"/>
    </row>
    <row r="96" spans="9:20" x14ac:dyDescent="0.2">
      <c r="I96" s="427">
        <f t="shared" si="4"/>
        <v>44641</v>
      </c>
      <c r="J96" s="428" t="s">
        <v>302</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321</v>
      </c>
    </row>
    <row r="2" spans="1:22" x14ac:dyDescent="0.2">
      <c r="A2" s="16"/>
      <c r="B2" s="16"/>
      <c r="C2" s="16" t="s">
        <v>322</v>
      </c>
      <c r="D2" s="414" t="s">
        <v>323</v>
      </c>
      <c r="E2" s="414" t="s">
        <v>324</v>
      </c>
      <c r="F2" s="414" t="s">
        <v>325</v>
      </c>
      <c r="G2" s="16" t="s">
        <v>326</v>
      </c>
      <c r="H2" s="16" t="s">
        <v>327</v>
      </c>
      <c r="I2" s="16" t="s">
        <v>328</v>
      </c>
      <c r="J2" s="16" t="s">
        <v>329</v>
      </c>
      <c r="K2" s="16"/>
    </row>
    <row r="3" spans="1:22" x14ac:dyDescent="0.2">
      <c r="A3" s="16" t="s">
        <v>330</v>
      </c>
      <c r="B3" s="16">
        <v>0</v>
      </c>
      <c r="C3" s="16">
        <v>2</v>
      </c>
      <c r="D3" s="415">
        <v>4.3499999999999996</v>
      </c>
      <c r="E3" s="415">
        <v>4.3499999999999996</v>
      </c>
      <c r="F3" s="415">
        <v>4.55</v>
      </c>
      <c r="G3" s="22">
        <v>4.55</v>
      </c>
      <c r="H3" s="22">
        <v>4.55</v>
      </c>
      <c r="I3" s="22">
        <v>4.62</v>
      </c>
      <c r="J3" s="22">
        <v>4.62</v>
      </c>
      <c r="K3" s="16"/>
    </row>
    <row r="4" spans="1:22" x14ac:dyDescent="0.2">
      <c r="A4" s="16" t="s">
        <v>331</v>
      </c>
      <c r="B4" s="16">
        <v>18</v>
      </c>
      <c r="C4" s="16">
        <v>3</v>
      </c>
      <c r="D4" s="415">
        <v>6.15</v>
      </c>
      <c r="E4" s="415">
        <v>6.15</v>
      </c>
      <c r="F4" s="415">
        <v>6.45</v>
      </c>
      <c r="G4" s="22">
        <v>6.45</v>
      </c>
      <c r="H4" s="22">
        <v>6.45</v>
      </c>
      <c r="I4" s="22">
        <v>6.56</v>
      </c>
      <c r="J4" s="22">
        <v>6.56</v>
      </c>
      <c r="K4" s="16"/>
    </row>
    <row r="5" spans="1:22" x14ac:dyDescent="0.2">
      <c r="A5" s="16" t="s">
        <v>332</v>
      </c>
      <c r="B5" s="16">
        <v>21</v>
      </c>
      <c r="C5" s="16">
        <v>4</v>
      </c>
      <c r="D5" s="415">
        <v>7.7</v>
      </c>
      <c r="E5" s="415">
        <v>7.7</v>
      </c>
      <c r="F5" s="415">
        <v>8.1999999999999993</v>
      </c>
      <c r="G5" s="22">
        <v>8.1999999999999993</v>
      </c>
      <c r="H5" s="22">
        <v>8.1999999999999993</v>
      </c>
      <c r="I5" s="22">
        <v>8.36</v>
      </c>
      <c r="J5" s="22">
        <v>8.36</v>
      </c>
      <c r="K5" s="16"/>
    </row>
    <row r="6" spans="1:22" x14ac:dyDescent="0.2">
      <c r="A6" s="16" t="s">
        <v>333</v>
      </c>
      <c r="B6" s="16">
        <v>23</v>
      </c>
      <c r="C6" s="16">
        <v>5</v>
      </c>
      <c r="D6" s="415">
        <v>7.7</v>
      </c>
      <c r="E6" s="415">
        <v>7.7</v>
      </c>
      <c r="F6" s="415">
        <v>8.1999999999999993</v>
      </c>
      <c r="G6" s="22">
        <v>8.1999999999999993</v>
      </c>
      <c r="H6" s="22">
        <v>8.1999999999999993</v>
      </c>
      <c r="I6" s="22">
        <v>8.91</v>
      </c>
      <c r="J6" s="22">
        <v>8.91</v>
      </c>
      <c r="K6" s="16"/>
    </row>
    <row r="7" spans="1:22" x14ac:dyDescent="0.2">
      <c r="A7" s="16" t="s">
        <v>334</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335</v>
      </c>
      <c r="B8" s="16" t="s">
        <v>100</v>
      </c>
      <c r="C8" s="16">
        <v>7</v>
      </c>
      <c r="D8" s="416">
        <v>8.75</v>
      </c>
      <c r="E8" s="416">
        <v>8.75</v>
      </c>
      <c r="F8" s="416">
        <v>8.92</v>
      </c>
      <c r="G8" s="331">
        <v>9.42</v>
      </c>
      <c r="H8" s="331">
        <v>9.42</v>
      </c>
      <c r="I8" s="331">
        <v>9.6300000000000008</v>
      </c>
      <c r="J8" s="331">
        <v>9.6999999999999993</v>
      </c>
      <c r="K8" s="16" t="s">
        <v>336</v>
      </c>
      <c r="T8" s="12"/>
      <c r="U8" s="12"/>
      <c r="V8" s="12"/>
    </row>
    <row r="9" spans="1:22" x14ac:dyDescent="0.2">
      <c r="A9" s="16" t="s">
        <v>337</v>
      </c>
      <c r="B9" s="16" t="s">
        <v>100</v>
      </c>
      <c r="C9" s="16">
        <v>8</v>
      </c>
      <c r="D9" s="416">
        <v>8.92</v>
      </c>
      <c r="E9" s="416">
        <v>8.92</v>
      </c>
      <c r="F9" s="416">
        <v>8.92</v>
      </c>
      <c r="G9" s="331">
        <v>9.59</v>
      </c>
      <c r="H9" s="331">
        <v>9.59</v>
      </c>
      <c r="I9" s="331">
        <v>9.6999999999999993</v>
      </c>
      <c r="J9" s="331">
        <v>9.8699999999999992</v>
      </c>
      <c r="K9" s="16" t="s">
        <v>338</v>
      </c>
    </row>
    <row r="10" spans="1:22" x14ac:dyDescent="0.2">
      <c r="A10" s="16" t="s">
        <v>339</v>
      </c>
      <c r="B10" s="16" t="s">
        <v>100</v>
      </c>
      <c r="C10" s="16">
        <v>9</v>
      </c>
      <c r="D10" s="416">
        <v>9.59</v>
      </c>
      <c r="E10" s="416">
        <v>9.59</v>
      </c>
      <c r="F10" s="416">
        <v>9.59</v>
      </c>
      <c r="G10" s="331">
        <v>9.9700000000000006</v>
      </c>
      <c r="H10" s="331">
        <v>9.9700000000000006</v>
      </c>
      <c r="I10" s="331">
        <v>9.9700000000000006</v>
      </c>
      <c r="J10" s="331">
        <v>10.23</v>
      </c>
      <c r="K10" s="16" t="s">
        <v>340</v>
      </c>
    </row>
    <row r="11" spans="1:22" x14ac:dyDescent="0.2">
      <c r="A11" s="16" t="s">
        <v>341</v>
      </c>
      <c r="B11" s="16" t="s">
        <v>100</v>
      </c>
      <c r="C11" s="16">
        <v>10</v>
      </c>
      <c r="D11" s="416">
        <v>11.01</v>
      </c>
      <c r="E11" s="416">
        <v>11.01</v>
      </c>
      <c r="F11" s="416">
        <v>11.01</v>
      </c>
      <c r="G11" s="331">
        <v>11.01</v>
      </c>
      <c r="H11" s="331">
        <v>11.01</v>
      </c>
      <c r="I11" s="331">
        <v>11.01</v>
      </c>
      <c r="J11" s="331">
        <v>11.26</v>
      </c>
      <c r="K11" s="16"/>
    </row>
    <row r="12" spans="1:22" x14ac:dyDescent="0.2">
      <c r="A12" s="16" t="s">
        <v>342</v>
      </c>
      <c r="B12" s="16" t="s">
        <v>100</v>
      </c>
      <c r="C12" s="16">
        <v>11</v>
      </c>
      <c r="D12" s="416">
        <v>13.82</v>
      </c>
      <c r="E12" s="416">
        <v>13.82</v>
      </c>
      <c r="F12" s="416">
        <v>13.82</v>
      </c>
      <c r="G12" s="331">
        <v>13.82</v>
      </c>
      <c r="H12" s="331">
        <v>13.82</v>
      </c>
      <c r="I12" s="331">
        <v>13.82</v>
      </c>
      <c r="J12" s="331">
        <v>14.04</v>
      </c>
      <c r="K12" s="16"/>
    </row>
    <row r="13" spans="1:22" x14ac:dyDescent="0.2">
      <c r="A13" s="16" t="s">
        <v>343</v>
      </c>
      <c r="B13" s="16" t="s">
        <v>100</v>
      </c>
      <c r="C13" s="16">
        <v>12</v>
      </c>
      <c r="D13" s="416">
        <v>16.95</v>
      </c>
      <c r="E13" s="416">
        <v>16.95</v>
      </c>
      <c r="F13" s="416">
        <v>16.95</v>
      </c>
      <c r="G13" s="331">
        <v>16.95</v>
      </c>
      <c r="H13" s="331">
        <v>16.95</v>
      </c>
      <c r="I13" s="331">
        <v>16.95</v>
      </c>
      <c r="J13" s="331">
        <v>17.21</v>
      </c>
      <c r="K13" s="16"/>
    </row>
    <row r="14" spans="1:22" x14ac:dyDescent="0.2">
      <c r="A14" s="16" t="s">
        <v>344</v>
      </c>
      <c r="B14" s="16" t="s">
        <v>100</v>
      </c>
      <c r="C14" s="16">
        <v>13</v>
      </c>
      <c r="D14" s="416">
        <v>18.52</v>
      </c>
      <c r="E14" s="416">
        <v>18.52</v>
      </c>
      <c r="F14" s="416">
        <v>18.52</v>
      </c>
      <c r="G14" s="331">
        <v>18.52</v>
      </c>
      <c r="H14" s="331">
        <v>18.52</v>
      </c>
      <c r="I14" s="331">
        <v>18.52</v>
      </c>
      <c r="J14" s="331">
        <v>18.8</v>
      </c>
      <c r="K14" s="16"/>
    </row>
    <row r="15" spans="1:22" x14ac:dyDescent="0.2">
      <c r="A15" s="16" t="s">
        <v>345</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346</v>
      </c>
      <c r="B16" s="16" t="s">
        <v>100</v>
      </c>
      <c r="C16" s="16">
        <v>15</v>
      </c>
      <c r="D16" s="417">
        <v>8.75</v>
      </c>
      <c r="E16" s="417">
        <v>8.92</v>
      </c>
      <c r="F16" s="417">
        <v>8.92</v>
      </c>
      <c r="G16" s="329">
        <v>8.92</v>
      </c>
      <c r="H16" s="329">
        <v>9.42</v>
      </c>
      <c r="I16" s="329">
        <v>9.6999999999999993</v>
      </c>
      <c r="J16" s="329">
        <v>9.8699999999999992</v>
      </c>
      <c r="K16" s="330" t="s">
        <v>347</v>
      </c>
      <c r="L16" s="49"/>
      <c r="M16" s="49"/>
      <c r="N16" s="49"/>
      <c r="O16" s="49"/>
    </row>
    <row r="17" spans="1:15" x14ac:dyDescent="0.2">
      <c r="A17" s="16" t="s">
        <v>348</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349</v>
      </c>
    </row>
    <row r="18" spans="1:15" x14ac:dyDescent="0.2">
      <c r="A18" s="16" t="s">
        <v>350</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351</v>
      </c>
      <c r="B19" s="16" t="s">
        <v>100</v>
      </c>
      <c r="C19" s="16">
        <v>18</v>
      </c>
      <c r="D19" s="418">
        <v>9.42</v>
      </c>
      <c r="E19" s="418">
        <v>9.42</v>
      </c>
      <c r="F19" s="418">
        <v>9.42</v>
      </c>
      <c r="G19" s="332">
        <v>9.59</v>
      </c>
      <c r="H19" s="332">
        <v>9.59</v>
      </c>
      <c r="I19" s="332">
        <v>9.6999999999999993</v>
      </c>
      <c r="J19" s="331">
        <v>9.8699999999999992</v>
      </c>
      <c r="K19" s="16" t="s">
        <v>352</v>
      </c>
    </row>
    <row r="20" spans="1:15" x14ac:dyDescent="0.2">
      <c r="A20" s="16" t="s">
        <v>353</v>
      </c>
      <c r="B20" s="16" t="s">
        <v>100</v>
      </c>
      <c r="C20" s="16">
        <v>19</v>
      </c>
      <c r="D20" s="418">
        <v>12.65</v>
      </c>
      <c r="E20" s="418">
        <v>12.65</v>
      </c>
      <c r="F20" s="418">
        <v>12.65</v>
      </c>
      <c r="G20" s="332">
        <v>12.65</v>
      </c>
      <c r="H20" s="332">
        <v>12.65</v>
      </c>
      <c r="I20" s="332">
        <v>12.65</v>
      </c>
      <c r="J20" s="332">
        <v>12.88</v>
      </c>
      <c r="K20" s="16" t="s">
        <v>354</v>
      </c>
    </row>
    <row r="21" spans="1:15" x14ac:dyDescent="0.2">
      <c r="A21" s="16" t="s">
        <v>355</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356</v>
      </c>
    </row>
    <row r="22" spans="1:15" x14ac:dyDescent="0.2">
      <c r="A22" s="16" t="s">
        <v>357</v>
      </c>
      <c r="B22" s="16" t="s">
        <v>100</v>
      </c>
      <c r="C22" s="16">
        <v>21</v>
      </c>
      <c r="D22" s="418">
        <v>9.08</v>
      </c>
      <c r="E22" s="418">
        <v>9.08</v>
      </c>
      <c r="F22" s="418">
        <v>9.42</v>
      </c>
      <c r="G22" s="332">
        <v>9.42</v>
      </c>
      <c r="H22" s="332">
        <v>9.42</v>
      </c>
      <c r="I22" s="332">
        <v>9.6300000000000008</v>
      </c>
      <c r="J22" s="331">
        <v>9.6999999999999993</v>
      </c>
      <c r="K22" s="16" t="s">
        <v>358</v>
      </c>
    </row>
    <row r="23" spans="1:15" x14ac:dyDescent="0.2">
      <c r="A23" s="16" t="s">
        <v>359</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356</v>
      </c>
    </row>
    <row r="24" spans="1:15" x14ac:dyDescent="0.2">
      <c r="A24" s="16" t="s">
        <v>360</v>
      </c>
      <c r="B24" s="16" t="s">
        <v>100</v>
      </c>
      <c r="C24" s="16">
        <v>23</v>
      </c>
      <c r="D24" s="418">
        <v>9.42</v>
      </c>
      <c r="E24" s="418">
        <v>9.42</v>
      </c>
      <c r="F24" s="418">
        <v>9.42</v>
      </c>
      <c r="G24" s="332">
        <v>9.42</v>
      </c>
      <c r="H24" s="332">
        <v>9.42</v>
      </c>
      <c r="I24" s="332">
        <v>9.6300000000000008</v>
      </c>
      <c r="J24" s="331">
        <v>9.6999999999999993</v>
      </c>
      <c r="K24" s="16" t="s">
        <v>358</v>
      </c>
    </row>
    <row r="25" spans="1:15" x14ac:dyDescent="0.2">
      <c r="A25" s="16" t="s">
        <v>361</v>
      </c>
      <c r="B25" s="16" t="s">
        <v>100</v>
      </c>
      <c r="C25" s="16">
        <v>24</v>
      </c>
      <c r="D25" s="417">
        <f>D10</f>
        <v>9.59</v>
      </c>
      <c r="E25" s="417">
        <f>E10</f>
        <v>9.59</v>
      </c>
      <c r="F25" s="417">
        <f>F10</f>
        <v>9.59</v>
      </c>
      <c r="G25" s="329">
        <v>9.59</v>
      </c>
      <c r="H25" s="329">
        <v>9.59</v>
      </c>
      <c r="I25" s="329">
        <v>9.6999999999999993</v>
      </c>
      <c r="J25" s="329">
        <v>9.8699999999999992</v>
      </c>
      <c r="K25" s="16" t="s">
        <v>362</v>
      </c>
    </row>
    <row r="26" spans="1:15" x14ac:dyDescent="0.2">
      <c r="A26" s="16" t="s">
        <v>363</v>
      </c>
      <c r="B26" s="16" t="s">
        <v>100</v>
      </c>
      <c r="C26" s="16">
        <v>25</v>
      </c>
      <c r="D26" s="418">
        <v>11.31</v>
      </c>
      <c r="E26" s="418">
        <v>11.31</v>
      </c>
      <c r="F26" s="418">
        <v>11.31</v>
      </c>
      <c r="G26" s="332">
        <v>11.31</v>
      </c>
      <c r="H26" s="332">
        <v>11.31</v>
      </c>
      <c r="I26" s="332">
        <v>11.31</v>
      </c>
      <c r="J26" s="332">
        <v>11.55</v>
      </c>
      <c r="K26" s="16" t="s">
        <v>364</v>
      </c>
    </row>
    <row r="27" spans="1:15" x14ac:dyDescent="0.2">
      <c r="A27" s="16" t="s">
        <v>365</v>
      </c>
      <c r="B27" s="16" t="s">
        <v>100</v>
      </c>
      <c r="C27" s="16">
        <v>26</v>
      </c>
      <c r="D27" s="418">
        <v>21.45</v>
      </c>
      <c r="E27" s="418">
        <v>21.45</v>
      </c>
      <c r="F27" s="418">
        <v>21.45</v>
      </c>
      <c r="G27" s="332">
        <v>21.45</v>
      </c>
      <c r="H27" s="332">
        <v>21.45</v>
      </c>
      <c r="I27" s="332">
        <v>21.45</v>
      </c>
      <c r="J27" s="332">
        <v>21.77</v>
      </c>
      <c r="K27" s="16" t="s">
        <v>366</v>
      </c>
    </row>
    <row r="28" spans="1:15" x14ac:dyDescent="0.2">
      <c r="A28" s="16" t="s">
        <v>367</v>
      </c>
      <c r="B28" s="16" t="s">
        <v>100</v>
      </c>
      <c r="C28" s="16">
        <v>27</v>
      </c>
      <c r="D28" s="418">
        <v>13.03</v>
      </c>
      <c r="E28" s="418">
        <v>13.03</v>
      </c>
      <c r="F28" s="418">
        <v>13.03</v>
      </c>
      <c r="G28" s="332">
        <v>13.03</v>
      </c>
      <c r="H28" s="332">
        <v>13.03</v>
      </c>
      <c r="I28" s="332">
        <v>13.03</v>
      </c>
      <c r="J28" s="332">
        <v>13.25</v>
      </c>
      <c r="K28" s="16" t="s">
        <v>368</v>
      </c>
    </row>
    <row r="29" spans="1:15" x14ac:dyDescent="0.2">
      <c r="A29" s="16" t="s">
        <v>369</v>
      </c>
      <c r="B29" s="16" t="s">
        <v>100</v>
      </c>
      <c r="C29" s="16">
        <v>28</v>
      </c>
      <c r="D29" s="416">
        <v>8.75</v>
      </c>
      <c r="E29" s="416">
        <v>8.75</v>
      </c>
      <c r="F29" s="416">
        <v>8.92</v>
      </c>
      <c r="G29" s="331">
        <v>9.59</v>
      </c>
      <c r="H29" s="331">
        <v>9.59</v>
      </c>
      <c r="I29" s="331">
        <v>9.6999999999999993</v>
      </c>
      <c r="J29" s="331">
        <v>9.6999999999999993</v>
      </c>
      <c r="K29" s="330" t="s">
        <v>370</v>
      </c>
    </row>
    <row r="30" spans="1:15" x14ac:dyDescent="0.2">
      <c r="A30" s="16" t="s">
        <v>371</v>
      </c>
      <c r="B30" s="16" t="s">
        <v>100</v>
      </c>
      <c r="C30" s="16">
        <v>29</v>
      </c>
      <c r="D30" s="416">
        <v>8.92</v>
      </c>
      <c r="E30" s="416">
        <v>8.92</v>
      </c>
      <c r="F30" s="416">
        <v>9.42</v>
      </c>
      <c r="G30" s="331">
        <v>9.77</v>
      </c>
      <c r="H30" s="331">
        <v>10.19</v>
      </c>
      <c r="I30" s="331">
        <v>10.19</v>
      </c>
      <c r="J30" s="331">
        <v>10.45</v>
      </c>
      <c r="K30" s="16" t="s">
        <v>372</v>
      </c>
    </row>
    <row r="31" spans="1:15" x14ac:dyDescent="0.2">
      <c r="A31" s="16" t="s">
        <v>373</v>
      </c>
      <c r="B31" s="16" t="s">
        <v>100</v>
      </c>
      <c r="C31" s="16">
        <v>30</v>
      </c>
      <c r="D31" s="416">
        <v>13.03</v>
      </c>
      <c r="E31" s="416">
        <v>13.03</v>
      </c>
      <c r="F31" s="416">
        <v>13.03</v>
      </c>
      <c r="G31" s="331">
        <v>13.03</v>
      </c>
      <c r="H31" s="331">
        <v>13.03</v>
      </c>
      <c r="I31" s="331">
        <v>13.03</v>
      </c>
      <c r="J31" s="332">
        <v>13.25</v>
      </c>
      <c r="K31" s="16" t="s">
        <v>368</v>
      </c>
    </row>
    <row r="32" spans="1:15" x14ac:dyDescent="0.2">
      <c r="A32" s="16" t="s">
        <v>350</v>
      </c>
      <c r="B32" s="16" t="s">
        <v>100</v>
      </c>
      <c r="C32" s="16">
        <v>31</v>
      </c>
      <c r="D32" s="416">
        <v>0</v>
      </c>
      <c r="E32" s="416">
        <v>0</v>
      </c>
      <c r="F32" s="416">
        <v>0</v>
      </c>
      <c r="G32" s="331">
        <v>0</v>
      </c>
      <c r="H32" s="331">
        <v>0</v>
      </c>
      <c r="I32" s="331">
        <v>0</v>
      </c>
      <c r="J32" s="331">
        <v>0</v>
      </c>
      <c r="K32" s="16"/>
    </row>
    <row r="33" spans="1:11" x14ac:dyDescent="0.2">
      <c r="A33" s="16" t="s">
        <v>350</v>
      </c>
      <c r="B33" s="16" t="s">
        <v>100</v>
      </c>
      <c r="C33" s="16">
        <v>32</v>
      </c>
      <c r="D33" s="416">
        <v>0</v>
      </c>
      <c r="E33" s="416">
        <v>0</v>
      </c>
      <c r="F33" s="416">
        <v>0</v>
      </c>
      <c r="G33" s="331">
        <v>0</v>
      </c>
      <c r="H33" s="331">
        <v>0</v>
      </c>
      <c r="I33" s="331">
        <v>0</v>
      </c>
      <c r="J33" s="331">
        <v>0</v>
      </c>
      <c r="K33" s="16"/>
    </row>
    <row r="34" spans="1:11" x14ac:dyDescent="0.2">
      <c r="A34" s="16" t="s">
        <v>350</v>
      </c>
      <c r="B34" s="16" t="s">
        <v>100</v>
      </c>
      <c r="C34" s="16">
        <v>33</v>
      </c>
      <c r="D34" s="416">
        <v>0</v>
      </c>
      <c r="E34" s="416">
        <v>0</v>
      </c>
      <c r="F34" s="416">
        <v>0</v>
      </c>
      <c r="G34" s="331">
        <v>0</v>
      </c>
      <c r="H34" s="331">
        <v>0</v>
      </c>
      <c r="I34" s="331">
        <v>0</v>
      </c>
      <c r="J34" s="331">
        <v>0</v>
      </c>
      <c r="K34" s="16"/>
    </row>
    <row r="35" spans="1:11" x14ac:dyDescent="0.2">
      <c r="A35" s="16" t="s">
        <v>350</v>
      </c>
      <c r="B35" s="16" t="s">
        <v>100</v>
      </c>
      <c r="C35" s="16">
        <v>34</v>
      </c>
      <c r="D35" s="416">
        <v>0</v>
      </c>
      <c r="E35" s="416">
        <v>0</v>
      </c>
      <c r="F35" s="416">
        <v>0</v>
      </c>
      <c r="G35" s="331">
        <v>0</v>
      </c>
      <c r="H35" s="331">
        <v>0</v>
      </c>
      <c r="I35" s="331">
        <v>0</v>
      </c>
      <c r="J35" s="331">
        <v>0</v>
      </c>
      <c r="K35" s="16"/>
    </row>
    <row r="36" spans="1:11" x14ac:dyDescent="0.2">
      <c r="A36" s="16" t="s">
        <v>374</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375</v>
      </c>
      <c r="B3" s="16"/>
      <c r="C3" s="16"/>
      <c r="D3" s="16"/>
      <c r="E3" s="17" t="s">
        <v>376</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377</v>
      </c>
      <c r="V3" s="16"/>
      <c r="W3" s="17" t="str">
        <f>A13</f>
        <v>Internship Third Sector</v>
      </c>
      <c r="X3" s="16"/>
      <c r="Y3" s="17" t="str">
        <f>A14</f>
        <v>Internship UoS</v>
      </c>
      <c r="Z3" s="16"/>
      <c r="AA3" s="17" t="s">
        <v>378</v>
      </c>
      <c r="AB3" s="16"/>
      <c r="AC3" s="17" t="str">
        <f>A16</f>
        <v>Lecturing</v>
      </c>
      <c r="AD3" s="16"/>
      <c r="AE3" s="17" t="str">
        <f>A17</f>
        <v>Library Work</v>
      </c>
      <c r="AF3" s="16"/>
      <c r="AG3" s="17" t="str">
        <f>A18</f>
        <v>Marking</v>
      </c>
      <c r="AH3" s="16"/>
      <c r="AI3" s="341" t="s">
        <v>379</v>
      </c>
      <c r="AJ3" s="17" t="s">
        <v>380</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381</v>
      </c>
      <c r="C5" s="24" t="s">
        <v>381</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382</v>
      </c>
      <c r="B6" s="16">
        <v>4011</v>
      </c>
      <c r="C6" s="16" t="s">
        <v>383</v>
      </c>
      <c r="D6" s="16"/>
      <c r="E6" s="16" t="s">
        <v>335</v>
      </c>
      <c r="F6" s="16"/>
      <c r="G6" s="16" t="s">
        <v>335</v>
      </c>
      <c r="H6" s="16"/>
      <c r="I6" s="16" t="s">
        <v>348</v>
      </c>
      <c r="J6" s="16"/>
      <c r="K6" s="16" t="s">
        <v>374</v>
      </c>
      <c r="L6" s="16"/>
      <c r="M6" s="16" t="s">
        <v>374</v>
      </c>
      <c r="N6" s="16"/>
      <c r="O6" s="16" t="s">
        <v>117</v>
      </c>
      <c r="P6" s="16"/>
      <c r="Q6" s="16" t="s">
        <v>335</v>
      </c>
      <c r="R6" s="16"/>
      <c r="S6" s="16" t="s">
        <v>351</v>
      </c>
      <c r="T6" s="16"/>
      <c r="U6" s="16" t="s">
        <v>117</v>
      </c>
      <c r="V6" s="16"/>
      <c r="W6" s="16" t="s">
        <v>346</v>
      </c>
      <c r="X6" s="16"/>
      <c r="Y6" s="16" t="s">
        <v>346</v>
      </c>
      <c r="Z6" s="16"/>
      <c r="AA6" s="16" t="s">
        <v>363</v>
      </c>
      <c r="AB6" s="16"/>
      <c r="AC6" s="16" t="s">
        <v>344</v>
      </c>
      <c r="AD6" s="16"/>
      <c r="AE6" s="16" t="s">
        <v>337</v>
      </c>
      <c r="AF6" s="16"/>
      <c r="AG6" s="16" t="s">
        <v>345</v>
      </c>
      <c r="AH6" s="16"/>
      <c r="AI6" s="16" t="s">
        <v>335</v>
      </c>
      <c r="AJ6" s="16" t="s">
        <v>335</v>
      </c>
      <c r="AK6" s="16" t="s">
        <v>335</v>
      </c>
      <c r="AL6" s="16"/>
      <c r="AM6" s="16" t="s">
        <v>335</v>
      </c>
      <c r="AN6" s="16"/>
      <c r="AO6" s="16" t="s">
        <v>345</v>
      </c>
      <c r="AP6" s="16"/>
      <c r="AQ6" s="335" t="s">
        <v>367</v>
      </c>
      <c r="AR6" s="16"/>
      <c r="AS6" s="16"/>
      <c r="AT6" s="16"/>
      <c r="AV6" s="16"/>
      <c r="AX6" s="16"/>
      <c r="AZ6" s="16"/>
      <c r="BB6" s="16"/>
      <c r="BC6" s="16"/>
    </row>
    <row r="7" spans="1:55" x14ac:dyDescent="0.2">
      <c r="A7" s="16" t="s">
        <v>384</v>
      </c>
      <c r="B7" s="16">
        <v>4006</v>
      </c>
      <c r="C7" s="16" t="s">
        <v>383</v>
      </c>
      <c r="D7" s="16"/>
      <c r="E7" s="16" t="s">
        <v>337</v>
      </c>
      <c r="F7" s="16"/>
      <c r="G7" s="16" t="s">
        <v>337</v>
      </c>
      <c r="H7" s="16"/>
      <c r="I7" s="16" t="s">
        <v>335</v>
      </c>
      <c r="J7" s="16"/>
      <c r="K7" s="16" t="s">
        <v>335</v>
      </c>
      <c r="L7" s="16"/>
      <c r="M7" s="16" t="s">
        <v>335</v>
      </c>
      <c r="N7" s="16"/>
      <c r="O7" s="16"/>
      <c r="P7" s="16"/>
      <c r="Q7" s="16" t="s">
        <v>117</v>
      </c>
      <c r="R7" s="16"/>
      <c r="S7" s="16" t="s">
        <v>353</v>
      </c>
      <c r="T7" s="16"/>
      <c r="U7" s="16"/>
      <c r="V7" s="16"/>
      <c r="W7" s="16" t="s">
        <v>117</v>
      </c>
      <c r="X7" s="16"/>
      <c r="Y7" s="16" t="s">
        <v>117</v>
      </c>
      <c r="Z7" s="16"/>
      <c r="AA7" s="16" t="s">
        <v>117</v>
      </c>
      <c r="AB7" s="16"/>
      <c r="AC7" s="16" t="s">
        <v>117</v>
      </c>
      <c r="AD7" s="16"/>
      <c r="AE7" s="16" t="s">
        <v>339</v>
      </c>
      <c r="AF7" s="16"/>
      <c r="AG7" s="16" t="s">
        <v>117</v>
      </c>
      <c r="AH7" s="16"/>
      <c r="AI7" s="16" t="s">
        <v>337</v>
      </c>
      <c r="AJ7" s="16" t="s">
        <v>337</v>
      </c>
      <c r="AK7" s="16" t="s">
        <v>337</v>
      </c>
      <c r="AL7" s="16"/>
      <c r="AM7" s="16" t="s">
        <v>337</v>
      </c>
      <c r="AN7" s="16"/>
      <c r="AO7" s="16" t="s">
        <v>117</v>
      </c>
      <c r="AP7" s="16"/>
      <c r="AQ7" s="16" t="s">
        <v>355</v>
      </c>
      <c r="AR7" s="16"/>
      <c r="AT7" s="16"/>
      <c r="AV7" s="16"/>
      <c r="AX7" s="16"/>
      <c r="AZ7" s="16"/>
      <c r="BB7" s="16"/>
      <c r="BC7" s="16"/>
    </row>
    <row r="8" spans="1:55" x14ac:dyDescent="0.2">
      <c r="A8" s="16" t="s">
        <v>385</v>
      </c>
      <c r="B8" s="16">
        <v>4012</v>
      </c>
      <c r="C8" s="16" t="s">
        <v>383</v>
      </c>
      <c r="D8" s="19"/>
      <c r="E8" s="16" t="s">
        <v>339</v>
      </c>
      <c r="F8" s="16"/>
      <c r="G8" s="16" t="s">
        <v>339</v>
      </c>
      <c r="H8" s="16"/>
      <c r="I8" s="16" t="s">
        <v>337</v>
      </c>
      <c r="J8" s="16"/>
      <c r="K8" s="16" t="s">
        <v>337</v>
      </c>
      <c r="L8" s="16"/>
      <c r="M8" s="16" t="s">
        <v>337</v>
      </c>
      <c r="N8" s="16"/>
      <c r="O8" s="16"/>
      <c r="P8" s="16"/>
      <c r="Q8" s="16"/>
      <c r="R8" s="16"/>
      <c r="S8" s="16" t="s">
        <v>117</v>
      </c>
      <c r="T8" s="16"/>
      <c r="U8" s="16"/>
      <c r="V8" s="16"/>
      <c r="X8" s="16"/>
      <c r="Y8" s="16"/>
      <c r="Z8" s="16"/>
      <c r="AA8" s="16"/>
      <c r="AB8" s="16"/>
      <c r="AC8" s="16"/>
      <c r="AD8" s="16"/>
      <c r="AE8" s="16" t="s">
        <v>341</v>
      </c>
      <c r="AF8" s="16"/>
      <c r="AG8" s="16"/>
      <c r="AH8" s="16"/>
      <c r="AI8" s="16" t="s">
        <v>339</v>
      </c>
      <c r="AJ8" s="16" t="s">
        <v>339</v>
      </c>
      <c r="AK8" s="16" t="s">
        <v>339</v>
      </c>
      <c r="AL8" s="16"/>
      <c r="AM8" s="16" t="s">
        <v>339</v>
      </c>
      <c r="AN8" s="16"/>
      <c r="AO8" s="16"/>
      <c r="AP8" s="16"/>
      <c r="AQ8" s="16" t="s">
        <v>361</v>
      </c>
      <c r="AR8" s="16"/>
      <c r="AT8" s="16"/>
      <c r="AV8" s="16"/>
      <c r="AW8" s="16"/>
      <c r="AX8" s="16"/>
      <c r="AZ8" s="16"/>
      <c r="BA8" s="16"/>
      <c r="BB8" s="16"/>
      <c r="BC8" s="16"/>
    </row>
    <row r="9" spans="1:55" x14ac:dyDescent="0.2">
      <c r="A9" s="16" t="s">
        <v>386</v>
      </c>
      <c r="B9" s="16">
        <v>4013</v>
      </c>
      <c r="C9" s="16" t="s">
        <v>383</v>
      </c>
      <c r="D9" s="19"/>
      <c r="E9" s="16" t="s">
        <v>341</v>
      </c>
      <c r="F9" s="16"/>
      <c r="G9" s="16" t="s">
        <v>341</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342</v>
      </c>
      <c r="AF9" s="16"/>
      <c r="AG9" s="16"/>
      <c r="AH9" s="16"/>
      <c r="AI9" s="16" t="s">
        <v>341</v>
      </c>
      <c r="AJ9" s="16" t="s">
        <v>341</v>
      </c>
      <c r="AK9" s="16" t="s">
        <v>341</v>
      </c>
      <c r="AL9" s="16"/>
      <c r="AM9" s="16" t="s">
        <v>341</v>
      </c>
      <c r="AN9" s="16"/>
      <c r="AO9" s="16"/>
      <c r="AP9" s="16"/>
      <c r="AQ9" s="16" t="s">
        <v>369</v>
      </c>
      <c r="AR9" s="16"/>
      <c r="AT9" s="16"/>
      <c r="AV9" s="16"/>
      <c r="AW9" s="16"/>
      <c r="AX9" s="16"/>
      <c r="AZ9" s="16"/>
      <c r="BA9" s="16"/>
      <c r="BB9" s="16"/>
      <c r="BC9" s="16"/>
    </row>
    <row r="10" spans="1:55" x14ac:dyDescent="0.2">
      <c r="A10" s="16" t="s">
        <v>387</v>
      </c>
      <c r="B10" s="16">
        <v>4005</v>
      </c>
      <c r="C10" s="16" t="s">
        <v>383</v>
      </c>
      <c r="D10" s="19"/>
      <c r="E10" s="16" t="s">
        <v>342</v>
      </c>
      <c r="F10" s="16"/>
      <c r="G10" s="16" t="s">
        <v>342</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342</v>
      </c>
      <c r="AJ10" s="16" t="s">
        <v>342</v>
      </c>
      <c r="AK10" s="16" t="s">
        <v>342</v>
      </c>
      <c r="AL10" s="16"/>
      <c r="AM10" s="16" t="s">
        <v>342</v>
      </c>
      <c r="AN10" s="16"/>
      <c r="AO10" s="16"/>
      <c r="AP10" s="16"/>
      <c r="AQ10" s="335" t="s">
        <v>371</v>
      </c>
      <c r="AR10" s="16"/>
      <c r="AS10" s="16"/>
      <c r="AT10" s="16"/>
      <c r="AV10" s="16"/>
      <c r="AW10" s="16"/>
      <c r="AX10" s="16"/>
      <c r="AZ10" s="16"/>
      <c r="BA10" s="16"/>
      <c r="BB10" s="16"/>
      <c r="BC10" s="16"/>
    </row>
    <row r="11" spans="1:55" x14ac:dyDescent="0.2">
      <c r="A11" s="16" t="s">
        <v>388</v>
      </c>
      <c r="B11" s="16">
        <v>4007</v>
      </c>
      <c r="C11" s="16" t="s">
        <v>383</v>
      </c>
      <c r="D11" s="19"/>
      <c r="E11" s="16" t="s">
        <v>343</v>
      </c>
      <c r="F11" s="16"/>
      <c r="G11" s="16" t="s">
        <v>343</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343</v>
      </c>
      <c r="AJ11" s="16" t="s">
        <v>343</v>
      </c>
      <c r="AK11" s="16" t="s">
        <v>343</v>
      </c>
      <c r="AL11" s="16"/>
      <c r="AM11" s="16" t="s">
        <v>117</v>
      </c>
      <c r="AN11" s="16"/>
      <c r="AO11" s="16"/>
      <c r="AP11" s="16"/>
      <c r="AQ11" s="16" t="s">
        <v>360</v>
      </c>
      <c r="AR11" s="16"/>
      <c r="AS11" s="16"/>
      <c r="AT11" s="16"/>
      <c r="AV11" s="16"/>
      <c r="AW11" s="16"/>
      <c r="AX11" s="16"/>
      <c r="AZ11" s="16"/>
      <c r="BA11" s="16"/>
      <c r="BB11" s="16"/>
      <c r="BC11" s="16"/>
    </row>
    <row r="12" spans="1:55" x14ac:dyDescent="0.2">
      <c r="A12" s="16" t="s">
        <v>389</v>
      </c>
      <c r="B12" s="16">
        <v>4016</v>
      </c>
      <c r="C12" s="16" t="s">
        <v>390</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365</v>
      </c>
      <c r="AJ12" s="16" t="s">
        <v>365</v>
      </c>
      <c r="AK12" s="16" t="s">
        <v>345</v>
      </c>
      <c r="AL12" s="16"/>
      <c r="AM12" s="16"/>
      <c r="AN12" s="16"/>
      <c r="AO12" s="16"/>
      <c r="AP12" s="16"/>
      <c r="AQ12" s="16" t="s">
        <v>357</v>
      </c>
      <c r="AR12" s="16"/>
      <c r="AS12" s="16"/>
      <c r="AT12" s="16"/>
      <c r="AU12" s="16"/>
      <c r="AV12" s="16"/>
      <c r="AW12" s="16"/>
      <c r="AX12" s="16"/>
      <c r="AZ12" s="16"/>
      <c r="BA12" s="16"/>
      <c r="BB12" s="16"/>
      <c r="BC12" s="16"/>
    </row>
    <row r="13" spans="1:55" x14ac:dyDescent="0.2">
      <c r="A13" s="16" t="s">
        <v>391</v>
      </c>
      <c r="B13" s="16">
        <v>4040</v>
      </c>
      <c r="C13" s="16" t="s">
        <v>392</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359</v>
      </c>
      <c r="AR13" s="16"/>
      <c r="AS13" s="16"/>
      <c r="AT13" s="16"/>
      <c r="AU13" s="16"/>
      <c r="AV13" s="16"/>
      <c r="AW13" s="16"/>
      <c r="AX13" s="16"/>
      <c r="AY13" s="16"/>
      <c r="AZ13" s="16"/>
      <c r="BA13" s="16"/>
      <c r="BB13" s="16"/>
      <c r="BC13" s="16"/>
    </row>
    <row r="14" spans="1:55" x14ac:dyDescent="0.2">
      <c r="A14" s="16" t="s">
        <v>393</v>
      </c>
      <c r="B14" s="16">
        <v>4040</v>
      </c>
      <c r="C14" s="16" t="s">
        <v>392</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373</v>
      </c>
      <c r="AR14" s="16"/>
      <c r="AS14" s="16"/>
      <c r="AT14" s="16"/>
      <c r="AU14" s="16"/>
      <c r="AV14" s="16"/>
      <c r="AW14" s="16"/>
      <c r="AX14" s="16"/>
      <c r="AY14" s="16"/>
      <c r="AZ14" s="16"/>
      <c r="BA14" s="16"/>
      <c r="BB14" s="16"/>
      <c r="BC14" s="16"/>
    </row>
    <row r="15" spans="1:55" x14ac:dyDescent="0.2">
      <c r="A15" s="16" t="s">
        <v>378</v>
      </c>
      <c r="B15" s="16">
        <v>4023</v>
      </c>
      <c r="C15" s="16" t="s">
        <v>383</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394</v>
      </c>
      <c r="B16" s="16">
        <v>4015</v>
      </c>
      <c r="C16" s="16" t="s">
        <v>383</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395</v>
      </c>
      <c r="B17" s="16">
        <v>4004</v>
      </c>
      <c r="C17" s="16" t="s">
        <v>383</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396</v>
      </c>
      <c r="B18" s="16">
        <v>4016</v>
      </c>
      <c r="C18" s="16" t="s">
        <v>383</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380</v>
      </c>
      <c r="B19" s="16">
        <v>4006</v>
      </c>
      <c r="C19" s="16" t="s">
        <v>383</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397</v>
      </c>
      <c r="B20" s="16">
        <v>4000</v>
      </c>
      <c r="C20" s="16" t="s">
        <v>383</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398</v>
      </c>
      <c r="B21" s="16">
        <v>4005</v>
      </c>
      <c r="C21" s="16" t="s">
        <v>383</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399</v>
      </c>
      <c r="B22" s="16">
        <v>4009</v>
      </c>
      <c r="C22" s="16" t="s">
        <v>383</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400</v>
      </c>
      <c r="B23" s="16">
        <v>4019</v>
      </c>
      <c r="C23" s="16" t="s">
        <v>383</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401</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381</v>
      </c>
      <c r="C32" s="24" t="s">
        <v>381</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387</v>
      </c>
      <c r="B33" s="16">
        <v>4114</v>
      </c>
      <c r="C33" s="16" t="s">
        <v>383</v>
      </c>
      <c r="G33" s="16"/>
      <c r="H33" s="16"/>
      <c r="I33" s="16"/>
      <c r="K33" s="16"/>
      <c r="S33" s="16"/>
      <c r="AN33" s="16"/>
      <c r="AP33" s="16"/>
      <c r="AR33" s="16"/>
    </row>
    <row r="34" spans="1:44" x14ac:dyDescent="0.2">
      <c r="A34" s="16" t="s">
        <v>394</v>
      </c>
      <c r="B34" s="16">
        <v>4015</v>
      </c>
      <c r="C34" s="16" t="s">
        <v>383</v>
      </c>
      <c r="G34" s="16"/>
      <c r="H34" s="16"/>
      <c r="I34" s="16"/>
      <c r="K34" s="16"/>
      <c r="AP34" s="16"/>
      <c r="AR34" s="16"/>
    </row>
    <row r="35" spans="1:44" x14ac:dyDescent="0.2">
      <c r="A35" s="16" t="s">
        <v>396</v>
      </c>
      <c r="B35" s="16">
        <v>4106</v>
      </c>
      <c r="C35" s="16" t="s">
        <v>383</v>
      </c>
      <c r="I35" s="16"/>
      <c r="AP35" s="16"/>
    </row>
    <row r="36" spans="1:44" x14ac:dyDescent="0.2">
      <c r="A36" s="16" t="s">
        <v>402</v>
      </c>
      <c r="B36" s="16">
        <v>4112</v>
      </c>
      <c r="C36" s="16" t="s">
        <v>383</v>
      </c>
      <c r="I36" s="16"/>
    </row>
    <row r="37" spans="1:44" x14ac:dyDescent="0.2">
      <c r="A37" s="16" t="s">
        <v>403</v>
      </c>
      <c r="B37" s="16">
        <v>4106</v>
      </c>
      <c r="C37" s="16" t="s">
        <v>383</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215</v>
      </c>
      <c r="B1" s="338" t="s">
        <v>404</v>
      </c>
      <c r="C1" s="338" t="s">
        <v>405</v>
      </c>
      <c r="D1" s="338" t="s">
        <v>406</v>
      </c>
      <c r="E1" s="338" t="s">
        <v>407</v>
      </c>
      <c r="F1" s="338" t="s">
        <v>408</v>
      </c>
      <c r="G1" s="338" t="s">
        <v>351</v>
      </c>
    </row>
    <row r="2" spans="1:7" s="338" customFormat="1" x14ac:dyDescent="0.2">
      <c r="A2" s="339" t="s">
        <v>409</v>
      </c>
      <c r="B2" s="339" t="s">
        <v>410</v>
      </c>
      <c r="C2" s="339" t="s">
        <v>411</v>
      </c>
      <c r="D2" s="339"/>
      <c r="E2" s="339"/>
      <c r="F2" s="339"/>
    </row>
    <row r="3" spans="1:7" x14ac:dyDescent="0.2">
      <c r="A3" t="s">
        <v>412</v>
      </c>
      <c r="C3" t="s">
        <v>413</v>
      </c>
      <c r="D3" t="s">
        <v>414</v>
      </c>
      <c r="E3" t="s">
        <v>415</v>
      </c>
      <c r="F3" t="s">
        <v>416</v>
      </c>
    </row>
    <row r="4" spans="1:7" x14ac:dyDescent="0.2">
      <c r="A4" t="s">
        <v>412</v>
      </c>
      <c r="B4" t="s">
        <v>417</v>
      </c>
      <c r="C4" t="s">
        <v>418</v>
      </c>
      <c r="D4" t="s">
        <v>419</v>
      </c>
      <c r="E4" t="s">
        <v>420</v>
      </c>
      <c r="F4" t="s">
        <v>421</v>
      </c>
    </row>
    <row r="5" spans="1:7" x14ac:dyDescent="0.2">
      <c r="A5" t="s">
        <v>412</v>
      </c>
      <c r="B5" t="s">
        <v>422</v>
      </c>
      <c r="C5" t="s">
        <v>423</v>
      </c>
      <c r="D5" t="s">
        <v>424</v>
      </c>
      <c r="E5" t="s">
        <v>425</v>
      </c>
      <c r="F5" t="s">
        <v>426</v>
      </c>
    </row>
    <row r="6" spans="1:7" x14ac:dyDescent="0.2">
      <c r="A6" t="s">
        <v>412</v>
      </c>
      <c r="B6" s="350" t="s">
        <v>427</v>
      </c>
      <c r="C6" t="s">
        <v>428</v>
      </c>
      <c r="D6" t="s">
        <v>429</v>
      </c>
      <c r="E6" t="s">
        <v>430</v>
      </c>
      <c r="F6" t="s">
        <v>431</v>
      </c>
    </row>
    <row r="7" spans="1:7" x14ac:dyDescent="0.2">
      <c r="A7" t="s">
        <v>412</v>
      </c>
      <c r="B7" s="350" t="s">
        <v>432</v>
      </c>
      <c r="C7" t="s">
        <v>433</v>
      </c>
      <c r="D7" t="s">
        <v>434</v>
      </c>
      <c r="E7" t="s">
        <v>435</v>
      </c>
      <c r="F7" t="s">
        <v>436</v>
      </c>
    </row>
    <row r="8" spans="1:7" x14ac:dyDescent="0.2">
      <c r="A8" t="s">
        <v>412</v>
      </c>
      <c r="B8" s="350" t="s">
        <v>437</v>
      </c>
      <c r="C8" t="s">
        <v>438</v>
      </c>
      <c r="D8" t="s">
        <v>439</v>
      </c>
      <c r="E8" t="s">
        <v>440</v>
      </c>
      <c r="F8" t="s">
        <v>441</v>
      </c>
    </row>
    <row r="9" spans="1:7" x14ac:dyDescent="0.2">
      <c r="A9" t="s">
        <v>412</v>
      </c>
      <c r="B9" s="350" t="s">
        <v>442</v>
      </c>
      <c r="C9" t="s">
        <v>443</v>
      </c>
      <c r="D9" t="s">
        <v>444</v>
      </c>
      <c r="E9" t="s">
        <v>445</v>
      </c>
      <c r="F9" t="s">
        <v>446</v>
      </c>
    </row>
    <row r="10" spans="1:7" x14ac:dyDescent="0.2">
      <c r="A10" t="s">
        <v>412</v>
      </c>
      <c r="B10" s="350" t="s">
        <v>447</v>
      </c>
      <c r="C10" t="s">
        <v>448</v>
      </c>
      <c r="D10" t="s">
        <v>449</v>
      </c>
      <c r="E10" t="s">
        <v>450</v>
      </c>
      <c r="F10" t="s">
        <v>451</v>
      </c>
    </row>
    <row r="11" spans="1:7" x14ac:dyDescent="0.2">
      <c r="A11" t="s">
        <v>412</v>
      </c>
      <c r="B11" s="350" t="s">
        <v>452</v>
      </c>
      <c r="C11" t="s">
        <v>453</v>
      </c>
      <c r="D11" t="s">
        <v>454</v>
      </c>
      <c r="E11" t="s">
        <v>455</v>
      </c>
      <c r="F11" t="s">
        <v>456</v>
      </c>
    </row>
    <row r="12" spans="1:7" x14ac:dyDescent="0.2">
      <c r="A12" t="s">
        <v>412</v>
      </c>
      <c r="B12" s="350" t="s">
        <v>457</v>
      </c>
      <c r="C12" t="s">
        <v>458</v>
      </c>
      <c r="D12" t="s">
        <v>459</v>
      </c>
      <c r="E12" t="s">
        <v>460</v>
      </c>
      <c r="F12" t="s">
        <v>461</v>
      </c>
    </row>
    <row r="13" spans="1:7" x14ac:dyDescent="0.2">
      <c r="A13" t="s">
        <v>412</v>
      </c>
      <c r="B13" t="s">
        <v>462</v>
      </c>
      <c r="C13" t="s">
        <v>463</v>
      </c>
      <c r="D13" t="s">
        <v>464</v>
      </c>
      <c r="E13" t="s">
        <v>465</v>
      </c>
      <c r="F13" t="s">
        <v>466</v>
      </c>
    </row>
    <row r="14" spans="1:7" x14ac:dyDescent="0.2">
      <c r="A14" t="s">
        <v>467</v>
      </c>
      <c r="C14" t="s">
        <v>468</v>
      </c>
      <c r="D14" t="s">
        <v>469</v>
      </c>
      <c r="E14" t="s">
        <v>470</v>
      </c>
      <c r="F14" t="s">
        <v>471</v>
      </c>
    </row>
    <row r="15" spans="1:7" x14ac:dyDescent="0.2">
      <c r="A15" t="s">
        <v>467</v>
      </c>
      <c r="B15" t="s">
        <v>472</v>
      </c>
      <c r="C15" t="s">
        <v>473</v>
      </c>
      <c r="D15" t="s">
        <v>474</v>
      </c>
      <c r="E15" t="s">
        <v>475</v>
      </c>
      <c r="F15" t="s">
        <v>476</v>
      </c>
    </row>
    <row r="16" spans="1:7" x14ac:dyDescent="0.2">
      <c r="A16" t="s">
        <v>467</v>
      </c>
      <c r="B16" t="s">
        <v>477</v>
      </c>
      <c r="C16" t="s">
        <v>478</v>
      </c>
      <c r="D16" t="s">
        <v>479</v>
      </c>
      <c r="E16" t="s">
        <v>480</v>
      </c>
      <c r="F16" t="s">
        <v>481</v>
      </c>
    </row>
    <row r="17" spans="1:6" x14ac:dyDescent="0.2">
      <c r="A17" t="s">
        <v>467</v>
      </c>
      <c r="B17" s="350" t="s">
        <v>482</v>
      </c>
      <c r="C17" t="s">
        <v>483</v>
      </c>
      <c r="D17" t="s">
        <v>484</v>
      </c>
      <c r="E17" t="s">
        <v>485</v>
      </c>
      <c r="F17" t="s">
        <v>486</v>
      </c>
    </row>
    <row r="18" spans="1:6" x14ac:dyDescent="0.2">
      <c r="A18" t="s">
        <v>467</v>
      </c>
      <c r="B18" s="350" t="s">
        <v>487</v>
      </c>
      <c r="C18" t="s">
        <v>488</v>
      </c>
      <c r="D18" t="s">
        <v>489</v>
      </c>
      <c r="E18" t="s">
        <v>490</v>
      </c>
      <c r="F18" t="s">
        <v>491</v>
      </c>
    </row>
    <row r="19" spans="1:6" x14ac:dyDescent="0.2">
      <c r="A19" t="s">
        <v>467</v>
      </c>
      <c r="B19" s="350" t="s">
        <v>492</v>
      </c>
      <c r="C19" t="s">
        <v>493</v>
      </c>
      <c r="D19" t="s">
        <v>494</v>
      </c>
      <c r="E19" t="s">
        <v>495</v>
      </c>
      <c r="F19" t="s">
        <v>496</v>
      </c>
    </row>
    <row r="20" spans="1:6" x14ac:dyDescent="0.2">
      <c r="A20" t="s">
        <v>467</v>
      </c>
      <c r="B20" s="350" t="s">
        <v>497</v>
      </c>
      <c r="C20" t="s">
        <v>498</v>
      </c>
      <c r="D20" t="s">
        <v>499</v>
      </c>
      <c r="E20" t="s">
        <v>500</v>
      </c>
      <c r="F20" t="s">
        <v>501</v>
      </c>
    </row>
    <row r="21" spans="1:6" x14ac:dyDescent="0.2">
      <c r="A21" t="s">
        <v>467</v>
      </c>
      <c r="B21" s="350" t="s">
        <v>502</v>
      </c>
      <c r="C21" t="s">
        <v>503</v>
      </c>
      <c r="D21" t="s">
        <v>504</v>
      </c>
      <c r="E21" t="s">
        <v>505</v>
      </c>
      <c r="F21" t="s">
        <v>506</v>
      </c>
    </row>
    <row r="22" spans="1:6" x14ac:dyDescent="0.2">
      <c r="A22" t="s">
        <v>467</v>
      </c>
      <c r="B22" t="s">
        <v>507</v>
      </c>
      <c r="C22" t="s">
        <v>508</v>
      </c>
      <c r="D22" t="s">
        <v>509</v>
      </c>
      <c r="E22" t="s">
        <v>510</v>
      </c>
      <c r="F22" t="s">
        <v>511</v>
      </c>
    </row>
    <row r="23" spans="1:6" x14ac:dyDescent="0.2">
      <c r="A23" t="s">
        <v>467</v>
      </c>
      <c r="B23" t="s">
        <v>512</v>
      </c>
      <c r="C23" t="s">
        <v>513</v>
      </c>
      <c r="D23" t="s">
        <v>514</v>
      </c>
      <c r="E23" t="s">
        <v>515</v>
      </c>
      <c r="F23" t="s">
        <v>516</v>
      </c>
    </row>
    <row r="24" spans="1:6" x14ac:dyDescent="0.2">
      <c r="A24" t="s">
        <v>467</v>
      </c>
      <c r="B24" t="s">
        <v>517</v>
      </c>
      <c r="C24" t="s">
        <v>518</v>
      </c>
      <c r="D24" t="s">
        <v>519</v>
      </c>
      <c r="E24" t="s">
        <v>520</v>
      </c>
      <c r="F24" t="s">
        <v>521</v>
      </c>
    </row>
    <row r="25" spans="1:6" x14ac:dyDescent="0.2">
      <c r="A25" t="s">
        <v>467</v>
      </c>
      <c r="B25" t="s">
        <v>522</v>
      </c>
      <c r="C25" t="s">
        <v>523</v>
      </c>
      <c r="D25" t="s">
        <v>524</v>
      </c>
      <c r="E25" t="s">
        <v>525</v>
      </c>
      <c r="F25" t="s">
        <v>526</v>
      </c>
    </row>
    <row r="26" spans="1:6" x14ac:dyDescent="0.2">
      <c r="A26" t="s">
        <v>467</v>
      </c>
      <c r="B26" t="s">
        <v>527</v>
      </c>
      <c r="C26" t="s">
        <v>528</v>
      </c>
      <c r="D26" t="s">
        <v>529</v>
      </c>
      <c r="E26" t="s">
        <v>530</v>
      </c>
      <c r="F26" t="s">
        <v>531</v>
      </c>
    </row>
    <row r="27" spans="1:6" x14ac:dyDescent="0.2">
      <c r="A27" t="s">
        <v>532</v>
      </c>
      <c r="C27" t="s">
        <v>533</v>
      </c>
      <c r="D27" t="s">
        <v>534</v>
      </c>
      <c r="E27" t="s">
        <v>535</v>
      </c>
      <c r="F27" t="s">
        <v>536</v>
      </c>
    </row>
    <row r="28" spans="1:6" x14ac:dyDescent="0.2">
      <c r="A28" t="s">
        <v>532</v>
      </c>
      <c r="B28" t="s">
        <v>537</v>
      </c>
      <c r="C28" t="s">
        <v>538</v>
      </c>
      <c r="D28" t="s">
        <v>539</v>
      </c>
      <c r="E28" t="s">
        <v>540</v>
      </c>
      <c r="F28" t="s">
        <v>541</v>
      </c>
    </row>
    <row r="29" spans="1:6" x14ac:dyDescent="0.2">
      <c r="A29" t="s">
        <v>532</v>
      </c>
      <c r="B29" t="s">
        <v>542</v>
      </c>
      <c r="C29" t="s">
        <v>543</v>
      </c>
      <c r="D29" t="s">
        <v>544</v>
      </c>
      <c r="E29" t="s">
        <v>545</v>
      </c>
      <c r="F29" t="s">
        <v>546</v>
      </c>
    </row>
    <row r="30" spans="1:6" x14ac:dyDescent="0.2">
      <c r="A30" t="s">
        <v>532</v>
      </c>
      <c r="B30" t="s">
        <v>547</v>
      </c>
      <c r="C30" t="s">
        <v>548</v>
      </c>
      <c r="D30" t="s">
        <v>549</v>
      </c>
      <c r="E30" t="s">
        <v>550</v>
      </c>
      <c r="F30" t="s">
        <v>551</v>
      </c>
    </row>
    <row r="31" spans="1:6" x14ac:dyDescent="0.2">
      <c r="A31" t="s">
        <v>532</v>
      </c>
      <c r="B31" t="s">
        <v>552</v>
      </c>
      <c r="C31" t="s">
        <v>553</v>
      </c>
      <c r="D31" t="s">
        <v>554</v>
      </c>
      <c r="E31" t="s">
        <v>555</v>
      </c>
      <c r="F31" t="s">
        <v>556</v>
      </c>
    </row>
    <row r="32" spans="1:6" x14ac:dyDescent="0.2">
      <c r="A32" t="s">
        <v>532</v>
      </c>
      <c r="B32" s="350" t="s">
        <v>557</v>
      </c>
      <c r="C32" t="s">
        <v>558</v>
      </c>
      <c r="D32" t="s">
        <v>559</v>
      </c>
      <c r="E32" t="s">
        <v>560</v>
      </c>
      <c r="F32" t="s">
        <v>561</v>
      </c>
    </row>
    <row r="33" spans="1:6" x14ac:dyDescent="0.2">
      <c r="A33" t="s">
        <v>532</v>
      </c>
      <c r="B33" s="350" t="s">
        <v>562</v>
      </c>
      <c r="C33" t="s">
        <v>563</v>
      </c>
      <c r="D33" t="s">
        <v>564</v>
      </c>
      <c r="E33" t="s">
        <v>565</v>
      </c>
      <c r="F33" t="s">
        <v>566</v>
      </c>
    </row>
    <row r="34" spans="1:6" x14ac:dyDescent="0.2">
      <c r="A34" t="s">
        <v>532</v>
      </c>
      <c r="B34" t="s">
        <v>567</v>
      </c>
      <c r="C34" t="s">
        <v>568</v>
      </c>
      <c r="D34" t="s">
        <v>569</v>
      </c>
      <c r="E34" t="s">
        <v>570</v>
      </c>
      <c r="F34" t="s">
        <v>571</v>
      </c>
    </row>
    <row r="35" spans="1:6" x14ac:dyDescent="0.2">
      <c r="A35" t="s">
        <v>532</v>
      </c>
      <c r="B35" t="s">
        <v>572</v>
      </c>
      <c r="C35" t="s">
        <v>573</v>
      </c>
      <c r="D35" t="s">
        <v>574</v>
      </c>
      <c r="E35" t="s">
        <v>575</v>
      </c>
      <c r="F35" t="s">
        <v>576</v>
      </c>
    </row>
    <row r="36" spans="1:6" x14ac:dyDescent="0.2">
      <c r="A36" t="s">
        <v>532</v>
      </c>
      <c r="B36" t="s">
        <v>577</v>
      </c>
      <c r="C36" t="s">
        <v>578</v>
      </c>
      <c r="D36" t="s">
        <v>579</v>
      </c>
      <c r="E36" t="s">
        <v>580</v>
      </c>
      <c r="F36" t="s">
        <v>581</v>
      </c>
    </row>
    <row r="37" spans="1:6" x14ac:dyDescent="0.2">
      <c r="A37" t="s">
        <v>532</v>
      </c>
      <c r="B37" t="s">
        <v>582</v>
      </c>
      <c r="C37" t="s">
        <v>583</v>
      </c>
      <c r="D37" t="s">
        <v>584</v>
      </c>
      <c r="E37" t="s">
        <v>585</v>
      </c>
      <c r="F37" t="s">
        <v>586</v>
      </c>
    </row>
    <row r="38" spans="1:6" x14ac:dyDescent="0.2">
      <c r="A38" t="s">
        <v>587</v>
      </c>
      <c r="C38" t="s">
        <v>588</v>
      </c>
      <c r="D38" t="s">
        <v>589</v>
      </c>
      <c r="E38" t="s">
        <v>590</v>
      </c>
      <c r="F38" t="s">
        <v>591</v>
      </c>
    </row>
    <row r="39" spans="1:6" x14ac:dyDescent="0.2">
      <c r="A39" t="s">
        <v>587</v>
      </c>
      <c r="B39" t="s">
        <v>592</v>
      </c>
      <c r="C39" t="s">
        <v>593</v>
      </c>
      <c r="D39" t="s">
        <v>594</v>
      </c>
      <c r="E39" t="s">
        <v>595</v>
      </c>
      <c r="F39" t="s">
        <v>596</v>
      </c>
    </row>
    <row r="40" spans="1:6" x14ac:dyDescent="0.2">
      <c r="A40" t="s">
        <v>587</v>
      </c>
      <c r="B40" t="s">
        <v>597</v>
      </c>
      <c r="C40" t="s">
        <v>598</v>
      </c>
      <c r="D40" t="s">
        <v>599</v>
      </c>
      <c r="E40" t="s">
        <v>600</v>
      </c>
      <c r="F40" t="s">
        <v>601</v>
      </c>
    </row>
    <row r="41" spans="1:6" x14ac:dyDescent="0.2">
      <c r="A41" t="s">
        <v>587</v>
      </c>
      <c r="B41" t="s">
        <v>602</v>
      </c>
      <c r="C41" t="s">
        <v>603</v>
      </c>
      <c r="D41" t="s">
        <v>604</v>
      </c>
      <c r="E41" t="s">
        <v>605</v>
      </c>
      <c r="F41" t="s">
        <v>606</v>
      </c>
    </row>
    <row r="42" spans="1:6" x14ac:dyDescent="0.2">
      <c r="A42" t="s">
        <v>587</v>
      </c>
      <c r="B42" t="s">
        <v>607</v>
      </c>
      <c r="C42" t="s">
        <v>608</v>
      </c>
      <c r="D42" t="s">
        <v>609</v>
      </c>
      <c r="E42" t="s">
        <v>610</v>
      </c>
      <c r="F42" t="s">
        <v>611</v>
      </c>
    </row>
    <row r="43" spans="1:6" x14ac:dyDescent="0.2">
      <c r="A43" t="s">
        <v>587</v>
      </c>
      <c r="B43" t="s">
        <v>612</v>
      </c>
      <c r="C43" t="s">
        <v>613</v>
      </c>
      <c r="D43" t="s">
        <v>614</v>
      </c>
      <c r="E43" t="s">
        <v>615</v>
      </c>
      <c r="F43" t="s">
        <v>616</v>
      </c>
    </row>
    <row r="44" spans="1:6" x14ac:dyDescent="0.2">
      <c r="A44" t="s">
        <v>587</v>
      </c>
      <c r="B44" t="s">
        <v>617</v>
      </c>
      <c r="C44" t="s">
        <v>618</v>
      </c>
      <c r="D44" t="s">
        <v>619</v>
      </c>
      <c r="E44" t="s">
        <v>620</v>
      </c>
      <c r="F44" t="s">
        <v>621</v>
      </c>
    </row>
    <row r="45" spans="1:6" x14ac:dyDescent="0.2">
      <c r="A45" t="s">
        <v>587</v>
      </c>
      <c r="B45" t="s">
        <v>622</v>
      </c>
      <c r="C45" t="s">
        <v>623</v>
      </c>
      <c r="D45" t="s">
        <v>624</v>
      </c>
      <c r="E45" t="s">
        <v>625</v>
      </c>
      <c r="F45" t="s">
        <v>626</v>
      </c>
    </row>
    <row r="46" spans="1:6" x14ac:dyDescent="0.2">
      <c r="A46" t="s">
        <v>587</v>
      </c>
      <c r="B46" t="s">
        <v>627</v>
      </c>
      <c r="C46" t="s">
        <v>628</v>
      </c>
      <c r="D46" t="s">
        <v>629</v>
      </c>
      <c r="E46" t="s">
        <v>630</v>
      </c>
      <c r="F46" t="s">
        <v>631</v>
      </c>
    </row>
    <row r="47" spans="1:6" x14ac:dyDescent="0.2">
      <c r="A47" t="s">
        <v>632</v>
      </c>
      <c r="C47" t="s">
        <v>633</v>
      </c>
      <c r="D47" t="s">
        <v>634</v>
      </c>
      <c r="E47" t="s">
        <v>635</v>
      </c>
      <c r="F47" t="s">
        <v>636</v>
      </c>
    </row>
    <row r="48" spans="1:6" x14ac:dyDescent="0.2">
      <c r="A48" t="s">
        <v>632</v>
      </c>
      <c r="B48" t="s">
        <v>637</v>
      </c>
      <c r="C48" t="s">
        <v>638</v>
      </c>
      <c r="D48" t="s">
        <v>639</v>
      </c>
      <c r="E48" t="s">
        <v>640</v>
      </c>
      <c r="F48" t="s">
        <v>641</v>
      </c>
    </row>
    <row r="49" spans="1:6" x14ac:dyDescent="0.2">
      <c r="A49" t="s">
        <v>632</v>
      </c>
      <c r="B49" t="s">
        <v>642</v>
      </c>
      <c r="C49" t="s">
        <v>643</v>
      </c>
      <c r="D49" t="s">
        <v>644</v>
      </c>
      <c r="E49" t="s">
        <v>645</v>
      </c>
      <c r="F49" t="s">
        <v>646</v>
      </c>
    </row>
    <row r="50" spans="1:6" x14ac:dyDescent="0.2">
      <c r="A50" t="s">
        <v>632</v>
      </c>
      <c r="B50" s="350" t="s">
        <v>647</v>
      </c>
      <c r="C50" t="s">
        <v>648</v>
      </c>
      <c r="D50" t="s">
        <v>649</v>
      </c>
      <c r="E50" t="s">
        <v>650</v>
      </c>
      <c r="F50" t="s">
        <v>651</v>
      </c>
    </row>
    <row r="51" spans="1:6" x14ac:dyDescent="0.2">
      <c r="A51" t="s">
        <v>632</v>
      </c>
      <c r="B51" t="s">
        <v>652</v>
      </c>
      <c r="C51" t="s">
        <v>653</v>
      </c>
      <c r="D51" t="s">
        <v>654</v>
      </c>
      <c r="E51" t="s">
        <v>655</v>
      </c>
      <c r="F51" t="s">
        <v>656</v>
      </c>
    </row>
    <row r="52" spans="1:6" x14ac:dyDescent="0.2">
      <c r="A52" t="s">
        <v>632</v>
      </c>
      <c r="B52" t="s">
        <v>657</v>
      </c>
      <c r="C52" t="s">
        <v>658</v>
      </c>
      <c r="D52" t="s">
        <v>659</v>
      </c>
      <c r="E52" t="s">
        <v>660</v>
      </c>
      <c r="F52" t="s">
        <v>661</v>
      </c>
    </row>
    <row r="53" spans="1:6" x14ac:dyDescent="0.2">
      <c r="A53" t="s">
        <v>632</v>
      </c>
      <c r="B53" t="s">
        <v>662</v>
      </c>
      <c r="C53" t="s">
        <v>663</v>
      </c>
      <c r="D53" t="s">
        <v>664</v>
      </c>
      <c r="E53" t="s">
        <v>665</v>
      </c>
      <c r="F53" t="s">
        <v>666</v>
      </c>
    </row>
    <row r="54" spans="1:6" x14ac:dyDescent="0.2">
      <c r="A54" t="s">
        <v>632</v>
      </c>
      <c r="B54" t="s">
        <v>667</v>
      </c>
      <c r="C54" t="s">
        <v>668</v>
      </c>
      <c r="D54" t="s">
        <v>669</v>
      </c>
      <c r="E54" t="s">
        <v>670</v>
      </c>
      <c r="F54" t="s">
        <v>671</v>
      </c>
    </row>
    <row r="55" spans="1:6" x14ac:dyDescent="0.2">
      <c r="A55" t="s">
        <v>672</v>
      </c>
      <c r="B55" t="s">
        <v>673</v>
      </c>
      <c r="C55" t="s">
        <v>674</v>
      </c>
      <c r="D55" t="s">
        <v>675</v>
      </c>
      <c r="E55" t="s">
        <v>676</v>
      </c>
      <c r="F55" t="s">
        <v>677</v>
      </c>
    </row>
    <row r="56" spans="1:6" x14ac:dyDescent="0.2">
      <c r="A56" t="s">
        <v>672</v>
      </c>
      <c r="B56" t="s">
        <v>678</v>
      </c>
      <c r="C56" t="s">
        <v>679</v>
      </c>
      <c r="D56" t="s">
        <v>680</v>
      </c>
      <c r="E56" t="s">
        <v>681</v>
      </c>
      <c r="F56" t="s">
        <v>682</v>
      </c>
    </row>
    <row r="57" spans="1:6" x14ac:dyDescent="0.2">
      <c r="A57" t="s">
        <v>672</v>
      </c>
      <c r="B57" t="s">
        <v>683</v>
      </c>
      <c r="C57" t="s">
        <v>684</v>
      </c>
      <c r="D57" t="s">
        <v>685</v>
      </c>
      <c r="E57" t="s">
        <v>686</v>
      </c>
      <c r="F57" t="s">
        <v>687</v>
      </c>
    </row>
    <row r="58" spans="1:6" x14ac:dyDescent="0.2">
      <c r="A58" t="s">
        <v>672</v>
      </c>
      <c r="B58" t="s">
        <v>688</v>
      </c>
      <c r="C58" t="s">
        <v>689</v>
      </c>
      <c r="D58" t="s">
        <v>690</v>
      </c>
      <c r="E58" t="s">
        <v>691</v>
      </c>
      <c r="F58" t="s">
        <v>692</v>
      </c>
    </row>
    <row r="59" spans="1:6" x14ac:dyDescent="0.2">
      <c r="A59" t="s">
        <v>672</v>
      </c>
      <c r="B59" s="350" t="s">
        <v>693</v>
      </c>
      <c r="C59" t="s">
        <v>694</v>
      </c>
      <c r="D59" t="s">
        <v>695</v>
      </c>
      <c r="E59" t="s">
        <v>696</v>
      </c>
      <c r="F59" t="s">
        <v>697</v>
      </c>
    </row>
    <row r="60" spans="1:6" x14ac:dyDescent="0.2">
      <c r="A60" t="s">
        <v>672</v>
      </c>
      <c r="B60" s="350" t="s">
        <v>698</v>
      </c>
      <c r="C60" t="s">
        <v>699</v>
      </c>
      <c r="D60" t="s">
        <v>700</v>
      </c>
      <c r="E60" t="s">
        <v>701</v>
      </c>
      <c r="F60" t="s">
        <v>702</v>
      </c>
    </row>
    <row r="61" spans="1:6" x14ac:dyDescent="0.2">
      <c r="A61" t="s">
        <v>672</v>
      </c>
      <c r="B61" s="350" t="s">
        <v>703</v>
      </c>
      <c r="C61" t="s">
        <v>704</v>
      </c>
      <c r="D61" t="s">
        <v>705</v>
      </c>
      <c r="E61" t="s">
        <v>706</v>
      </c>
      <c r="F61" t="s">
        <v>707</v>
      </c>
    </row>
    <row r="62" spans="1:6" x14ac:dyDescent="0.2">
      <c r="A62" t="s">
        <v>672</v>
      </c>
      <c r="B62" s="350" t="s">
        <v>708</v>
      </c>
      <c r="C62" t="s">
        <v>709</v>
      </c>
      <c r="D62" t="s">
        <v>710</v>
      </c>
      <c r="E62" t="s">
        <v>711</v>
      </c>
      <c r="F62" t="s">
        <v>712</v>
      </c>
    </row>
    <row r="63" spans="1:6" x14ac:dyDescent="0.2">
      <c r="A63" t="s">
        <v>672</v>
      </c>
      <c r="B63" s="350" t="s">
        <v>713</v>
      </c>
      <c r="C63" t="s">
        <v>714</v>
      </c>
      <c r="D63" t="s">
        <v>715</v>
      </c>
      <c r="E63" t="s">
        <v>716</v>
      </c>
      <c r="F63" t="s">
        <v>717</v>
      </c>
    </row>
    <row r="64" spans="1:6" x14ac:dyDescent="0.2">
      <c r="A64" t="s">
        <v>672</v>
      </c>
      <c r="B64" t="s">
        <v>718</v>
      </c>
      <c r="C64" t="s">
        <v>719</v>
      </c>
      <c r="D64" t="s">
        <v>720</v>
      </c>
      <c r="E64" t="s">
        <v>721</v>
      </c>
      <c r="F64" t="s">
        <v>722</v>
      </c>
    </row>
    <row r="65" spans="1:6" x14ac:dyDescent="0.2">
      <c r="A65" t="s">
        <v>672</v>
      </c>
      <c r="B65" s="350" t="s">
        <v>723</v>
      </c>
      <c r="C65" t="s">
        <v>724</v>
      </c>
      <c r="D65" t="s">
        <v>725</v>
      </c>
      <c r="E65" t="s">
        <v>726</v>
      </c>
      <c r="F65" t="s">
        <v>727</v>
      </c>
    </row>
    <row r="66" spans="1:6" x14ac:dyDescent="0.2">
      <c r="A66" t="s">
        <v>672</v>
      </c>
      <c r="B66" t="s">
        <v>728</v>
      </c>
      <c r="C66" t="s">
        <v>729</v>
      </c>
      <c r="D66" t="s">
        <v>730</v>
      </c>
      <c r="E66" t="s">
        <v>731</v>
      </c>
      <c r="F66" t="s">
        <v>732</v>
      </c>
    </row>
    <row r="67" spans="1:6" x14ac:dyDescent="0.2">
      <c r="A67" t="s">
        <v>672</v>
      </c>
      <c r="B67" t="s">
        <v>733</v>
      </c>
      <c r="C67" t="s">
        <v>734</v>
      </c>
      <c r="D67" t="s">
        <v>735</v>
      </c>
      <c r="E67" t="s">
        <v>736</v>
      </c>
      <c r="F67" t="s">
        <v>737</v>
      </c>
    </row>
    <row r="68" spans="1:6" x14ac:dyDescent="0.2">
      <c r="A68" t="s">
        <v>672</v>
      </c>
      <c r="B68" s="350" t="s">
        <v>738</v>
      </c>
      <c r="C68" t="s">
        <v>739</v>
      </c>
      <c r="D68" t="s">
        <v>740</v>
      </c>
      <c r="E68" t="s">
        <v>741</v>
      </c>
      <c r="F68" t="s">
        <v>742</v>
      </c>
    </row>
    <row r="69" spans="1:6" x14ac:dyDescent="0.2">
      <c r="A69" t="s">
        <v>672</v>
      </c>
      <c r="B69" s="350" t="s">
        <v>743</v>
      </c>
      <c r="C69" t="s">
        <v>744</v>
      </c>
      <c r="D69" t="s">
        <v>745</v>
      </c>
      <c r="E69" t="s">
        <v>745</v>
      </c>
      <c r="F69" t="s">
        <v>745</v>
      </c>
    </row>
    <row r="70" spans="1:6" x14ac:dyDescent="0.2">
      <c r="A70" t="s">
        <v>672</v>
      </c>
      <c r="B70" t="s">
        <v>746</v>
      </c>
      <c r="C70" t="s">
        <v>747</v>
      </c>
      <c r="D70" t="s">
        <v>748</v>
      </c>
      <c r="E70" t="s">
        <v>749</v>
      </c>
      <c r="F70" t="s">
        <v>750</v>
      </c>
    </row>
    <row r="71" spans="1:6" x14ac:dyDescent="0.2">
      <c r="A71" t="s">
        <v>672</v>
      </c>
      <c r="B71" s="350" t="s">
        <v>751</v>
      </c>
      <c r="C71" t="s">
        <v>752</v>
      </c>
      <c r="D71" t="s">
        <v>753</v>
      </c>
      <c r="E71" t="s">
        <v>754</v>
      </c>
      <c r="F71" t="s">
        <v>755</v>
      </c>
    </row>
    <row r="72" spans="1:6" x14ac:dyDescent="0.2">
      <c r="A72" t="s">
        <v>672</v>
      </c>
      <c r="B72" t="s">
        <v>756</v>
      </c>
      <c r="C72" t="s">
        <v>757</v>
      </c>
      <c r="D72" t="s">
        <v>758</v>
      </c>
      <c r="E72" t="s">
        <v>759</v>
      </c>
      <c r="F72" t="s">
        <v>760</v>
      </c>
    </row>
    <row r="73" spans="1:6" x14ac:dyDescent="0.2">
      <c r="A73" t="s">
        <v>672</v>
      </c>
      <c r="B73" s="350" t="s">
        <v>761</v>
      </c>
      <c r="C73" t="s">
        <v>762</v>
      </c>
      <c r="D73" t="s">
        <v>763</v>
      </c>
      <c r="E73" t="s">
        <v>764</v>
      </c>
      <c r="F73" t="s">
        <v>765</v>
      </c>
    </row>
    <row r="74" spans="1:6" x14ac:dyDescent="0.2">
      <c r="A74" t="s">
        <v>672</v>
      </c>
      <c r="B74" t="s">
        <v>766</v>
      </c>
      <c r="C74" t="s">
        <v>767</v>
      </c>
      <c r="D74" t="s">
        <v>768</v>
      </c>
      <c r="E74" t="s">
        <v>769</v>
      </c>
      <c r="F74" t="s">
        <v>770</v>
      </c>
    </row>
    <row r="75" spans="1:6" x14ac:dyDescent="0.2">
      <c r="A75" t="s">
        <v>672</v>
      </c>
      <c r="B75" t="s">
        <v>771</v>
      </c>
      <c r="C75" t="s">
        <v>772</v>
      </c>
      <c r="D75" t="s">
        <v>773</v>
      </c>
      <c r="E75" t="s">
        <v>774</v>
      </c>
      <c r="F75" t="s">
        <v>775</v>
      </c>
    </row>
    <row r="76" spans="1:6" x14ac:dyDescent="0.2">
      <c r="A76" t="s">
        <v>672</v>
      </c>
      <c r="B76" t="s">
        <v>776</v>
      </c>
      <c r="C76" t="s">
        <v>777</v>
      </c>
      <c r="D76" t="s">
        <v>778</v>
      </c>
      <c r="E76" t="s">
        <v>779</v>
      </c>
      <c r="F76" t="s">
        <v>780</v>
      </c>
    </row>
    <row r="77" spans="1:6" x14ac:dyDescent="0.2">
      <c r="A77" t="s">
        <v>672</v>
      </c>
      <c r="B77" t="s">
        <v>781</v>
      </c>
      <c r="C77" t="s">
        <v>782</v>
      </c>
      <c r="D77" t="s">
        <v>783</v>
      </c>
      <c r="E77" t="s">
        <v>784</v>
      </c>
      <c r="F77" t="s">
        <v>785</v>
      </c>
    </row>
    <row r="78" spans="1:6" x14ac:dyDescent="0.2">
      <c r="A78" t="s">
        <v>672</v>
      </c>
      <c r="B78" t="s">
        <v>786</v>
      </c>
      <c r="C78" t="s">
        <v>787</v>
      </c>
      <c r="D78" t="s">
        <v>788</v>
      </c>
      <c r="E78" t="s">
        <v>789</v>
      </c>
      <c r="F78" t="s">
        <v>790</v>
      </c>
    </row>
    <row r="79" spans="1:6" x14ac:dyDescent="0.2">
      <c r="A79" t="s">
        <v>672</v>
      </c>
      <c r="B79" t="s">
        <v>791</v>
      </c>
      <c r="C79" t="s">
        <v>792</v>
      </c>
      <c r="D79" t="s">
        <v>793</v>
      </c>
      <c r="E79" t="s">
        <v>794</v>
      </c>
      <c r="F79" t="s">
        <v>795</v>
      </c>
    </row>
    <row r="80" spans="1:6" x14ac:dyDescent="0.2">
      <c r="A80" t="s">
        <v>672</v>
      </c>
      <c r="B80" s="350" t="s">
        <v>796</v>
      </c>
      <c r="C80" t="s">
        <v>797</v>
      </c>
      <c r="D80" t="s">
        <v>798</v>
      </c>
      <c r="E80" t="s">
        <v>799</v>
      </c>
      <c r="F80" t="s">
        <v>800</v>
      </c>
    </row>
    <row r="81" spans="1:7" x14ac:dyDescent="0.2">
      <c r="A81" t="s">
        <v>672</v>
      </c>
      <c r="B81" t="s">
        <v>801</v>
      </c>
      <c r="C81" t="s">
        <v>802</v>
      </c>
      <c r="D81" t="s">
        <v>803</v>
      </c>
      <c r="E81" t="s">
        <v>804</v>
      </c>
      <c r="F81" t="s">
        <v>805</v>
      </c>
    </row>
    <row r="82" spans="1:7" x14ac:dyDescent="0.2">
      <c r="A82" s="340" t="s">
        <v>806</v>
      </c>
      <c r="B82" s="340" t="s">
        <v>412</v>
      </c>
      <c r="C82" s="340" t="s">
        <v>413</v>
      </c>
      <c r="D82" s="340" t="s">
        <v>414</v>
      </c>
      <c r="E82" s="340" t="s">
        <v>415</v>
      </c>
      <c r="F82" s="340" t="s">
        <v>416</v>
      </c>
      <c r="G82" s="355" t="s">
        <v>807</v>
      </c>
    </row>
    <row r="83" spans="1:7" x14ac:dyDescent="0.2">
      <c r="A83" s="340" t="s">
        <v>806</v>
      </c>
      <c r="B83" s="340" t="s">
        <v>467</v>
      </c>
      <c r="C83" s="340" t="s">
        <v>468</v>
      </c>
      <c r="D83" s="340" t="s">
        <v>469</v>
      </c>
      <c r="E83" s="340" t="s">
        <v>470</v>
      </c>
      <c r="F83" s="340" t="s">
        <v>471</v>
      </c>
      <c r="G83" s="355" t="s">
        <v>808</v>
      </c>
    </row>
    <row r="84" spans="1:7" x14ac:dyDescent="0.2">
      <c r="A84" s="340" t="s">
        <v>806</v>
      </c>
      <c r="B84" s="340" t="s">
        <v>532</v>
      </c>
      <c r="C84" s="340" t="s">
        <v>533</v>
      </c>
      <c r="D84" s="340" t="s">
        <v>534</v>
      </c>
      <c r="E84" s="340" t="s">
        <v>535</v>
      </c>
      <c r="F84" s="340" t="s">
        <v>536</v>
      </c>
      <c r="G84" s="355" t="s">
        <v>809</v>
      </c>
    </row>
    <row r="85" spans="1:7" x14ac:dyDescent="0.2">
      <c r="A85" s="340" t="s">
        <v>806</v>
      </c>
      <c r="B85" s="340" t="s">
        <v>587</v>
      </c>
      <c r="C85" s="340" t="s">
        <v>588</v>
      </c>
      <c r="D85" s="340" t="s">
        <v>589</v>
      </c>
      <c r="E85" s="340" t="s">
        <v>590</v>
      </c>
      <c r="F85" s="340" t="s">
        <v>591</v>
      </c>
      <c r="G85" s="355" t="s">
        <v>810</v>
      </c>
    </row>
    <row r="86" spans="1:7" x14ac:dyDescent="0.2">
      <c r="A86" s="340" t="s">
        <v>806</v>
      </c>
      <c r="B86" s="340" t="s">
        <v>632</v>
      </c>
      <c r="C86" s="340" t="s">
        <v>633</v>
      </c>
      <c r="D86" s="340" t="s">
        <v>634</v>
      </c>
      <c r="E86" s="340" t="s">
        <v>635</v>
      </c>
      <c r="F86" s="340" t="s">
        <v>636</v>
      </c>
      <c r="G86" s="355" t="s">
        <v>811</v>
      </c>
    </row>
    <row r="87" spans="1:7" x14ac:dyDescent="0.2">
      <c r="A87" s="340" t="s">
        <v>806</v>
      </c>
      <c r="B87" s="340" t="s">
        <v>672</v>
      </c>
      <c r="C87" s="340" t="s">
        <v>812</v>
      </c>
      <c r="D87" s="340" t="s">
        <v>813</v>
      </c>
      <c r="E87" s="340" t="s">
        <v>814</v>
      </c>
      <c r="F87" s="340" t="s">
        <v>815</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816</v>
      </c>
      <c r="C3" t="s">
        <v>412</v>
      </c>
      <c r="E3" t="s">
        <v>467</v>
      </c>
      <c r="G3" t="s">
        <v>532</v>
      </c>
      <c r="I3" t="s">
        <v>587</v>
      </c>
      <c r="K3" t="s">
        <v>632</v>
      </c>
      <c r="M3" t="s">
        <v>672</v>
      </c>
    </row>
    <row r="5" spans="1:13" x14ac:dyDescent="0.2">
      <c r="A5" t="s">
        <v>68</v>
      </c>
      <c r="C5" t="s">
        <v>70</v>
      </c>
      <c r="E5" t="s">
        <v>70</v>
      </c>
      <c r="G5" t="s">
        <v>70</v>
      </c>
      <c r="I5" t="s">
        <v>70</v>
      </c>
      <c r="K5" t="s">
        <v>70</v>
      </c>
      <c r="M5" t="s">
        <v>70</v>
      </c>
    </row>
    <row r="6" spans="1:13" x14ac:dyDescent="0.2">
      <c r="A6" t="s">
        <v>412</v>
      </c>
      <c r="C6" t="s">
        <v>412</v>
      </c>
      <c r="E6" t="s">
        <v>467</v>
      </c>
      <c r="G6" t="s">
        <v>532</v>
      </c>
      <c r="I6" t="s">
        <v>587</v>
      </c>
      <c r="K6" t="s">
        <v>632</v>
      </c>
      <c r="M6" t="s">
        <v>673</v>
      </c>
    </row>
    <row r="7" spans="1:13" x14ac:dyDescent="0.2">
      <c r="A7" t="s">
        <v>467</v>
      </c>
      <c r="C7" t="s">
        <v>417</v>
      </c>
      <c r="E7" t="s">
        <v>472</v>
      </c>
      <c r="G7" t="s">
        <v>537</v>
      </c>
      <c r="I7" t="s">
        <v>592</v>
      </c>
      <c r="K7" t="s">
        <v>637</v>
      </c>
      <c r="M7" t="s">
        <v>678</v>
      </c>
    </row>
    <row r="8" spans="1:13" x14ac:dyDescent="0.2">
      <c r="A8" t="s">
        <v>532</v>
      </c>
      <c r="C8" t="s">
        <v>422</v>
      </c>
      <c r="E8" t="s">
        <v>507</v>
      </c>
      <c r="G8" t="s">
        <v>542</v>
      </c>
      <c r="I8" t="s">
        <v>597</v>
      </c>
      <c r="K8" t="s">
        <v>642</v>
      </c>
      <c r="M8" t="s">
        <v>683</v>
      </c>
    </row>
    <row r="9" spans="1:13" x14ac:dyDescent="0.2">
      <c r="A9" t="s">
        <v>587</v>
      </c>
      <c r="C9" s="350" t="s">
        <v>427</v>
      </c>
      <c r="E9" t="s">
        <v>512</v>
      </c>
      <c r="G9" t="s">
        <v>547</v>
      </c>
      <c r="I9" t="s">
        <v>602</v>
      </c>
      <c r="K9" s="350" t="s">
        <v>647</v>
      </c>
      <c r="M9" t="s">
        <v>688</v>
      </c>
    </row>
    <row r="10" spans="1:13" x14ac:dyDescent="0.2">
      <c r="A10" t="s">
        <v>632</v>
      </c>
      <c r="C10" s="350" t="s">
        <v>432</v>
      </c>
      <c r="E10" t="s">
        <v>477</v>
      </c>
      <c r="G10" t="s">
        <v>552</v>
      </c>
      <c r="I10" t="s">
        <v>607</v>
      </c>
      <c r="K10" t="s">
        <v>652</v>
      </c>
      <c r="M10" s="350" t="s">
        <v>693</v>
      </c>
    </row>
    <row r="11" spans="1:13" x14ac:dyDescent="0.2">
      <c r="A11" t="s">
        <v>672</v>
      </c>
      <c r="C11" s="350" t="s">
        <v>437</v>
      </c>
      <c r="E11" s="350" t="s">
        <v>482</v>
      </c>
      <c r="G11" s="350" t="s">
        <v>557</v>
      </c>
      <c r="I11" t="s">
        <v>612</v>
      </c>
      <c r="K11" t="s">
        <v>657</v>
      </c>
      <c r="M11" s="350" t="s">
        <v>698</v>
      </c>
    </row>
    <row r="12" spans="1:13" x14ac:dyDescent="0.2">
      <c r="C12" s="350" t="s">
        <v>442</v>
      </c>
      <c r="E12" s="350" t="s">
        <v>487</v>
      </c>
      <c r="G12" s="350" t="s">
        <v>562</v>
      </c>
      <c r="I12" t="s">
        <v>617</v>
      </c>
      <c r="K12" t="s">
        <v>662</v>
      </c>
      <c r="M12" s="350" t="s">
        <v>703</v>
      </c>
    </row>
    <row r="13" spans="1:13" x14ac:dyDescent="0.2">
      <c r="C13" s="350" t="s">
        <v>447</v>
      </c>
      <c r="E13" s="350" t="s">
        <v>492</v>
      </c>
      <c r="G13" t="s">
        <v>567</v>
      </c>
      <c r="I13" t="s">
        <v>622</v>
      </c>
      <c r="K13" t="s">
        <v>667</v>
      </c>
      <c r="M13" s="350" t="s">
        <v>708</v>
      </c>
    </row>
    <row r="14" spans="1:13" x14ac:dyDescent="0.2">
      <c r="C14" s="350" t="s">
        <v>452</v>
      </c>
      <c r="E14" s="350" t="s">
        <v>497</v>
      </c>
      <c r="G14" t="s">
        <v>572</v>
      </c>
      <c r="I14" t="s">
        <v>627</v>
      </c>
      <c r="M14" s="350" t="s">
        <v>713</v>
      </c>
    </row>
    <row r="15" spans="1:13" x14ac:dyDescent="0.2">
      <c r="C15" s="350" t="s">
        <v>457</v>
      </c>
      <c r="E15" s="350" t="s">
        <v>502</v>
      </c>
      <c r="G15" t="s">
        <v>582</v>
      </c>
      <c r="M15" t="s">
        <v>718</v>
      </c>
    </row>
    <row r="16" spans="1:13" x14ac:dyDescent="0.2">
      <c r="C16" t="s">
        <v>462</v>
      </c>
      <c r="E16" t="s">
        <v>522</v>
      </c>
      <c r="G16" t="s">
        <v>577</v>
      </c>
      <c r="M16" s="350" t="s">
        <v>723</v>
      </c>
    </row>
    <row r="17" spans="5:13" x14ac:dyDescent="0.2">
      <c r="E17" t="s">
        <v>517</v>
      </c>
      <c r="M17" t="s">
        <v>781</v>
      </c>
    </row>
    <row r="18" spans="5:13" x14ac:dyDescent="0.2">
      <c r="E18" t="s">
        <v>527</v>
      </c>
      <c r="M18" t="s">
        <v>728</v>
      </c>
    </row>
    <row r="19" spans="5:13" x14ac:dyDescent="0.2">
      <c r="M19" t="s">
        <v>733</v>
      </c>
    </row>
    <row r="20" spans="5:13" x14ac:dyDescent="0.2">
      <c r="M20" s="350" t="s">
        <v>738</v>
      </c>
    </row>
    <row r="21" spans="5:13" x14ac:dyDescent="0.2">
      <c r="M21" s="350" t="s">
        <v>743</v>
      </c>
    </row>
    <row r="22" spans="5:13" x14ac:dyDescent="0.2">
      <c r="M22" t="s">
        <v>746</v>
      </c>
    </row>
    <row r="23" spans="5:13" x14ac:dyDescent="0.2">
      <c r="M23" s="350" t="s">
        <v>751</v>
      </c>
    </row>
    <row r="24" spans="5:13" x14ac:dyDescent="0.2">
      <c r="M24" t="s">
        <v>756</v>
      </c>
    </row>
    <row r="25" spans="5:13" x14ac:dyDescent="0.2">
      <c r="M25" s="350" t="s">
        <v>761</v>
      </c>
    </row>
    <row r="26" spans="5:13" x14ac:dyDescent="0.2">
      <c r="M26" t="s">
        <v>766</v>
      </c>
    </row>
    <row r="27" spans="5:13" x14ac:dyDescent="0.2">
      <c r="M27" t="s">
        <v>771</v>
      </c>
    </row>
    <row r="28" spans="5:13" x14ac:dyDescent="0.2">
      <c r="M28" t="s">
        <v>776</v>
      </c>
    </row>
    <row r="29" spans="5:13" x14ac:dyDescent="0.2">
      <c r="M29" t="s">
        <v>791</v>
      </c>
    </row>
    <row r="30" spans="5:13" x14ac:dyDescent="0.2">
      <c r="M30" s="350" t="s">
        <v>796</v>
      </c>
    </row>
    <row r="31" spans="5:13" x14ac:dyDescent="0.2">
      <c r="M31" t="s">
        <v>786</v>
      </c>
    </row>
    <row r="32" spans="5:13" x14ac:dyDescent="0.2">
      <c r="M32" t="s">
        <v>801</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73" t="s">
        <v>57</v>
      </c>
      <c r="AU2" s="473"/>
      <c r="AV2" s="473"/>
      <c r="AW2" s="473"/>
      <c r="AX2" s="473"/>
      <c r="AY2" s="473"/>
      <c r="AZ2" s="39"/>
    </row>
    <row r="3" spans="2:52" ht="15" customHeight="1" x14ac:dyDescent="0.2">
      <c r="B3" s="40"/>
      <c r="D3" s="475" t="s">
        <v>58</v>
      </c>
      <c r="E3" s="475"/>
      <c r="F3" s="474" t="s">
        <v>59</v>
      </c>
      <c r="G3" s="474"/>
      <c r="H3" s="474"/>
      <c r="I3" s="474"/>
      <c r="J3" s="474"/>
      <c r="K3" s="474"/>
      <c r="L3" s="474"/>
      <c r="M3" s="474"/>
      <c r="N3" s="474"/>
      <c r="O3" s="474"/>
      <c r="P3" s="474"/>
      <c r="Q3" s="474"/>
      <c r="R3" s="474"/>
      <c r="S3" s="2"/>
      <c r="T3" s="475" t="s">
        <v>60</v>
      </c>
      <c r="U3" s="475"/>
      <c r="V3" s="475"/>
      <c r="W3" s="475"/>
      <c r="X3" s="475"/>
      <c r="Y3" s="475"/>
      <c r="Z3" s="475"/>
      <c r="AA3" s="475"/>
      <c r="AB3" s="475"/>
      <c r="AC3" s="474" t="s">
        <v>59</v>
      </c>
      <c r="AD3" s="474"/>
      <c r="AE3" s="474"/>
      <c r="AF3" s="474"/>
      <c r="AG3" s="474"/>
      <c r="AH3" s="474"/>
      <c r="AI3" s="474"/>
      <c r="AJ3" s="474"/>
      <c r="AK3" s="474"/>
      <c r="AL3" s="474"/>
      <c r="AM3" s="4"/>
      <c r="AR3" s="45"/>
      <c r="AS3" s="40"/>
      <c r="AT3" s="481"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481"/>
      <c r="AV3" s="481"/>
      <c r="AW3" s="481"/>
      <c r="AX3" s="481"/>
      <c r="AY3" s="481"/>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481"/>
      <c r="AU4" s="481"/>
      <c r="AV4" s="481"/>
      <c r="AW4" s="481"/>
      <c r="AX4" s="481"/>
      <c r="AY4" s="481"/>
      <c r="AZ4" s="41"/>
    </row>
    <row r="5" spans="2:52" x14ac:dyDescent="0.2">
      <c r="B5" s="40"/>
      <c r="D5" s="475" t="s">
        <v>61</v>
      </c>
      <c r="E5" s="475"/>
      <c r="F5" s="476"/>
      <c r="G5" s="476"/>
      <c r="H5" s="476"/>
      <c r="I5" s="476"/>
      <c r="J5" s="476"/>
      <c r="K5" s="476"/>
      <c r="L5" s="476"/>
      <c r="M5" s="476"/>
      <c r="N5" s="476"/>
      <c r="O5" s="476"/>
      <c r="P5" s="476"/>
      <c r="Q5" s="476"/>
      <c r="R5" s="476"/>
      <c r="S5" s="5"/>
      <c r="T5" s="475" t="s">
        <v>62</v>
      </c>
      <c r="U5" s="475"/>
      <c r="V5" s="475"/>
      <c r="W5" s="475"/>
      <c r="X5" s="475"/>
      <c r="Y5" s="475"/>
      <c r="Z5" s="475"/>
      <c r="AA5" s="475"/>
      <c r="AB5" s="475"/>
      <c r="AC5" s="477">
        <v>0</v>
      </c>
      <c r="AD5" s="477"/>
      <c r="AE5" s="477"/>
      <c r="AF5" s="477"/>
      <c r="AG5" s="477"/>
      <c r="AH5" s="477"/>
      <c r="AI5" s="477"/>
      <c r="AJ5" s="477"/>
      <c r="AK5" s="477"/>
      <c r="AL5" s="477"/>
      <c r="AM5" s="7"/>
      <c r="AN5" s="5"/>
      <c r="AO5" s="5"/>
      <c r="AP5" s="5"/>
      <c r="AQ5" s="5"/>
      <c r="AR5" s="45"/>
      <c r="AS5" s="40"/>
      <c r="AT5" s="481"/>
      <c r="AU5" s="481"/>
      <c r="AV5" s="481"/>
      <c r="AW5" s="481"/>
      <c r="AX5" s="481"/>
      <c r="AY5" s="481"/>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481"/>
      <c r="AU6" s="481"/>
      <c r="AV6" s="481"/>
      <c r="AW6" s="481"/>
      <c r="AX6" s="481"/>
      <c r="AY6" s="481"/>
      <c r="AZ6" s="41"/>
    </row>
    <row r="7" spans="2:52" x14ac:dyDescent="0.2">
      <c r="B7" s="40"/>
      <c r="C7" s="8"/>
      <c r="D7" s="475" t="s">
        <v>63</v>
      </c>
      <c r="E7" s="475"/>
      <c r="F7" s="478" t="s">
        <v>64</v>
      </c>
      <c r="G7" s="479"/>
      <c r="H7" s="479"/>
      <c r="I7" s="479"/>
      <c r="J7" s="479"/>
      <c r="K7" s="479"/>
      <c r="L7" s="479"/>
      <c r="M7" s="479"/>
      <c r="N7" s="479"/>
      <c r="O7" s="479"/>
      <c r="P7" s="479"/>
      <c r="Q7" s="479"/>
      <c r="R7" s="480"/>
      <c r="S7" s="5"/>
      <c r="T7" s="484" t="s">
        <v>65</v>
      </c>
      <c r="U7" s="485"/>
      <c r="V7" s="485"/>
      <c r="W7" s="485"/>
      <c r="X7" s="485"/>
      <c r="Y7" s="485"/>
      <c r="Z7" s="485"/>
      <c r="AA7" s="485"/>
      <c r="AB7" s="485"/>
      <c r="AC7" s="485"/>
      <c r="AD7" s="485"/>
      <c r="AE7" s="492"/>
      <c r="AF7" s="489" t="s">
        <v>66</v>
      </c>
      <c r="AG7" s="490"/>
      <c r="AH7" s="490"/>
      <c r="AI7" s="490"/>
      <c r="AJ7" s="490"/>
      <c r="AK7" s="490"/>
      <c r="AL7" s="491"/>
      <c r="AM7" s="15"/>
      <c r="AN7" s="25">
        <f>VLOOKUP(F7,ClaimPeriods,2,FALSE)</f>
        <v>44193</v>
      </c>
      <c r="AO7" s="26">
        <f>VLOOKUP(F7,ClaimPeriods,4,FALSE)</f>
        <v>5</v>
      </c>
      <c r="AP7" s="5"/>
      <c r="AQ7" s="5"/>
      <c r="AR7" s="45"/>
      <c r="AS7" s="40"/>
      <c r="AT7" s="481"/>
      <c r="AU7" s="481"/>
      <c r="AV7" s="481"/>
      <c r="AW7" s="481"/>
      <c r="AX7" s="481"/>
      <c r="AY7" s="481"/>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481"/>
      <c r="AU8" s="481"/>
      <c r="AV8" s="481"/>
      <c r="AW8" s="481"/>
      <c r="AX8" s="481"/>
      <c r="AY8" s="481"/>
      <c r="AZ8" s="41"/>
    </row>
    <row r="9" spans="2:52" ht="15" customHeight="1" x14ac:dyDescent="0.2">
      <c r="B9" s="40"/>
      <c r="D9" s="475" t="s">
        <v>67</v>
      </c>
      <c r="E9" s="475"/>
      <c r="F9" s="474" t="s">
        <v>68</v>
      </c>
      <c r="G9" s="474"/>
      <c r="H9" s="474"/>
      <c r="I9" s="474"/>
      <c r="J9" s="474"/>
      <c r="K9" s="474"/>
      <c r="L9" s="474"/>
      <c r="M9" s="474"/>
      <c r="N9" s="474"/>
      <c r="O9" s="474"/>
      <c r="P9" s="474"/>
      <c r="Q9" s="474"/>
      <c r="R9" s="474"/>
      <c r="S9" s="3" t="s">
        <v>17</v>
      </c>
      <c r="T9" s="484" t="s">
        <v>69</v>
      </c>
      <c r="U9" s="485"/>
      <c r="V9" s="485"/>
      <c r="W9" s="485"/>
      <c r="X9" s="485"/>
      <c r="Y9" s="485"/>
      <c r="Z9" s="486" t="s">
        <v>70</v>
      </c>
      <c r="AA9" s="487"/>
      <c r="AB9" s="487"/>
      <c r="AC9" s="487"/>
      <c r="AD9" s="487"/>
      <c r="AE9" s="487"/>
      <c r="AF9" s="487"/>
      <c r="AG9" s="487"/>
      <c r="AH9" s="487"/>
      <c r="AI9" s="487"/>
      <c r="AJ9" s="487"/>
      <c r="AK9" s="487"/>
      <c r="AL9" s="488"/>
      <c r="AM9" s="14"/>
      <c r="AP9" s="25"/>
      <c r="AR9" s="45"/>
      <c r="AS9" s="40"/>
      <c r="AT9" s="481"/>
      <c r="AU9" s="481"/>
      <c r="AV9" s="481"/>
      <c r="AW9" s="481"/>
      <c r="AX9" s="481"/>
      <c r="AY9" s="481"/>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481"/>
      <c r="AU10" s="481"/>
      <c r="AV10" s="481"/>
      <c r="AW10" s="481"/>
      <c r="AX10" s="481"/>
      <c r="AY10" s="481"/>
      <c r="AZ10" s="41"/>
    </row>
    <row r="11" spans="2:52" ht="15" customHeight="1" x14ac:dyDescent="0.2">
      <c r="B11" s="40"/>
      <c r="D11" s="475" t="s">
        <v>71</v>
      </c>
      <c r="E11" s="475"/>
      <c r="F11" s="474" t="s">
        <v>72</v>
      </c>
      <c r="G11" s="474"/>
      <c r="H11" s="474"/>
      <c r="I11" s="474"/>
      <c r="J11" s="474"/>
      <c r="K11" s="474"/>
      <c r="L11" s="474"/>
      <c r="M11" s="474"/>
      <c r="N11" s="474"/>
      <c r="O11" s="474"/>
      <c r="P11" s="474"/>
      <c r="Q11" s="474"/>
      <c r="R11" s="474"/>
      <c r="S11" s="157"/>
      <c r="T11" s="493" t="s">
        <v>73</v>
      </c>
      <c r="U11" s="494"/>
      <c r="V11" s="494"/>
      <c r="W11" s="494"/>
      <c r="X11" s="494"/>
      <c r="Y11" s="495"/>
      <c r="Z11" s="482" t="s">
        <v>74</v>
      </c>
      <c r="AA11" s="482"/>
      <c r="AB11" s="482"/>
      <c r="AC11" s="482"/>
      <c r="AD11" s="482"/>
      <c r="AE11" s="482"/>
      <c r="AF11" s="482"/>
      <c r="AG11" s="482"/>
      <c r="AH11" s="482"/>
      <c r="AI11" s="482"/>
      <c r="AJ11" s="482"/>
      <c r="AK11" s="482"/>
      <c r="AL11" s="483"/>
      <c r="AM11" s="15"/>
      <c r="AN11" s="5" t="s">
        <v>75</v>
      </c>
      <c r="AO11" s="5"/>
      <c r="AP11" s="5"/>
      <c r="AQ11" s="5"/>
      <c r="AR11" s="45"/>
      <c r="AS11" s="40"/>
      <c r="AT11" s="481"/>
      <c r="AU11" s="481"/>
      <c r="AV11" s="481"/>
      <c r="AW11" s="481"/>
      <c r="AX11" s="481"/>
      <c r="AY11" s="481"/>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498" t="str">
        <f>IF($F$7="Please select claim period"," - Please select claim period above",CONCATENATE(" - Claim week 1: Work completed from Monday ",TEXT(C13,"d mmmm yyyy")," to Sunday ",TEXT(IF(ISNA(C13),"",C13+6),"d mmmm yyyy")))</f>
        <v xml:space="preserve"> - Please select claim period above</v>
      </c>
      <c r="E13" s="499"/>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c r="AL13" s="500"/>
      <c r="AM13" s="506"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73" t="s">
        <v>76</v>
      </c>
      <c r="AU13" s="473"/>
      <c r="AV13" s="473"/>
      <c r="AW13" s="473"/>
      <c r="AX13" s="473"/>
      <c r="AY13" s="473"/>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506"/>
      <c r="AN14" s="5"/>
      <c r="AO14" s="5"/>
      <c r="AP14" s="5"/>
      <c r="AQ14" s="5"/>
      <c r="AR14" s="45"/>
      <c r="AS14" s="40"/>
      <c r="AZ14" s="41"/>
    </row>
    <row r="15" spans="2:52" ht="15" customHeight="1" x14ac:dyDescent="0.2">
      <c r="B15" s="40"/>
      <c r="C15" s="10"/>
      <c r="D15" s="159"/>
      <c r="E15" s="432" t="s">
        <v>77</v>
      </c>
      <c r="F15" s="432"/>
      <c r="G15" s="433">
        <v>0</v>
      </c>
      <c r="H15" s="433"/>
      <c r="I15" s="433"/>
      <c r="J15" s="3" t="s">
        <v>17</v>
      </c>
      <c r="K15" s="432" t="s">
        <v>78</v>
      </c>
      <c r="L15" s="432"/>
      <c r="M15" s="432"/>
      <c r="N15" s="432"/>
      <c r="O15" s="432"/>
      <c r="P15" s="432"/>
      <c r="Q15" s="432"/>
      <c r="R15" s="432"/>
      <c r="S15" s="496">
        <v>0</v>
      </c>
      <c r="T15" s="496"/>
      <c r="U15" s="496"/>
      <c r="V15" s="496"/>
      <c r="W15" s="3" t="s">
        <v>17</v>
      </c>
      <c r="X15" s="497" t="s">
        <v>79</v>
      </c>
      <c r="Y15" s="497"/>
      <c r="Z15" s="497"/>
      <c r="AA15" s="497"/>
      <c r="AB15" s="497"/>
      <c r="AC15" s="497"/>
      <c r="AD15" s="497"/>
      <c r="AE15" s="497"/>
      <c r="AF15" s="497"/>
      <c r="AG15" s="497"/>
      <c r="AH15" s="155"/>
      <c r="AI15" s="163" t="s">
        <v>80</v>
      </c>
      <c r="AJ15" s="155"/>
      <c r="AK15" s="163" t="s">
        <v>81</v>
      </c>
      <c r="AL15" s="164"/>
      <c r="AM15" s="506"/>
      <c r="AN15" s="47">
        <f>AH15+(AJ15/60)</f>
        <v>0</v>
      </c>
      <c r="AO15" s="47" t="str">
        <f>IF(OR(G15&lt;&gt;0,S15&lt;&gt;0,AN15&lt;&gt;0),"TRUE","FALSE")</f>
        <v>FALSE</v>
      </c>
      <c r="AP15" s="47" t="str">
        <f>IF(AND(AO15="TRUE",OR(G15=0,S15=0,AN15=0)),"INCOMPLETE","OK")</f>
        <v>OK</v>
      </c>
      <c r="AQ15" s="47">
        <f>G15*S15</f>
        <v>0</v>
      </c>
      <c r="AR15" s="45"/>
      <c r="AS15" s="40"/>
      <c r="AT15" s="543" t="s">
        <v>82</v>
      </c>
      <c r="AU15" s="543"/>
      <c r="AV15" s="543"/>
      <c r="AW15" s="543"/>
      <c r="AX15" s="543"/>
      <c r="AY15" s="543"/>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506"/>
      <c r="AO16" s="47"/>
      <c r="AP16" s="47"/>
      <c r="AQ16" s="27"/>
      <c r="AR16" s="45"/>
      <c r="AS16" s="40"/>
      <c r="AT16" s="543"/>
      <c r="AU16" s="543"/>
      <c r="AV16" s="543"/>
      <c r="AW16" s="543"/>
      <c r="AX16" s="543"/>
      <c r="AY16" s="543"/>
      <c r="AZ16" s="41"/>
    </row>
    <row r="17" spans="2:52" ht="15" customHeight="1" x14ac:dyDescent="0.2">
      <c r="B17" s="40"/>
      <c r="C17" s="10"/>
      <c r="D17" s="159"/>
      <c r="E17" s="275"/>
      <c r="F17" s="507">
        <f>IF($F$11=$AN$11,G15*S15,IF($Z$11=$E$63,ROUNDDOWN(G15*S15*0.8923,2),G15*S15))</f>
        <v>0</v>
      </c>
      <c r="G17" s="507"/>
      <c r="H17" s="507"/>
      <c r="I17" s="507"/>
      <c r="J17" s="3"/>
      <c r="K17" s="501" t="s">
        <v>83</v>
      </c>
      <c r="L17" s="501"/>
      <c r="M17" s="501"/>
      <c r="N17" s="501"/>
      <c r="O17" s="501"/>
      <c r="P17" s="501"/>
      <c r="Q17" s="501"/>
      <c r="R17" s="501"/>
      <c r="S17" s="505">
        <f>IF(F17=0,0,IF(AN15=0,0,F17/AN15))</f>
        <v>0</v>
      </c>
      <c r="T17" s="505"/>
      <c r="U17" s="505"/>
      <c r="V17" s="505"/>
      <c r="W17" s="170"/>
      <c r="X17" s="502" t="s">
        <v>84</v>
      </c>
      <c r="Y17" s="502"/>
      <c r="Z17" s="502"/>
      <c r="AA17" s="502"/>
      <c r="AB17" s="502"/>
      <c r="AC17" s="502"/>
      <c r="AD17" s="502"/>
      <c r="AE17" s="502"/>
      <c r="AF17" s="502"/>
      <c r="AG17" s="502"/>
      <c r="AH17" s="155"/>
      <c r="AI17" s="163" t="s">
        <v>80</v>
      </c>
      <c r="AJ17" s="155"/>
      <c r="AK17" s="163" t="s">
        <v>81</v>
      </c>
      <c r="AL17" s="171"/>
      <c r="AM17" s="506"/>
      <c r="AN17" s="47">
        <f t="shared" ref="AN17" si="0">AH17+(AJ17/60)</f>
        <v>0</v>
      </c>
      <c r="AO17" s="5" t="str">
        <f>IF(AND(F17&gt;0,$AF$7="Yes",OR(AH17="",AJ17="")),"FALSE","TRUE")</f>
        <v>TRUE</v>
      </c>
      <c r="AP17" s="5"/>
      <c r="AR17" s="45"/>
      <c r="AS17" s="40"/>
      <c r="AT17" s="543"/>
      <c r="AU17" s="543"/>
      <c r="AV17" s="543"/>
      <c r="AW17" s="543"/>
      <c r="AX17" s="543"/>
      <c r="AY17" s="543"/>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506"/>
      <c r="AN18" s="5"/>
      <c r="AO18" s="5"/>
      <c r="AP18" s="5"/>
      <c r="AQ18" s="5"/>
      <c r="AR18" s="45"/>
      <c r="AS18" s="40"/>
      <c r="AT18" s="543"/>
      <c r="AU18" s="543"/>
      <c r="AV18" s="543"/>
      <c r="AW18" s="543"/>
      <c r="AX18" s="543"/>
      <c r="AY18" s="543"/>
      <c r="AZ18" s="41"/>
    </row>
    <row r="19" spans="2:52" ht="4.25" customHeight="1" x14ac:dyDescent="0.2">
      <c r="B19" s="40"/>
      <c r="C19" s="10"/>
      <c r="D19" s="503"/>
      <c r="E19" s="503"/>
      <c r="F19" s="503"/>
      <c r="G19" s="503"/>
      <c r="H19" s="503"/>
      <c r="I19" s="503"/>
      <c r="J19" s="503"/>
      <c r="K19" s="503"/>
      <c r="L19" s="503"/>
      <c r="M19" s="503"/>
      <c r="N19" s="503"/>
      <c r="O19" s="503"/>
      <c r="P19" s="503"/>
      <c r="Q19" s="503"/>
      <c r="R19" s="503"/>
      <c r="S19" s="503"/>
      <c r="T19" s="503"/>
      <c r="U19" s="503"/>
      <c r="V19" s="503"/>
      <c r="W19" s="503"/>
      <c r="X19" s="503"/>
      <c r="Y19" s="503"/>
      <c r="Z19" s="503"/>
      <c r="AA19" s="503"/>
      <c r="AB19" s="503"/>
      <c r="AC19" s="503"/>
      <c r="AD19" s="503"/>
      <c r="AE19" s="503"/>
      <c r="AF19" s="503"/>
      <c r="AG19" s="503"/>
      <c r="AH19" s="503"/>
      <c r="AI19" s="503"/>
      <c r="AJ19" s="503"/>
      <c r="AK19" s="503"/>
      <c r="AL19" s="503"/>
      <c r="AM19" s="153"/>
      <c r="AN19" s="5"/>
      <c r="AO19" s="5"/>
      <c r="AP19" s="5"/>
      <c r="AQ19" s="5"/>
      <c r="AR19" s="45"/>
      <c r="AS19" s="40"/>
      <c r="AT19" s="544"/>
      <c r="AU19" s="544"/>
      <c r="AV19" s="544"/>
      <c r="AW19" s="544"/>
      <c r="AX19" s="544"/>
      <c r="AY19" s="544"/>
      <c r="AZ19" s="41"/>
    </row>
    <row r="20" spans="2:52" ht="13.5" customHeight="1" x14ac:dyDescent="0.2">
      <c r="B20" s="40"/>
      <c r="C20" s="10">
        <f>C13+7</f>
        <v>44200</v>
      </c>
      <c r="D20" s="518" t="str">
        <f>IF($F$7="Please select claim period"," - Please select claim period above",CONCATENATE(" - Claim week 2: Work completed from Monday ",TEXT(C20,"d mmmm yyyy")," to Sunday ",TEXT(IF(ISNA(C20),"",C20+6),"d mmmm yyyy")))</f>
        <v xml:space="preserve"> - Please select claim period above</v>
      </c>
      <c r="E20" s="519"/>
      <c r="F20" s="519"/>
      <c r="G20" s="519"/>
      <c r="H20" s="519"/>
      <c r="I20" s="519"/>
      <c r="J20" s="519"/>
      <c r="K20" s="519"/>
      <c r="L20" s="519"/>
      <c r="M20" s="519"/>
      <c r="N20" s="519"/>
      <c r="O20" s="519"/>
      <c r="P20" s="519"/>
      <c r="Q20" s="519"/>
      <c r="R20" s="519"/>
      <c r="S20" s="519"/>
      <c r="T20" s="519"/>
      <c r="U20" s="519"/>
      <c r="V20" s="519"/>
      <c r="W20" s="519"/>
      <c r="X20" s="519"/>
      <c r="Y20" s="519"/>
      <c r="Z20" s="519"/>
      <c r="AA20" s="519"/>
      <c r="AB20" s="519"/>
      <c r="AC20" s="519"/>
      <c r="AD20" s="519"/>
      <c r="AE20" s="519"/>
      <c r="AF20" s="519"/>
      <c r="AG20" s="519"/>
      <c r="AH20" s="519"/>
      <c r="AI20" s="519"/>
      <c r="AJ20" s="519"/>
      <c r="AK20" s="519"/>
      <c r="AL20" s="520"/>
      <c r="AM20" s="506"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534"/>
      <c r="AU20" s="535"/>
      <c r="AV20" s="535"/>
      <c r="AW20" s="535"/>
      <c r="AX20" s="535"/>
      <c r="AY20" s="536"/>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506"/>
      <c r="AN21" s="27"/>
      <c r="AO21" s="27"/>
      <c r="AP21" s="27"/>
      <c r="AQ21" s="5"/>
      <c r="AR21" s="45"/>
      <c r="AS21" s="40"/>
      <c r="AT21" s="537"/>
      <c r="AU21" s="538"/>
      <c r="AV21" s="538"/>
      <c r="AW21" s="538"/>
      <c r="AX21" s="538"/>
      <c r="AY21" s="539"/>
      <c r="AZ21" s="41"/>
    </row>
    <row r="22" spans="2:52" ht="15" customHeight="1" x14ac:dyDescent="0.2">
      <c r="B22" s="40"/>
      <c r="C22" s="10"/>
      <c r="D22" s="159"/>
      <c r="E22" s="432" t="s">
        <v>77</v>
      </c>
      <c r="F22" s="432"/>
      <c r="G22" s="433">
        <v>0</v>
      </c>
      <c r="H22" s="433"/>
      <c r="I22" s="433"/>
      <c r="J22" s="3" t="s">
        <v>17</v>
      </c>
      <c r="K22" s="432" t="s">
        <v>78</v>
      </c>
      <c r="L22" s="432"/>
      <c r="M22" s="432"/>
      <c r="N22" s="432"/>
      <c r="O22" s="432"/>
      <c r="P22" s="432"/>
      <c r="Q22" s="432"/>
      <c r="R22" s="432"/>
      <c r="S22" s="496">
        <v>0</v>
      </c>
      <c r="T22" s="496"/>
      <c r="U22" s="496"/>
      <c r="V22" s="496"/>
      <c r="W22" s="3" t="s">
        <v>17</v>
      </c>
      <c r="X22" s="497" t="s">
        <v>79</v>
      </c>
      <c r="Y22" s="497"/>
      <c r="Z22" s="497"/>
      <c r="AA22" s="497"/>
      <c r="AB22" s="497"/>
      <c r="AC22" s="497"/>
      <c r="AD22" s="497"/>
      <c r="AE22" s="497"/>
      <c r="AF22" s="497"/>
      <c r="AG22" s="497"/>
      <c r="AH22" s="155"/>
      <c r="AI22" s="163" t="s">
        <v>80</v>
      </c>
      <c r="AJ22" s="155"/>
      <c r="AK22" s="163" t="s">
        <v>81</v>
      </c>
      <c r="AL22" s="164"/>
      <c r="AM22" s="506"/>
      <c r="AN22" s="47">
        <f>AH22+(AJ22/60)</f>
        <v>0</v>
      </c>
      <c r="AO22" s="47" t="str">
        <f>IF(OR(G22&lt;&gt;0,S22&lt;&gt;0,AN22&lt;&gt;0),"TRUE","FALSE")</f>
        <v>FALSE</v>
      </c>
      <c r="AP22" s="47" t="str">
        <f>IF(AND(AO22="TRUE",OR(G22=0,S22=0,AN22=0)),"INCOMPLETE","OK")</f>
        <v>OK</v>
      </c>
      <c r="AQ22" s="47">
        <f>G22*S22</f>
        <v>0</v>
      </c>
      <c r="AR22" s="45"/>
      <c r="AS22" s="40"/>
      <c r="AT22" s="537"/>
      <c r="AU22" s="538"/>
      <c r="AV22" s="538"/>
      <c r="AW22" s="538"/>
      <c r="AX22" s="538"/>
      <c r="AY22" s="539"/>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506"/>
      <c r="AN23" s="47"/>
      <c r="AO23" s="47"/>
      <c r="AP23" s="47"/>
      <c r="AQ23" s="5"/>
      <c r="AR23" s="45"/>
      <c r="AS23" s="40"/>
      <c r="AT23" s="537"/>
      <c r="AU23" s="538"/>
      <c r="AV23" s="538"/>
      <c r="AW23" s="538"/>
      <c r="AX23" s="538"/>
      <c r="AY23" s="539"/>
      <c r="AZ23" s="41"/>
    </row>
    <row r="24" spans="2:52" ht="15" customHeight="1" x14ac:dyDescent="0.2">
      <c r="B24" s="40"/>
      <c r="C24" s="10"/>
      <c r="D24" s="159"/>
      <c r="E24" s="275" t="s">
        <v>85</v>
      </c>
      <c r="F24" s="507">
        <f>IF($F$11=$AN$11,G22*S22,IF($Z$11=$E$63,ROUNDDOWN(G22*S22*0.8923,2),G22*S22))</f>
        <v>0</v>
      </c>
      <c r="G24" s="507"/>
      <c r="H24" s="507"/>
      <c r="I24" s="507"/>
      <c r="J24" s="3"/>
      <c r="K24" s="501" t="s">
        <v>83</v>
      </c>
      <c r="L24" s="501"/>
      <c r="M24" s="501"/>
      <c r="N24" s="501"/>
      <c r="O24" s="501"/>
      <c r="P24" s="501"/>
      <c r="Q24" s="501"/>
      <c r="R24" s="501"/>
      <c r="S24" s="505">
        <f>IF(F24=0,0,IF(AN22=0,0,F24/AN22))</f>
        <v>0</v>
      </c>
      <c r="T24" s="505"/>
      <c r="U24" s="505"/>
      <c r="V24" s="505"/>
      <c r="W24" s="170"/>
      <c r="X24" s="502" t="s">
        <v>84</v>
      </c>
      <c r="Y24" s="502"/>
      <c r="Z24" s="502"/>
      <c r="AA24" s="502"/>
      <c r="AB24" s="502"/>
      <c r="AC24" s="502"/>
      <c r="AD24" s="502"/>
      <c r="AE24" s="502"/>
      <c r="AF24" s="502"/>
      <c r="AG24" s="502"/>
      <c r="AH24" s="155"/>
      <c r="AI24" s="163" t="s">
        <v>80</v>
      </c>
      <c r="AJ24" s="155"/>
      <c r="AK24" s="163" t="s">
        <v>81</v>
      </c>
      <c r="AL24" s="171"/>
      <c r="AM24" s="506"/>
      <c r="AN24" s="47">
        <f t="shared" ref="AN24" si="1">AH24+(AJ24/60)</f>
        <v>0</v>
      </c>
      <c r="AO24" s="5" t="str">
        <f>IF(AND(F24&gt;0,$AF$7="Yes",OR(AH24="",AJ24="")),"FALSE","TRUE")</f>
        <v>TRUE</v>
      </c>
      <c r="AP24" s="5"/>
      <c r="AR24" s="45"/>
      <c r="AS24" s="40"/>
      <c r="AT24" s="537"/>
      <c r="AU24" s="538"/>
      <c r="AV24" s="538"/>
      <c r="AW24" s="538"/>
      <c r="AX24" s="538"/>
      <c r="AY24" s="539"/>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506"/>
      <c r="AN25" s="47"/>
      <c r="AO25" s="47"/>
      <c r="AP25" s="47"/>
      <c r="AQ25" s="5"/>
      <c r="AR25" s="45"/>
      <c r="AS25" s="40"/>
      <c r="AT25" s="537"/>
      <c r="AU25" s="538"/>
      <c r="AV25" s="538"/>
      <c r="AW25" s="538"/>
      <c r="AX25" s="538"/>
      <c r="AY25" s="539"/>
      <c r="AZ25" s="41"/>
    </row>
    <row r="26" spans="2:52" ht="4.25" customHeight="1" x14ac:dyDescent="0.2">
      <c r="B26" s="40"/>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c r="AJ26" s="504"/>
      <c r="AK26" s="504"/>
      <c r="AL26" s="504"/>
      <c r="AM26" s="154"/>
      <c r="AN26" s="47"/>
      <c r="AO26" s="47"/>
      <c r="AP26" s="47"/>
      <c r="AQ26" s="5"/>
      <c r="AR26" s="45"/>
      <c r="AS26" s="40"/>
      <c r="AT26" s="537"/>
      <c r="AU26" s="538"/>
      <c r="AV26" s="538"/>
      <c r="AW26" s="538"/>
      <c r="AX26" s="538"/>
      <c r="AY26" s="539"/>
      <c r="AZ26" s="41"/>
    </row>
    <row r="27" spans="2:52" ht="13.5" customHeight="1" x14ac:dyDescent="0.2">
      <c r="B27" s="40"/>
      <c r="C27" s="10">
        <f>C20+7</f>
        <v>44207</v>
      </c>
      <c r="D27" s="515" t="str">
        <f>IF($F$7="Please select claim period"," - Please select claim period above",CONCATENATE(" - Claim week 3: Work completed from Monday ",TEXT(C27,"d mmmm yyyy")," to Sunday ",TEXT(IF(ISNA(C27),"",C27+6),"d mmmm yyyy")))</f>
        <v xml:space="preserve"> - Please select claim period above</v>
      </c>
      <c r="E27" s="516"/>
      <c r="F27" s="516"/>
      <c r="G27" s="516"/>
      <c r="H27" s="516"/>
      <c r="I27" s="516"/>
      <c r="J27" s="516"/>
      <c r="K27" s="516"/>
      <c r="L27" s="516"/>
      <c r="M27" s="516"/>
      <c r="N27" s="516"/>
      <c r="O27" s="516"/>
      <c r="P27" s="516"/>
      <c r="Q27" s="516"/>
      <c r="R27" s="516"/>
      <c r="S27" s="516"/>
      <c r="T27" s="516"/>
      <c r="U27" s="516"/>
      <c r="V27" s="516"/>
      <c r="W27" s="516"/>
      <c r="X27" s="516"/>
      <c r="Y27" s="516"/>
      <c r="Z27" s="516"/>
      <c r="AA27" s="516"/>
      <c r="AB27" s="516"/>
      <c r="AC27" s="516"/>
      <c r="AD27" s="516"/>
      <c r="AE27" s="516"/>
      <c r="AF27" s="516"/>
      <c r="AG27" s="516"/>
      <c r="AH27" s="516"/>
      <c r="AI27" s="516"/>
      <c r="AJ27" s="516"/>
      <c r="AK27" s="516"/>
      <c r="AL27" s="517"/>
      <c r="AM27" s="506"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537"/>
      <c r="AU27" s="538"/>
      <c r="AV27" s="538"/>
      <c r="AW27" s="538"/>
      <c r="AX27" s="538"/>
      <c r="AY27" s="539"/>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506"/>
      <c r="AN28" s="47"/>
      <c r="AO28" s="47"/>
      <c r="AP28" s="47"/>
      <c r="AQ28" s="5"/>
      <c r="AR28" s="45"/>
      <c r="AS28" s="40"/>
      <c r="AT28" s="537"/>
      <c r="AU28" s="538"/>
      <c r="AV28" s="538"/>
      <c r="AW28" s="538"/>
      <c r="AX28" s="538"/>
      <c r="AY28" s="539"/>
      <c r="AZ28" s="41"/>
    </row>
    <row r="29" spans="2:52" ht="15" customHeight="1" x14ac:dyDescent="0.2">
      <c r="B29" s="40"/>
      <c r="C29" s="10"/>
      <c r="D29" s="159"/>
      <c r="E29" s="432" t="s">
        <v>77</v>
      </c>
      <c r="F29" s="432"/>
      <c r="G29" s="433">
        <v>0</v>
      </c>
      <c r="H29" s="433"/>
      <c r="I29" s="433"/>
      <c r="J29" s="3" t="s">
        <v>17</v>
      </c>
      <c r="K29" s="432" t="s">
        <v>78</v>
      </c>
      <c r="L29" s="432"/>
      <c r="M29" s="432"/>
      <c r="N29" s="432"/>
      <c r="O29" s="432"/>
      <c r="P29" s="432"/>
      <c r="Q29" s="432"/>
      <c r="R29" s="432"/>
      <c r="S29" s="496">
        <v>0</v>
      </c>
      <c r="T29" s="496"/>
      <c r="U29" s="496"/>
      <c r="V29" s="496"/>
      <c r="W29" s="3" t="s">
        <v>17</v>
      </c>
      <c r="X29" s="497" t="s">
        <v>79</v>
      </c>
      <c r="Y29" s="497"/>
      <c r="Z29" s="497"/>
      <c r="AA29" s="497"/>
      <c r="AB29" s="497"/>
      <c r="AC29" s="497"/>
      <c r="AD29" s="497"/>
      <c r="AE29" s="497"/>
      <c r="AF29" s="497"/>
      <c r="AG29" s="497"/>
      <c r="AH29" s="155"/>
      <c r="AI29" s="163" t="s">
        <v>80</v>
      </c>
      <c r="AJ29" s="155"/>
      <c r="AK29" s="163" t="s">
        <v>81</v>
      </c>
      <c r="AL29" s="164"/>
      <c r="AM29" s="506"/>
      <c r="AN29" s="47">
        <f t="shared" ref="AN29:AN45" si="2">AH29+(AJ29/60)</f>
        <v>0</v>
      </c>
      <c r="AO29" s="47" t="str">
        <f>IF(OR(G29&lt;&gt;0,S29&lt;&gt;0,AN29&lt;&gt;0),"TRUE","FALSE")</f>
        <v>FALSE</v>
      </c>
      <c r="AP29" s="47" t="str">
        <f>IF(AND(AO29="TRUE",OR(G29=0,S29=0,AN29=0)),"INCOMPLETE","OK")</f>
        <v>OK</v>
      </c>
      <c r="AQ29" s="47">
        <f>G29*S29</f>
        <v>0</v>
      </c>
      <c r="AR29" s="45"/>
      <c r="AS29" s="40"/>
      <c r="AT29" s="537"/>
      <c r="AU29" s="538"/>
      <c r="AV29" s="538"/>
      <c r="AW29" s="538"/>
      <c r="AX29" s="538"/>
      <c r="AY29" s="539"/>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506"/>
      <c r="AN30" s="47"/>
      <c r="AO30" s="47"/>
      <c r="AP30" s="47"/>
      <c r="AQ30" s="5"/>
      <c r="AR30" s="45"/>
      <c r="AS30" s="40"/>
      <c r="AT30" s="537"/>
      <c r="AU30" s="538"/>
      <c r="AV30" s="538"/>
      <c r="AW30" s="538"/>
      <c r="AX30" s="538"/>
      <c r="AY30" s="539"/>
      <c r="AZ30" s="41"/>
    </row>
    <row r="31" spans="2:52" ht="15" customHeight="1" x14ac:dyDescent="0.2">
      <c r="B31" s="40"/>
      <c r="C31" s="10"/>
      <c r="D31" s="159"/>
      <c r="E31" s="275" t="s">
        <v>85</v>
      </c>
      <c r="F31" s="507">
        <f>IF($F$11=$AN$11,G29*S29,IF($Z$11=$E$63,ROUNDDOWN(G29*S29*0.8923,2),G29*S29))</f>
        <v>0</v>
      </c>
      <c r="G31" s="507"/>
      <c r="H31" s="507"/>
      <c r="I31" s="507"/>
      <c r="J31" s="3"/>
      <c r="K31" s="501" t="s">
        <v>83</v>
      </c>
      <c r="L31" s="501"/>
      <c r="M31" s="501"/>
      <c r="N31" s="501"/>
      <c r="O31" s="501"/>
      <c r="P31" s="501"/>
      <c r="Q31" s="501"/>
      <c r="R31" s="501"/>
      <c r="S31" s="505">
        <f>IF(F31=0,0,IF(AN29=0,0,F31/AN29))</f>
        <v>0</v>
      </c>
      <c r="T31" s="505"/>
      <c r="U31" s="505"/>
      <c r="V31" s="505"/>
      <c r="W31" s="170"/>
      <c r="X31" s="502" t="s">
        <v>84</v>
      </c>
      <c r="Y31" s="502"/>
      <c r="Z31" s="502"/>
      <c r="AA31" s="502"/>
      <c r="AB31" s="502"/>
      <c r="AC31" s="502"/>
      <c r="AD31" s="502"/>
      <c r="AE31" s="502"/>
      <c r="AF31" s="502"/>
      <c r="AG31" s="502"/>
      <c r="AH31" s="155"/>
      <c r="AI31" s="163" t="s">
        <v>80</v>
      </c>
      <c r="AJ31" s="155"/>
      <c r="AK31" s="163" t="s">
        <v>81</v>
      </c>
      <c r="AL31" s="171"/>
      <c r="AM31" s="506"/>
      <c r="AN31" s="47">
        <f t="shared" si="2"/>
        <v>0</v>
      </c>
      <c r="AO31" s="5" t="str">
        <f>IF(AND(F31&gt;0,$AF$7="Yes",OR(AH31="",AJ31="")),"FALSE","TRUE")</f>
        <v>TRUE</v>
      </c>
      <c r="AP31" s="5"/>
      <c r="AR31" s="45"/>
      <c r="AS31" s="40"/>
      <c r="AT31" s="537"/>
      <c r="AU31" s="538"/>
      <c r="AV31" s="538"/>
      <c r="AW31" s="538"/>
      <c r="AX31" s="538"/>
      <c r="AY31" s="539"/>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506"/>
      <c r="AN32" s="47"/>
      <c r="AO32" s="47"/>
      <c r="AP32" s="47"/>
      <c r="AQ32" s="5"/>
      <c r="AR32" s="45"/>
      <c r="AS32" s="40"/>
      <c r="AT32" s="537"/>
      <c r="AU32" s="538"/>
      <c r="AV32" s="538"/>
      <c r="AW32" s="538"/>
      <c r="AX32" s="538"/>
      <c r="AY32" s="539"/>
      <c r="AZ32" s="41"/>
    </row>
    <row r="33" spans="2:88" ht="4.25" customHeight="1" x14ac:dyDescent="0.2">
      <c r="B33" s="40"/>
      <c r="C33" s="10"/>
      <c r="D33" s="503"/>
      <c r="E33" s="503"/>
      <c r="F33" s="503"/>
      <c r="G33" s="503"/>
      <c r="H33" s="503"/>
      <c r="I33" s="503"/>
      <c r="J33" s="503"/>
      <c r="K33" s="503"/>
      <c r="L33" s="503"/>
      <c r="M33" s="503"/>
      <c r="N33" s="503"/>
      <c r="O33" s="503"/>
      <c r="P33" s="503"/>
      <c r="Q33" s="503"/>
      <c r="R33" s="503"/>
      <c r="S33" s="503"/>
      <c r="T33" s="503"/>
      <c r="U33" s="503"/>
      <c r="V33" s="503"/>
      <c r="W33" s="503"/>
      <c r="X33" s="503"/>
      <c r="Y33" s="503"/>
      <c r="Z33" s="503"/>
      <c r="AA33" s="503"/>
      <c r="AB33" s="503"/>
      <c r="AC33" s="503"/>
      <c r="AD33" s="503"/>
      <c r="AE33" s="503"/>
      <c r="AF33" s="503"/>
      <c r="AG33" s="503"/>
      <c r="AH33" s="503"/>
      <c r="AI33" s="503"/>
      <c r="AJ33" s="503"/>
      <c r="AK33" s="503"/>
      <c r="AL33" s="503"/>
      <c r="AM33" s="154"/>
      <c r="AN33" s="47"/>
      <c r="AO33" s="47"/>
      <c r="AP33" s="47"/>
      <c r="AQ33" s="5"/>
      <c r="AR33" s="45"/>
      <c r="AS33" s="40"/>
      <c r="AT33" s="537"/>
      <c r="AU33" s="538"/>
      <c r="AV33" s="538"/>
      <c r="AW33" s="538"/>
      <c r="AX33" s="538"/>
      <c r="AY33" s="539"/>
      <c r="AZ33" s="41"/>
    </row>
    <row r="34" spans="2:88" ht="13.5" customHeight="1" x14ac:dyDescent="0.2">
      <c r="B34" s="40"/>
      <c r="C34" s="10">
        <f>C27+7</f>
        <v>44214</v>
      </c>
      <c r="D34" s="515" t="str">
        <f>IF($F$7="Please select claim period"," - Please select claim period above",CONCATENATE(" - Claim week 4: Work completed from Monday ",TEXT(C34,"d mmmm yyyy")," to Sunday ",TEXT(IF(ISNA(C34),"",C34+6),"d mmmm yyyy")))</f>
        <v xml:space="preserve"> - Please select claim period above</v>
      </c>
      <c r="E34" s="516"/>
      <c r="F34" s="516"/>
      <c r="G34" s="516"/>
      <c r="H34" s="516"/>
      <c r="I34" s="516"/>
      <c r="J34" s="516"/>
      <c r="K34" s="516"/>
      <c r="L34" s="516"/>
      <c r="M34" s="516"/>
      <c r="N34" s="516"/>
      <c r="O34" s="516"/>
      <c r="P34" s="516"/>
      <c r="Q34" s="516"/>
      <c r="R34" s="516"/>
      <c r="S34" s="516"/>
      <c r="T34" s="516"/>
      <c r="U34" s="516"/>
      <c r="V34" s="516"/>
      <c r="W34" s="516"/>
      <c r="X34" s="516"/>
      <c r="Y34" s="516"/>
      <c r="Z34" s="516"/>
      <c r="AA34" s="516"/>
      <c r="AB34" s="516"/>
      <c r="AC34" s="516"/>
      <c r="AD34" s="516"/>
      <c r="AE34" s="516"/>
      <c r="AF34" s="516"/>
      <c r="AG34" s="516"/>
      <c r="AH34" s="516"/>
      <c r="AI34" s="516"/>
      <c r="AJ34" s="516"/>
      <c r="AK34" s="516"/>
      <c r="AL34" s="517"/>
      <c r="AM34" s="506"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537"/>
      <c r="AU34" s="538"/>
      <c r="AV34" s="538"/>
      <c r="AW34" s="538"/>
      <c r="AX34" s="538"/>
      <c r="AY34" s="539"/>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506"/>
      <c r="AN35" s="47"/>
      <c r="AO35" s="47"/>
      <c r="AP35" s="47"/>
      <c r="AQ35" s="5"/>
      <c r="AR35" s="45"/>
      <c r="AS35" s="40"/>
      <c r="AT35" s="537"/>
      <c r="AU35" s="538"/>
      <c r="AV35" s="538"/>
      <c r="AW35" s="538"/>
      <c r="AX35" s="538"/>
      <c r="AY35" s="539"/>
      <c r="AZ35" s="41"/>
    </row>
    <row r="36" spans="2:88" ht="15" customHeight="1" x14ac:dyDescent="0.2">
      <c r="B36" s="40"/>
      <c r="C36" s="10"/>
      <c r="D36" s="159"/>
      <c r="E36" s="432" t="s">
        <v>77</v>
      </c>
      <c r="F36" s="432"/>
      <c r="G36" s="433">
        <v>0</v>
      </c>
      <c r="H36" s="433"/>
      <c r="I36" s="433"/>
      <c r="J36" s="3" t="s">
        <v>17</v>
      </c>
      <c r="K36" s="432" t="s">
        <v>78</v>
      </c>
      <c r="L36" s="432"/>
      <c r="M36" s="432"/>
      <c r="N36" s="432"/>
      <c r="O36" s="432"/>
      <c r="P36" s="432"/>
      <c r="Q36" s="432"/>
      <c r="R36" s="432"/>
      <c r="S36" s="496">
        <v>0</v>
      </c>
      <c r="T36" s="496"/>
      <c r="U36" s="496"/>
      <c r="V36" s="496"/>
      <c r="W36" s="3" t="s">
        <v>17</v>
      </c>
      <c r="X36" s="497" t="s">
        <v>79</v>
      </c>
      <c r="Y36" s="497"/>
      <c r="Z36" s="497"/>
      <c r="AA36" s="497"/>
      <c r="AB36" s="497"/>
      <c r="AC36" s="497"/>
      <c r="AD36" s="497"/>
      <c r="AE36" s="497"/>
      <c r="AF36" s="497"/>
      <c r="AG36" s="497"/>
      <c r="AH36" s="155"/>
      <c r="AI36" s="163" t="s">
        <v>80</v>
      </c>
      <c r="AJ36" s="155"/>
      <c r="AK36" s="163" t="s">
        <v>81</v>
      </c>
      <c r="AL36" s="164"/>
      <c r="AM36" s="506"/>
      <c r="AN36" s="47">
        <f t="shared" si="2"/>
        <v>0</v>
      </c>
      <c r="AO36" s="47" t="str">
        <f>IF(OR(G36&lt;&gt;0,S36&lt;&gt;0,AN36&lt;&gt;0),"TRUE","FALSE")</f>
        <v>FALSE</v>
      </c>
      <c r="AP36" s="47" t="str">
        <f>IF(AND(AO36="TRUE",OR(G36=0,S36=0,AN36=0)),"INCOMPLETE","OK")</f>
        <v>OK</v>
      </c>
      <c r="AQ36" s="47">
        <f>G36*S36</f>
        <v>0</v>
      </c>
      <c r="AR36" s="45"/>
      <c r="AS36" s="40"/>
      <c r="AT36" s="537"/>
      <c r="AU36" s="538"/>
      <c r="AV36" s="538"/>
      <c r="AW36" s="538"/>
      <c r="AX36" s="538"/>
      <c r="AY36" s="539"/>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506"/>
      <c r="AN37" s="47"/>
      <c r="AO37" s="47"/>
      <c r="AP37" s="47"/>
      <c r="AQ37" s="5"/>
      <c r="AR37" s="45"/>
      <c r="AS37" s="40"/>
      <c r="AT37" s="537"/>
      <c r="AU37" s="538"/>
      <c r="AV37" s="538"/>
      <c r="AW37" s="538"/>
      <c r="AX37" s="538"/>
      <c r="AY37" s="539"/>
      <c r="AZ37" s="41"/>
    </row>
    <row r="38" spans="2:88" ht="15" customHeight="1" x14ac:dyDescent="0.2">
      <c r="B38" s="40"/>
      <c r="C38" s="10"/>
      <c r="D38" s="159"/>
      <c r="E38" s="275" t="s">
        <v>85</v>
      </c>
      <c r="F38" s="507">
        <f>IF($F$11=$AN$11,G36*S36,IF($Z$11=$E$63,ROUNDDOWN(G36*S36*0.8923,2),G36*S36))</f>
        <v>0</v>
      </c>
      <c r="G38" s="507"/>
      <c r="H38" s="507"/>
      <c r="I38" s="507"/>
      <c r="J38" s="3"/>
      <c r="K38" s="501" t="s">
        <v>83</v>
      </c>
      <c r="L38" s="501"/>
      <c r="M38" s="501"/>
      <c r="N38" s="501"/>
      <c r="O38" s="501"/>
      <c r="P38" s="501"/>
      <c r="Q38" s="501"/>
      <c r="R38" s="501"/>
      <c r="S38" s="505">
        <f>IF(F38=0,0,IF(AN36=0,0,F38/AN36))</f>
        <v>0</v>
      </c>
      <c r="T38" s="505"/>
      <c r="U38" s="505"/>
      <c r="V38" s="505"/>
      <c r="W38" s="170"/>
      <c r="X38" s="502" t="s">
        <v>84</v>
      </c>
      <c r="Y38" s="502"/>
      <c r="Z38" s="502"/>
      <c r="AA38" s="502"/>
      <c r="AB38" s="502"/>
      <c r="AC38" s="502"/>
      <c r="AD38" s="502"/>
      <c r="AE38" s="502"/>
      <c r="AF38" s="502"/>
      <c r="AG38" s="502"/>
      <c r="AH38" s="155"/>
      <c r="AI38" s="163" t="s">
        <v>80</v>
      </c>
      <c r="AJ38" s="155"/>
      <c r="AK38" s="163" t="s">
        <v>81</v>
      </c>
      <c r="AL38" s="171"/>
      <c r="AM38" s="506"/>
      <c r="AN38" s="47">
        <f t="shared" si="2"/>
        <v>0</v>
      </c>
      <c r="AO38" s="5" t="str">
        <f>IF(AND(F38&gt;0,$AF$7="Yes",OR(AH38="",AJ38="")),"FALSE","TRUE")</f>
        <v>TRUE</v>
      </c>
      <c r="AP38" s="5"/>
      <c r="AR38" s="45"/>
      <c r="AS38" s="40"/>
      <c r="AT38" s="537"/>
      <c r="AU38" s="538"/>
      <c r="AV38" s="538"/>
      <c r="AW38" s="538"/>
      <c r="AX38" s="538"/>
      <c r="AY38" s="539"/>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506"/>
      <c r="AN39" s="47"/>
      <c r="AO39" s="47"/>
      <c r="AP39" s="47"/>
      <c r="AQ39" s="5"/>
      <c r="AR39" s="45"/>
      <c r="AS39" s="72"/>
      <c r="AT39" s="537"/>
      <c r="AU39" s="538"/>
      <c r="AV39" s="538"/>
      <c r="AW39" s="538"/>
      <c r="AX39" s="538"/>
      <c r="AY39" s="539"/>
      <c r="AZ39" s="41"/>
    </row>
    <row r="40" spans="2:88" ht="4.25" customHeight="1" x14ac:dyDescent="0.2">
      <c r="B40" s="40"/>
      <c r="C40" s="10"/>
      <c r="D40" s="503"/>
      <c r="E40" s="503"/>
      <c r="F40" s="503"/>
      <c r="G40" s="503"/>
      <c r="H40" s="503"/>
      <c r="I40" s="503"/>
      <c r="J40" s="503"/>
      <c r="K40" s="503"/>
      <c r="L40" s="503"/>
      <c r="M40" s="503"/>
      <c r="N40" s="503"/>
      <c r="O40" s="503"/>
      <c r="P40" s="503"/>
      <c r="Q40" s="503"/>
      <c r="R40" s="503"/>
      <c r="S40" s="503"/>
      <c r="T40" s="503"/>
      <c r="U40" s="503"/>
      <c r="V40" s="503"/>
      <c r="W40" s="503"/>
      <c r="X40" s="503"/>
      <c r="Y40" s="503"/>
      <c r="Z40" s="503"/>
      <c r="AA40" s="503"/>
      <c r="AB40" s="503"/>
      <c r="AC40" s="503"/>
      <c r="AD40" s="503"/>
      <c r="AE40" s="503"/>
      <c r="AF40" s="503"/>
      <c r="AG40" s="503"/>
      <c r="AH40" s="503"/>
      <c r="AI40" s="503"/>
      <c r="AJ40" s="503"/>
      <c r="AK40" s="503"/>
      <c r="AL40" s="503"/>
      <c r="AM40" s="154"/>
      <c r="AN40" s="47"/>
      <c r="AO40" s="47"/>
      <c r="AP40" s="47"/>
      <c r="AQ40" s="5"/>
      <c r="AR40" s="45"/>
      <c r="AS40" s="72"/>
      <c r="AT40" s="537"/>
      <c r="AU40" s="538"/>
      <c r="AV40" s="538"/>
      <c r="AW40" s="538"/>
      <c r="AX40" s="538"/>
      <c r="AY40" s="539"/>
      <c r="AZ40" s="41"/>
    </row>
    <row r="41" spans="2:88" ht="13.5" customHeight="1" x14ac:dyDescent="0.2">
      <c r="B41" s="40"/>
      <c r="C41" s="10">
        <f>C34+7</f>
        <v>44221</v>
      </c>
      <c r="D41" s="518" t="str">
        <f>IF($F$7="Please select claim period"," - Please select claim period above",CONCATENATE(" - Claim week 5: Work completed from Monday ",TEXT(C41,"d mmmm yyyy")," to Sunday ",TEXT(IF(ISNA(C41),"",C41+6),"d mmmm yyyy")))</f>
        <v xml:space="preserve"> - Please select claim period above</v>
      </c>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c r="AE41" s="519"/>
      <c r="AF41" s="519"/>
      <c r="AG41" s="519"/>
      <c r="AH41" s="519"/>
      <c r="AI41" s="519"/>
      <c r="AJ41" s="519"/>
      <c r="AK41" s="519"/>
      <c r="AL41" s="520"/>
      <c r="AM41" s="506"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540"/>
      <c r="AU41" s="541"/>
      <c r="AV41" s="541"/>
      <c r="AW41" s="541"/>
      <c r="AX41" s="541"/>
      <c r="AY41" s="542"/>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506"/>
      <c r="AN42" s="47"/>
      <c r="AO42" s="47"/>
      <c r="AP42" s="47"/>
      <c r="AQ42" s="5"/>
      <c r="AR42" s="45"/>
      <c r="AS42" s="148"/>
      <c r="AT42" s="276"/>
      <c r="AU42" s="276"/>
      <c r="AV42" s="276"/>
      <c r="AW42" s="276"/>
      <c r="AX42" s="276"/>
      <c r="AY42" s="276"/>
      <c r="AZ42" s="68"/>
    </row>
    <row r="43" spans="2:88" ht="15" customHeight="1" x14ac:dyDescent="0.2">
      <c r="B43" s="40"/>
      <c r="C43" s="10"/>
      <c r="D43" s="159"/>
      <c r="E43" s="432" t="s">
        <v>77</v>
      </c>
      <c r="F43" s="432"/>
      <c r="G43" s="433">
        <v>0</v>
      </c>
      <c r="H43" s="433"/>
      <c r="I43" s="433"/>
      <c r="J43" s="3" t="s">
        <v>17</v>
      </c>
      <c r="K43" s="432" t="s">
        <v>78</v>
      </c>
      <c r="L43" s="432"/>
      <c r="M43" s="432"/>
      <c r="N43" s="432"/>
      <c r="O43" s="432"/>
      <c r="P43" s="432"/>
      <c r="Q43" s="432"/>
      <c r="R43" s="432"/>
      <c r="S43" s="496">
        <v>0</v>
      </c>
      <c r="T43" s="496"/>
      <c r="U43" s="496"/>
      <c r="V43" s="496"/>
      <c r="W43" s="3" t="s">
        <v>17</v>
      </c>
      <c r="X43" s="497" t="s">
        <v>79</v>
      </c>
      <c r="Y43" s="497"/>
      <c r="Z43" s="497"/>
      <c r="AA43" s="497"/>
      <c r="AB43" s="497"/>
      <c r="AC43" s="497"/>
      <c r="AD43" s="497"/>
      <c r="AE43" s="497"/>
      <c r="AF43" s="497"/>
      <c r="AG43" s="497"/>
      <c r="AH43" s="155"/>
      <c r="AI43" s="163" t="s">
        <v>80</v>
      </c>
      <c r="AJ43" s="155"/>
      <c r="AK43" s="163" t="s">
        <v>81</v>
      </c>
      <c r="AL43" s="164"/>
      <c r="AM43" s="506"/>
      <c r="AN43" s="47">
        <f t="shared" si="2"/>
        <v>0</v>
      </c>
      <c r="AO43" s="47" t="str">
        <f>IF(OR(G43&lt;&gt;0,S43&lt;&gt;0,AN43&lt;&gt;0),"TRUE","FALSE")</f>
        <v>FALSE</v>
      </c>
      <c r="AP43" s="47" t="str">
        <f>IF(AND(AO43="TRUE",OR(G43=0,S43=0,AN43=0)),"INCOMPLETE","OK")</f>
        <v>OK</v>
      </c>
      <c r="AQ43" s="47">
        <f>IF($AO$7&lt;&gt;5,0,G43*S43)</f>
        <v>0</v>
      </c>
      <c r="AR43" s="45"/>
      <c r="AS43" s="72"/>
      <c r="AT43" s="527" t="s">
        <v>86</v>
      </c>
      <c r="AU43" s="527"/>
      <c r="AV43" s="527"/>
      <c r="AW43" s="527"/>
      <c r="AX43" s="527"/>
      <c r="AY43" s="527"/>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506"/>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507">
        <f>IF($AO$7&lt;&gt;5,0,IF($F$11=$AN$11,G43*S43,IF($Z$11=$E$63,ROUNDDOWN(G43*S43*0.8923,2),G43*S43)))</f>
        <v>0</v>
      </c>
      <c r="G45" s="507"/>
      <c r="H45" s="507"/>
      <c r="I45" s="507"/>
      <c r="J45" s="3"/>
      <c r="K45" s="501" t="s">
        <v>83</v>
      </c>
      <c r="L45" s="501"/>
      <c r="M45" s="501"/>
      <c r="N45" s="501"/>
      <c r="O45" s="501"/>
      <c r="P45" s="501"/>
      <c r="Q45" s="501"/>
      <c r="R45" s="501"/>
      <c r="S45" s="505">
        <f>IF(F45=0,0,IF(AN43=0,0,F45/AN43))</f>
        <v>0</v>
      </c>
      <c r="T45" s="505"/>
      <c r="U45" s="505"/>
      <c r="V45" s="505"/>
      <c r="W45" s="170"/>
      <c r="X45" s="502" t="s">
        <v>84</v>
      </c>
      <c r="Y45" s="502"/>
      <c r="Z45" s="502"/>
      <c r="AA45" s="502"/>
      <c r="AB45" s="502"/>
      <c r="AC45" s="502"/>
      <c r="AD45" s="502"/>
      <c r="AE45" s="502"/>
      <c r="AF45" s="502"/>
      <c r="AG45" s="502"/>
      <c r="AH45" s="155"/>
      <c r="AI45" s="163" t="s">
        <v>80</v>
      </c>
      <c r="AJ45" s="155"/>
      <c r="AK45" s="163" t="s">
        <v>81</v>
      </c>
      <c r="AL45" s="171"/>
      <c r="AM45" s="506"/>
      <c r="AN45" s="47">
        <f t="shared" si="2"/>
        <v>0</v>
      </c>
      <c r="AO45" s="5" t="str">
        <f>IF(AND(F45&gt;0,$AF$7="Yes",OR(AH45="",AJ45="")),"FALSE","TRUE")</f>
        <v>TRUE</v>
      </c>
      <c r="AP45" s="5"/>
      <c r="AR45" s="45"/>
      <c r="AS45" s="72"/>
      <c r="AT45" s="528" t="s">
        <v>87</v>
      </c>
      <c r="AU45" s="528"/>
      <c r="AV45" s="528"/>
      <c r="AW45" s="528"/>
      <c r="AX45" s="528"/>
      <c r="AY45" s="528"/>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506"/>
      <c r="AN46" s="27">
        <f t="shared" ref="AN46" si="3">(AF46+AB46+X46+S46+O46+K46+F46)</f>
        <v>0</v>
      </c>
      <c r="AO46" s="27"/>
      <c r="AP46" s="27"/>
      <c r="AQ46" s="27">
        <f t="shared" ref="AQ46" si="4">AH46+AD46+Z46+U46+Q46+M46+H46</f>
        <v>0</v>
      </c>
      <c r="AR46" s="45"/>
      <c r="AS46" s="72"/>
      <c r="AT46" s="528"/>
      <c r="AU46" s="528"/>
      <c r="AV46" s="528"/>
      <c r="AW46" s="528"/>
      <c r="AX46" s="528"/>
      <c r="AY46" s="528"/>
      <c r="AZ46" s="265"/>
    </row>
    <row r="47" spans="2:88" ht="9" customHeight="1" x14ac:dyDescent="0.2">
      <c r="B47" s="40"/>
      <c r="D47" s="448" t="s">
        <v>88</v>
      </c>
      <c r="E47" s="448"/>
      <c r="F47" s="448"/>
      <c r="G47" s="448"/>
      <c r="H47" s="448"/>
      <c r="I47" s="448"/>
      <c r="J47" s="448"/>
      <c r="K47" s="448"/>
      <c r="L47" s="448"/>
      <c r="M47" s="448"/>
      <c r="N47" s="448"/>
      <c r="O47" s="51"/>
      <c r="P47" s="448" t="s">
        <v>89</v>
      </c>
      <c r="Q47" s="448"/>
      <c r="R47" s="448"/>
      <c r="S47" s="448"/>
      <c r="T47" s="448"/>
      <c r="U47" s="448"/>
      <c r="V47" s="448"/>
      <c r="W47" s="448"/>
      <c r="X47" s="448"/>
      <c r="Y47" s="448"/>
      <c r="Z47" s="448"/>
      <c r="AA47" s="448"/>
      <c r="AB47" s="448"/>
      <c r="AC47" s="448"/>
      <c r="AD47" s="448"/>
      <c r="AE47" s="448"/>
      <c r="AF47" s="448"/>
      <c r="AG47" s="448"/>
      <c r="AH47" s="448"/>
      <c r="AI47" s="448"/>
      <c r="AJ47" s="448"/>
      <c r="AK47" s="448"/>
      <c r="AL47" s="448"/>
      <c r="AN47" s="5"/>
      <c r="AO47" s="5"/>
      <c r="AP47" s="5"/>
      <c r="AQ47" s="5"/>
      <c r="AR47" s="45"/>
      <c r="AS47" s="143"/>
      <c r="AT47" s="529"/>
      <c r="AU47" s="529"/>
      <c r="AV47" s="529"/>
      <c r="AW47" s="529"/>
      <c r="AX47" s="529"/>
      <c r="AY47" s="529"/>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449"/>
      <c r="E48" s="449"/>
      <c r="F48" s="449"/>
      <c r="G48" s="449"/>
      <c r="H48" s="449"/>
      <c r="I48" s="449"/>
      <c r="J48" s="449"/>
      <c r="K48" s="449"/>
      <c r="L48" s="449"/>
      <c r="M48" s="449"/>
      <c r="N48" s="449"/>
      <c r="O48" s="186"/>
      <c r="P48" s="449"/>
      <c r="Q48" s="449"/>
      <c r="R48" s="449"/>
      <c r="S48" s="449"/>
      <c r="T48" s="449"/>
      <c r="U48" s="449"/>
      <c r="V48" s="449"/>
      <c r="W48" s="449"/>
      <c r="X48" s="449"/>
      <c r="Y48" s="449"/>
      <c r="Z48" s="449"/>
      <c r="AA48" s="449"/>
      <c r="AB48" s="449"/>
      <c r="AC48" s="449"/>
      <c r="AD48" s="449"/>
      <c r="AE48" s="449"/>
      <c r="AF48" s="449"/>
      <c r="AG48" s="449"/>
      <c r="AH48" s="449"/>
      <c r="AI48" s="449"/>
      <c r="AJ48" s="449"/>
      <c r="AK48" s="449"/>
      <c r="AL48" s="449"/>
      <c r="AN48" s="5"/>
      <c r="AO48" s="5"/>
      <c r="AP48" s="5"/>
      <c r="AQ48" s="5"/>
      <c r="AR48" s="45"/>
      <c r="AS48" s="278"/>
      <c r="AT48" s="530" t="str">
        <f>IF(OR(F7="Please select",AC5=0,AC3="Please enter"),"[Pay Ref No] - [Surname] - [Claim Period].xlsx",CONCATENATE(AC5," - ",AC3," - ",VLOOKUP(F7,ClaimPeriods,5,FALSE),".xlsx"))</f>
        <v>[Pay Ref No] - [Surname] - [Claim Period].xlsx</v>
      </c>
      <c r="AU48" s="530"/>
      <c r="AV48" s="530"/>
      <c r="AW48" s="530"/>
      <c r="AX48" s="530"/>
      <c r="AY48" s="531"/>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84" t="s">
        <v>90</v>
      </c>
      <c r="E49" s="492"/>
      <c r="F49" s="554" t="s">
        <v>59</v>
      </c>
      <c r="G49" s="555"/>
      <c r="H49" s="555"/>
      <c r="I49" s="555"/>
      <c r="J49" s="555"/>
      <c r="K49" s="555"/>
      <c r="L49" s="555"/>
      <c r="M49" s="555"/>
      <c r="N49" s="556"/>
      <c r="O49" s="316"/>
      <c r="P49" s="468" t="s">
        <v>91</v>
      </c>
      <c r="Q49" s="468"/>
      <c r="R49" s="469"/>
      <c r="S49" s="470" t="s">
        <v>92</v>
      </c>
      <c r="T49" s="468"/>
      <c r="U49" s="468"/>
      <c r="V49" s="468" t="s">
        <v>93</v>
      </c>
      <c r="W49" s="468"/>
      <c r="X49" s="468"/>
      <c r="Y49" s="469"/>
      <c r="Z49" s="471" t="s">
        <v>94</v>
      </c>
      <c r="AA49" s="468"/>
      <c r="AB49" s="468"/>
      <c r="AC49" s="469"/>
      <c r="AD49" s="470" t="s">
        <v>95</v>
      </c>
      <c r="AE49" s="468"/>
      <c r="AF49" s="468"/>
      <c r="AG49" s="468"/>
      <c r="AH49" s="468" t="s">
        <v>96</v>
      </c>
      <c r="AI49" s="468"/>
      <c r="AJ49" s="468"/>
      <c r="AK49" s="468"/>
      <c r="AL49" s="468"/>
      <c r="AN49" s="48" t="s">
        <v>97</v>
      </c>
      <c r="AO49" s="47" t="str">
        <f>IF(OR(AO15="TRUE",AO22="TRUE",AO29="TRUE",AO36="TRUE",AO43="TRUE"),"TRUE","FALSE")</f>
        <v>FALSE</v>
      </c>
      <c r="AP49" s="47" t="str">
        <f>IF(OR(AP15="INCOMPLETE",AP22="INCOMPLETE",AP29="INCOMPLETE",AP36="INCOMPLETE",AP43="INCOMPLETE"),"INCOMPLETE","OK")</f>
        <v>OK</v>
      </c>
      <c r="AR49" s="45"/>
      <c r="AS49" s="278"/>
      <c r="AT49" s="532"/>
      <c r="AU49" s="532"/>
      <c r="AV49" s="532"/>
      <c r="AW49" s="532"/>
      <c r="AX49" s="532"/>
      <c r="AY49" s="533"/>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563" t="s">
        <v>98</v>
      </c>
      <c r="E50" s="564"/>
      <c r="F50" s="564"/>
      <c r="G50" s="564"/>
      <c r="H50" s="564"/>
      <c r="I50" s="564"/>
      <c r="J50" s="564"/>
      <c r="K50" s="565"/>
      <c r="L50" s="557" t="s">
        <v>99</v>
      </c>
      <c r="M50" s="558"/>
      <c r="N50" s="559"/>
      <c r="P50" s="450" t="str">
        <f>VLOOKUP(F11,SessionalTypesFPE,2,FALSE)</f>
        <v>----</v>
      </c>
      <c r="Q50" s="450"/>
      <c r="R50" s="451"/>
      <c r="S50" s="452" t="s">
        <v>100</v>
      </c>
      <c r="T50" s="450"/>
      <c r="U50" s="450"/>
      <c r="V50" s="453">
        <f>(F17+F24+F31+F38+F45)*(1-(F55+F56))</f>
        <v>0</v>
      </c>
      <c r="W50" s="450"/>
      <c r="X50" s="450"/>
      <c r="Y50" s="451"/>
      <c r="Z50" s="454">
        <f>(F17+F24+F31+F38+F45)*F55</f>
        <v>0</v>
      </c>
      <c r="AA50" s="450"/>
      <c r="AB50" s="450"/>
      <c r="AC50" s="451"/>
      <c r="AD50" s="455">
        <f>(F17+F24+F31+F38+F45)*F56</f>
        <v>0</v>
      </c>
      <c r="AE50" s="450"/>
      <c r="AF50" s="450"/>
      <c r="AG50" s="450"/>
      <c r="AH50" s="453">
        <f>SUM(V50:AG50)</f>
        <v>0</v>
      </c>
      <c r="AI50" s="450"/>
      <c r="AJ50" s="450"/>
      <c r="AK50" s="450"/>
      <c r="AL50" s="450"/>
      <c r="AN50" s="5"/>
      <c r="AO50" s="5"/>
      <c r="AP50" s="5"/>
      <c r="AQ50" s="5"/>
      <c r="AR50" s="45"/>
      <c r="AS50" s="73"/>
      <c r="AT50" s="521" t="s">
        <v>101</v>
      </c>
      <c r="AU50" s="521"/>
      <c r="AV50" s="521"/>
      <c r="AW50" s="521"/>
      <c r="AX50" s="521"/>
      <c r="AY50" s="521"/>
      <c r="AZ50" s="522"/>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566" t="s">
        <v>102</v>
      </c>
      <c r="E51" s="567"/>
      <c r="F51" s="567"/>
      <c r="G51" s="567"/>
      <c r="H51" s="567"/>
      <c r="I51" s="567"/>
      <c r="J51" s="567"/>
      <c r="K51" s="568"/>
      <c r="L51" s="548">
        <f>'UniWorkforce Expenses Claim'!AF34</f>
        <v>0</v>
      </c>
      <c r="M51" s="549"/>
      <c r="N51" s="550"/>
      <c r="P51" s="456"/>
      <c r="Q51" s="457"/>
      <c r="R51" s="458"/>
      <c r="S51" s="459" t="s">
        <v>100</v>
      </c>
      <c r="T51" s="457"/>
      <c r="U51" s="452"/>
      <c r="V51" s="467"/>
      <c r="W51" s="466"/>
      <c r="X51" s="466"/>
      <c r="Y51" s="472"/>
      <c r="Z51" s="465"/>
      <c r="AA51" s="466"/>
      <c r="AB51" s="466"/>
      <c r="AC51" s="472"/>
      <c r="AD51" s="465"/>
      <c r="AE51" s="466"/>
      <c r="AF51" s="466"/>
      <c r="AG51" s="455"/>
      <c r="AH51" s="467">
        <f>SUM(V51:AG51)</f>
        <v>0</v>
      </c>
      <c r="AI51" s="457"/>
      <c r="AJ51" s="457"/>
      <c r="AK51" s="457"/>
      <c r="AL51" s="452"/>
      <c r="AN51" s="5"/>
      <c r="AO51" s="5"/>
      <c r="AP51" s="5"/>
      <c r="AQ51" s="35"/>
      <c r="AR51" s="45"/>
      <c r="AS51" s="144"/>
      <c r="AT51" s="521"/>
      <c r="AU51" s="521"/>
      <c r="AV51" s="521"/>
      <c r="AW51" s="521"/>
      <c r="AX51" s="521"/>
      <c r="AY51" s="521"/>
      <c r="AZ51" s="522"/>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545" t="s">
        <v>103</v>
      </c>
      <c r="E52" s="546"/>
      <c r="F52" s="546"/>
      <c r="G52" s="546"/>
      <c r="H52" s="546"/>
      <c r="I52" s="546"/>
      <c r="J52" s="546"/>
      <c r="K52" s="547"/>
      <c r="L52" s="551">
        <f>'UniWorkforce Expenses Claim'!AF36</f>
        <v>0</v>
      </c>
      <c r="M52" s="552"/>
      <c r="N52" s="553"/>
      <c r="P52" s="450"/>
      <c r="Q52" s="450"/>
      <c r="R52" s="451"/>
      <c r="S52" s="452" t="s">
        <v>100</v>
      </c>
      <c r="T52" s="450"/>
      <c r="U52" s="450"/>
      <c r="V52" s="453"/>
      <c r="W52" s="450"/>
      <c r="X52" s="450"/>
      <c r="Y52" s="451"/>
      <c r="Z52" s="454"/>
      <c r="AA52" s="450"/>
      <c r="AB52" s="450"/>
      <c r="AC52" s="451"/>
      <c r="AD52" s="455"/>
      <c r="AE52" s="450"/>
      <c r="AF52" s="450"/>
      <c r="AG52" s="450"/>
      <c r="AH52" s="453">
        <f>SUM(V52:AG52)</f>
        <v>0</v>
      </c>
      <c r="AI52" s="450"/>
      <c r="AJ52" s="450"/>
      <c r="AK52" s="450"/>
      <c r="AL52" s="450"/>
      <c r="AN52" s="5"/>
      <c r="AO52" s="5"/>
      <c r="AP52" s="5"/>
      <c r="AQ52" s="35"/>
      <c r="AR52" s="45"/>
      <c r="AS52" s="145"/>
      <c r="AT52" s="521"/>
      <c r="AU52" s="521"/>
      <c r="AV52" s="521"/>
      <c r="AW52" s="521"/>
      <c r="AX52" s="521"/>
      <c r="AY52" s="521"/>
      <c r="AZ52" s="522"/>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440" t="s">
        <v>105</v>
      </c>
      <c r="Q53" s="441"/>
      <c r="R53" s="441"/>
      <c r="S53" s="441"/>
      <c r="T53" s="441"/>
      <c r="U53" s="442"/>
      <c r="V53" s="443">
        <f>AH53*(1-(F55+F56))</f>
        <v>0</v>
      </c>
      <c r="W53" s="444"/>
      <c r="X53" s="444"/>
      <c r="Y53" s="445"/>
      <c r="Z53" s="460">
        <f>AH53*F55</f>
        <v>0</v>
      </c>
      <c r="AA53" s="444"/>
      <c r="AB53" s="444"/>
      <c r="AC53" s="445"/>
      <c r="AD53" s="461">
        <f>AH53*F56</f>
        <v>0</v>
      </c>
      <c r="AE53" s="444"/>
      <c r="AF53" s="444"/>
      <c r="AG53" s="444"/>
      <c r="AH53" s="443">
        <f>(IF($F$11=$AN$11,0,IF($Z$11=E64,SUM(AH50:AL52)*0.1207,((AQ43+AQ36+AQ29+AQ22+AQ15)-(F45+F38+F31+F24+F17)))))</f>
        <v>0</v>
      </c>
      <c r="AI53" s="444"/>
      <c r="AJ53" s="444"/>
      <c r="AK53" s="444"/>
      <c r="AL53" s="444"/>
      <c r="AN53" s="5"/>
      <c r="AO53" s="5"/>
      <c r="AP53" s="5"/>
      <c r="AQ53" s="35"/>
      <c r="AR53" s="45"/>
      <c r="AS53" s="145"/>
      <c r="AT53" s="521"/>
      <c r="AU53" s="521"/>
      <c r="AV53" s="521"/>
      <c r="AW53" s="521"/>
      <c r="AX53" s="521"/>
      <c r="AY53" s="521"/>
      <c r="AZ53" s="522"/>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84" t="s">
        <v>106</v>
      </c>
      <c r="E54" s="492"/>
      <c r="F54" s="569">
        <v>1</v>
      </c>
      <c r="G54" s="570"/>
      <c r="H54" s="570"/>
      <c r="I54" s="260" t="s">
        <v>17</v>
      </c>
      <c r="J54" s="573">
        <v>0</v>
      </c>
      <c r="K54" s="573"/>
      <c r="L54" s="573"/>
      <c r="M54" s="573"/>
      <c r="N54" s="573"/>
      <c r="O54" s="190"/>
      <c r="P54" s="322"/>
      <c r="Q54" s="322"/>
      <c r="R54" s="322"/>
      <c r="S54" s="317"/>
      <c r="T54" s="318"/>
      <c r="U54" s="318"/>
      <c r="V54" s="318"/>
      <c r="W54" s="318"/>
      <c r="X54" s="319"/>
      <c r="Y54" s="446" t="s">
        <v>107</v>
      </c>
      <c r="Z54" s="446"/>
      <c r="AA54" s="446"/>
      <c r="AB54" s="446"/>
      <c r="AC54" s="446"/>
      <c r="AD54" s="446"/>
      <c r="AE54" s="446"/>
      <c r="AF54" s="446"/>
      <c r="AG54" s="447"/>
      <c r="AH54" s="462">
        <f>SUM(AH50:AL53)</f>
        <v>0</v>
      </c>
      <c r="AI54" s="463"/>
      <c r="AJ54" s="463"/>
      <c r="AK54" s="463"/>
      <c r="AL54" s="464"/>
      <c r="AN54" s="324" t="e">
        <f>AH53/SUM(AH50:AL52)</f>
        <v>#DIV/0!</v>
      </c>
      <c r="AO54" s="5"/>
      <c r="AP54" s="5"/>
      <c r="AQ54" s="35"/>
      <c r="AR54" s="45"/>
      <c r="AS54" s="146"/>
      <c r="AT54" s="521"/>
      <c r="AU54" s="521"/>
      <c r="AV54" s="521"/>
      <c r="AW54" s="521"/>
      <c r="AX54" s="521"/>
      <c r="AY54" s="521"/>
      <c r="AZ54" s="522"/>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25" t="s">
        <v>108</v>
      </c>
      <c r="E55" s="526"/>
      <c r="F55" s="569">
        <v>0</v>
      </c>
      <c r="G55" s="570"/>
      <c r="H55" s="570"/>
      <c r="I55" s="260" t="s">
        <v>17</v>
      </c>
      <c r="J55" s="573">
        <v>0</v>
      </c>
      <c r="K55" s="573"/>
      <c r="L55" s="573"/>
      <c r="M55" s="573"/>
      <c r="N55" s="573"/>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21"/>
      <c r="AU55" s="521"/>
      <c r="AV55" s="521"/>
      <c r="AW55" s="521"/>
      <c r="AX55" s="521"/>
      <c r="AY55" s="521"/>
      <c r="AZ55" s="522"/>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575" t="s">
        <v>109</v>
      </c>
      <c r="E56" s="576"/>
      <c r="F56" s="571">
        <v>0</v>
      </c>
      <c r="G56" s="572"/>
      <c r="H56" s="572"/>
      <c r="I56" s="312" t="s">
        <v>17</v>
      </c>
      <c r="J56" s="574">
        <v>0</v>
      </c>
      <c r="K56" s="574"/>
      <c r="L56" s="574"/>
      <c r="M56" s="574"/>
      <c r="N56" s="574"/>
      <c r="O56" s="190"/>
      <c r="P56" s="437" t="s">
        <v>110</v>
      </c>
      <c r="Q56" s="438"/>
      <c r="R56" s="438"/>
      <c r="S56" s="438"/>
      <c r="T56" s="438"/>
      <c r="U56" s="438"/>
      <c r="V56" s="438"/>
      <c r="W56" s="438"/>
      <c r="X56" s="438"/>
      <c r="Y56" s="439"/>
      <c r="Z56" s="434" t="str">
        <f>CONCATENATE(IF(ISNA(VLOOKUP(Z9,Bucket,2,FALSE)),IF(ISNA(VLOOKUP(F9,Bucket,2,FALSE)),"----",VLOOKUP(F9,Bucket,2,FALSE)),VLOOKUP(Z9,Bucket,2,FALSE)),"-",VLOOKUP(F11,SessionalTypesFPE,3,FALSE))</f>
        <v>---------</v>
      </c>
      <c r="AA56" s="435"/>
      <c r="AB56" s="435"/>
      <c r="AC56" s="435"/>
      <c r="AD56" s="435"/>
      <c r="AE56" s="435"/>
      <c r="AF56" s="435"/>
      <c r="AG56" s="435"/>
      <c r="AH56" s="435"/>
      <c r="AI56" s="435"/>
      <c r="AJ56" s="435"/>
      <c r="AK56" s="435"/>
      <c r="AL56" s="436"/>
      <c r="AN56" s="48"/>
      <c r="AO56" s="48"/>
      <c r="AP56" s="48"/>
      <c r="AQ56" s="47"/>
      <c r="AR56" s="45"/>
      <c r="AS56" s="144"/>
      <c r="AT56" s="521"/>
      <c r="AU56" s="521"/>
      <c r="AV56" s="521"/>
      <c r="AW56" s="521"/>
      <c r="AX56" s="521"/>
      <c r="AY56" s="521"/>
      <c r="AZ56" s="522"/>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21"/>
      <c r="AU57" s="521"/>
      <c r="AV57" s="521"/>
      <c r="AW57" s="521"/>
      <c r="AX57" s="521"/>
      <c r="AY57" s="521"/>
      <c r="AZ57" s="522"/>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84" t="s">
        <v>111</v>
      </c>
      <c r="E58" s="492"/>
      <c r="F58" s="560" t="s">
        <v>59</v>
      </c>
      <c r="G58" s="561"/>
      <c r="H58" s="561"/>
      <c r="I58" s="561"/>
      <c r="J58" s="561"/>
      <c r="K58" s="561"/>
      <c r="L58" s="561"/>
      <c r="M58" s="561"/>
      <c r="N58" s="562"/>
      <c r="O58" s="2"/>
      <c r="P58" s="2"/>
      <c r="Q58" s="2"/>
      <c r="R58" s="2"/>
      <c r="AN58" s="48"/>
      <c r="AO58" s="48"/>
      <c r="AP58" s="48"/>
      <c r="AQ58" s="47"/>
      <c r="AR58" s="45"/>
      <c r="AS58" s="144"/>
      <c r="AT58" s="521"/>
      <c r="AU58" s="521"/>
      <c r="AV58" s="521"/>
      <c r="AW58" s="521"/>
      <c r="AX58" s="521"/>
      <c r="AY58" s="521"/>
      <c r="AZ58" s="522"/>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23"/>
      <c r="AU59" s="523"/>
      <c r="AV59" s="523"/>
      <c r="AW59" s="523"/>
      <c r="AX59" s="523"/>
      <c r="AY59" s="523"/>
      <c r="AZ59" s="524"/>
    </row>
    <row r="60" spans="1:88" ht="26.25" customHeight="1" x14ac:dyDescent="0.2">
      <c r="B60" s="508" t="s">
        <v>112</v>
      </c>
      <c r="C60" s="509"/>
      <c r="D60" s="509"/>
      <c r="E60" s="509"/>
      <c r="F60" s="509"/>
      <c r="G60" s="509"/>
      <c r="H60" s="509"/>
      <c r="I60" s="509"/>
      <c r="J60" s="509"/>
      <c r="K60" s="509"/>
      <c r="L60" s="509"/>
      <c r="M60" s="509"/>
      <c r="N60" s="509"/>
      <c r="O60" s="509"/>
      <c r="P60" s="509"/>
      <c r="Q60" s="509"/>
      <c r="R60" s="509"/>
      <c r="S60" s="509"/>
      <c r="T60" s="509"/>
      <c r="U60" s="509"/>
      <c r="V60" s="509"/>
      <c r="W60" s="509"/>
      <c r="X60" s="509"/>
      <c r="Y60" s="509"/>
      <c r="Z60" s="509"/>
      <c r="AA60" s="509"/>
      <c r="AB60" s="509"/>
      <c r="AC60" s="509"/>
      <c r="AD60" s="509"/>
      <c r="AE60" s="509"/>
      <c r="AF60" s="509"/>
      <c r="AG60" s="509"/>
      <c r="AH60" s="509"/>
      <c r="AI60" s="509"/>
      <c r="AJ60" s="509"/>
      <c r="AK60" s="509"/>
      <c r="AL60" s="509"/>
      <c r="AM60" s="509"/>
      <c r="AN60" s="509"/>
      <c r="AO60" s="509"/>
      <c r="AP60" s="509"/>
      <c r="AQ60" s="509"/>
      <c r="AR60" s="509"/>
      <c r="AS60" s="509"/>
      <c r="AT60" s="509"/>
      <c r="AU60" s="509"/>
      <c r="AV60" s="509"/>
      <c r="AW60" s="509"/>
      <c r="AX60" s="509"/>
      <c r="AY60" s="509"/>
      <c r="AZ60" s="510"/>
    </row>
    <row r="61" spans="1:88" ht="15" customHeight="1" x14ac:dyDescent="0.2">
      <c r="B61" s="511" t="s">
        <v>113</v>
      </c>
      <c r="C61" s="512"/>
      <c r="D61" s="512"/>
      <c r="E61" s="512"/>
      <c r="F61" s="512"/>
      <c r="G61" s="512"/>
      <c r="H61" s="512"/>
      <c r="I61" s="512"/>
      <c r="J61" s="512"/>
      <c r="K61" s="512"/>
      <c r="L61" s="512"/>
      <c r="M61" s="512"/>
      <c r="N61" s="512"/>
      <c r="O61" s="512"/>
      <c r="P61" s="512"/>
      <c r="Q61" s="512"/>
      <c r="R61" s="512"/>
      <c r="S61" s="512"/>
      <c r="T61" s="512"/>
      <c r="U61" s="512"/>
      <c r="V61" s="512"/>
      <c r="W61" s="512"/>
      <c r="X61" s="512"/>
      <c r="Y61" s="512"/>
      <c r="Z61" s="512"/>
      <c r="AA61" s="512"/>
      <c r="AB61" s="512"/>
      <c r="AC61" s="512"/>
      <c r="AD61" s="512"/>
      <c r="AE61" s="512"/>
      <c r="AF61" s="512"/>
      <c r="AG61" s="512"/>
      <c r="AH61" s="512"/>
      <c r="AI61" s="512"/>
      <c r="AJ61" s="512"/>
      <c r="AK61" s="512"/>
      <c r="AL61" s="512"/>
      <c r="AM61" s="512"/>
      <c r="AN61" s="512"/>
      <c r="AO61" s="512"/>
      <c r="AP61" s="512"/>
      <c r="AQ61" s="512"/>
      <c r="AR61" s="512"/>
      <c r="AS61" s="512"/>
      <c r="AT61" s="512"/>
      <c r="AU61" s="512"/>
      <c r="AV61" s="512"/>
      <c r="AW61" s="512"/>
      <c r="AX61" s="512"/>
      <c r="AY61" s="512"/>
      <c r="AZ61" s="513"/>
    </row>
    <row r="62" spans="1:88" x14ac:dyDescent="0.2">
      <c r="B62" s="514"/>
      <c r="C62" s="514"/>
      <c r="D62" s="514"/>
      <c r="E62" s="514"/>
      <c r="F62" s="514"/>
      <c r="G62" s="514"/>
      <c r="H62" s="514"/>
      <c r="I62" s="514"/>
      <c r="J62" s="514"/>
      <c r="K62" s="514"/>
      <c r="L62" s="514"/>
      <c r="M62" s="514"/>
      <c r="N62" s="514"/>
      <c r="O62" s="514"/>
      <c r="P62" s="514"/>
      <c r="Q62" s="514"/>
      <c r="R62" s="514"/>
      <c r="S62" s="514"/>
      <c r="T62" s="514"/>
      <c r="U62" s="514"/>
      <c r="V62" s="514"/>
      <c r="W62" s="514"/>
      <c r="X62" s="514"/>
      <c r="Y62" s="514"/>
      <c r="Z62" s="514"/>
      <c r="AA62" s="514"/>
      <c r="AB62" s="514"/>
      <c r="AC62" s="514"/>
      <c r="AD62" s="514"/>
      <c r="AE62" s="514"/>
      <c r="AF62" s="514"/>
      <c r="AG62" s="514"/>
      <c r="AH62" s="514"/>
      <c r="AI62" s="514"/>
      <c r="AJ62" s="514"/>
      <c r="AK62" s="514"/>
      <c r="AL62" s="514"/>
      <c r="AM62" s="514"/>
      <c r="AN62" s="514"/>
      <c r="AO62" s="514"/>
      <c r="AP62" s="514"/>
      <c r="AQ62" s="514"/>
      <c r="AR62" s="514"/>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D3:E3"/>
    <mergeCell ref="D5:E5"/>
    <mergeCell ref="D7:E7"/>
    <mergeCell ref="D9:E9"/>
    <mergeCell ref="D11:E11"/>
    <mergeCell ref="K15:R15"/>
    <mergeCell ref="G15:I15"/>
    <mergeCell ref="S15:V15"/>
    <mergeCell ref="X15:AG15"/>
    <mergeCell ref="D13:AL13"/>
    <mergeCell ref="E15:F15"/>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M477"/>
  <sheetViews>
    <sheetView showGridLines="0" showRowColHeaders="0" tabSelected="1" topLeftCell="A17" zoomScale="180" zoomScaleNormal="180" workbookViewId="0">
      <selection activeCell="I69" sqref="I69"/>
    </sheetView>
  </sheetViews>
  <sheetFormatPr baseColWidth="10" defaultColWidth="0" defaultRowHeight="15" zeroHeight="1"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4" width="9.33203125" style="1" customWidth="1"/>
    <col min="45" max="45" width="9.5" style="1" bestFit="1" customWidth="1"/>
    <col min="46" max="46" width="9.5" style="1" customWidth="1"/>
    <col min="47" max="48" width="2" style="1" customWidth="1"/>
    <col min="49" max="49" width="9.33203125" style="1" customWidth="1"/>
    <col min="50" max="53" width="10.6640625" style="1" hidden="1" customWidth="1"/>
    <col min="54" max="55" width="10" style="1" hidden="1" customWidth="1"/>
    <col min="56" max="58" width="10.6640625" style="1" hidden="1" customWidth="1"/>
    <col min="59" max="61" width="10" style="1" hidden="1" customWidth="1"/>
    <col min="62" max="64" width="10.6640625" style="1" hidden="1" customWidth="1"/>
    <col min="65" max="67" width="10" style="1" hidden="1" customWidth="1"/>
    <col min="68" max="70" width="10.6640625" style="1" hidden="1" customWidth="1"/>
    <col min="71" max="73" width="10" style="1" hidden="1" customWidth="1"/>
    <col min="74" max="76" width="10.6640625" style="1" hidden="1" customWidth="1"/>
    <col min="77" max="79" width="10" style="1" hidden="1" customWidth="1"/>
    <col min="80" max="16384" width="9.33203125" style="1" hidden="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73" t="s">
        <v>57</v>
      </c>
      <c r="AQ2" s="473"/>
      <c r="AR2" s="473"/>
      <c r="AS2" s="473"/>
      <c r="AT2" s="473"/>
      <c r="AU2" s="473"/>
      <c r="AV2" s="39"/>
    </row>
    <row r="3" spans="2:48" ht="15" customHeight="1" x14ac:dyDescent="0.2">
      <c r="B3" s="40"/>
      <c r="D3" s="70" t="s">
        <v>58</v>
      </c>
      <c r="E3" s="644" t="s">
        <v>819</v>
      </c>
      <c r="F3" s="644"/>
      <c r="G3" s="644"/>
      <c r="H3" s="644"/>
      <c r="I3" s="644"/>
      <c r="J3" s="644"/>
      <c r="K3" s="644"/>
      <c r="L3" s="644"/>
      <c r="M3" s="644"/>
      <c r="N3" s="644"/>
      <c r="O3" s="644"/>
      <c r="P3" s="644"/>
      <c r="Q3" s="2"/>
      <c r="R3" s="475" t="s">
        <v>60</v>
      </c>
      <c r="S3" s="475"/>
      <c r="T3" s="475"/>
      <c r="U3" s="475"/>
      <c r="V3" s="475"/>
      <c r="W3" s="475"/>
      <c r="X3" s="475"/>
      <c r="Y3" s="475"/>
      <c r="Z3" s="644" t="s">
        <v>820</v>
      </c>
      <c r="AA3" s="644"/>
      <c r="AB3" s="644"/>
      <c r="AC3" s="644"/>
      <c r="AD3" s="644"/>
      <c r="AE3" s="644"/>
      <c r="AF3" s="644"/>
      <c r="AG3" s="644"/>
      <c r="AH3" s="644"/>
      <c r="AI3" s="644"/>
      <c r="AJ3" s="644"/>
      <c r="AK3" s="4"/>
      <c r="AN3" s="45"/>
      <c r="AO3" s="40"/>
      <c r="AP3" s="481"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481"/>
      <c r="AR3" s="481"/>
      <c r="AS3" s="481"/>
      <c r="AT3" s="481"/>
      <c r="AU3" s="481"/>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481"/>
      <c r="AQ4" s="481"/>
      <c r="AR4" s="481"/>
      <c r="AS4" s="481"/>
      <c r="AT4" s="481"/>
      <c r="AU4" s="481"/>
      <c r="AV4" s="41"/>
    </row>
    <row r="5" spans="2:48" x14ac:dyDescent="0.2">
      <c r="B5" s="40"/>
      <c r="D5" s="70" t="s">
        <v>61</v>
      </c>
      <c r="E5" s="476">
        <v>35817</v>
      </c>
      <c r="F5" s="476"/>
      <c r="G5" s="476"/>
      <c r="H5" s="476"/>
      <c r="I5" s="476"/>
      <c r="J5" s="476"/>
      <c r="K5" s="476"/>
      <c r="L5" s="476"/>
      <c r="M5" s="476"/>
      <c r="N5" s="476"/>
      <c r="O5" s="476"/>
      <c r="P5" s="476"/>
      <c r="Q5" s="5"/>
      <c r="R5" s="475" t="s">
        <v>62</v>
      </c>
      <c r="S5" s="475"/>
      <c r="T5" s="475"/>
      <c r="U5" s="475"/>
      <c r="V5" s="475"/>
      <c r="W5" s="475"/>
      <c r="X5" s="475"/>
      <c r="Y5" s="475"/>
      <c r="Z5" s="477">
        <v>2915413</v>
      </c>
      <c r="AA5" s="477"/>
      <c r="AB5" s="477"/>
      <c r="AC5" s="477"/>
      <c r="AD5" s="477"/>
      <c r="AE5" s="477"/>
      <c r="AF5" s="477"/>
      <c r="AG5" s="477"/>
      <c r="AH5" s="477"/>
      <c r="AI5" s="477"/>
      <c r="AJ5" s="477"/>
      <c r="AK5" s="7"/>
      <c r="AL5" s="5"/>
      <c r="AM5" s="5"/>
      <c r="AN5" s="45"/>
      <c r="AO5" s="40"/>
      <c r="AP5" s="481"/>
      <c r="AQ5" s="481"/>
      <c r="AR5" s="481"/>
      <c r="AS5" s="481"/>
      <c r="AT5" s="481"/>
      <c r="AU5" s="481"/>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481"/>
      <c r="AQ6" s="481"/>
      <c r="AR6" s="481"/>
      <c r="AS6" s="481"/>
      <c r="AT6" s="481"/>
      <c r="AU6" s="481"/>
      <c r="AV6" s="41"/>
    </row>
    <row r="7" spans="2:48" x14ac:dyDescent="0.2">
      <c r="B7" s="40"/>
      <c r="C7" s="8"/>
      <c r="D7" s="70" t="s">
        <v>63</v>
      </c>
      <c r="E7" s="478" t="s">
        <v>316</v>
      </c>
      <c r="F7" s="479"/>
      <c r="G7" s="479"/>
      <c r="H7" s="479"/>
      <c r="I7" s="479"/>
      <c r="J7" s="479"/>
      <c r="K7" s="479"/>
      <c r="L7" s="479"/>
      <c r="M7" s="479"/>
      <c r="N7" s="479"/>
      <c r="O7" s="479"/>
      <c r="P7" s="480"/>
      <c r="Q7" s="5"/>
      <c r="R7" s="674" t="s">
        <v>115</v>
      </c>
      <c r="S7" s="674"/>
      <c r="T7" s="674"/>
      <c r="U7" s="674"/>
      <c r="V7" s="674"/>
      <c r="W7" s="674"/>
      <c r="X7" s="674"/>
      <c r="Y7" s="674"/>
      <c r="Z7" s="674"/>
      <c r="AA7" s="674"/>
      <c r="AB7" s="674"/>
      <c r="AC7" s="674"/>
      <c r="AD7" s="674"/>
      <c r="AE7" s="637" t="s">
        <v>99</v>
      </c>
      <c r="AF7" s="637"/>
      <c r="AG7" s="637"/>
      <c r="AH7" s="637"/>
      <c r="AI7" s="637"/>
      <c r="AJ7" s="637"/>
      <c r="AK7" s="15"/>
      <c r="AL7" s="5"/>
      <c r="AM7" s="5"/>
      <c r="AN7" s="45"/>
      <c r="AO7" s="40"/>
      <c r="AP7" s="481"/>
      <c r="AQ7" s="481"/>
      <c r="AR7" s="481"/>
      <c r="AS7" s="481"/>
      <c r="AT7" s="481"/>
      <c r="AU7" s="481"/>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481"/>
      <c r="AQ8" s="481"/>
      <c r="AR8" s="481"/>
      <c r="AS8" s="481"/>
      <c r="AT8" s="481"/>
      <c r="AU8" s="481"/>
      <c r="AV8" s="41"/>
    </row>
    <row r="9" spans="2:48" ht="15" customHeight="1" x14ac:dyDescent="0.2">
      <c r="B9" s="40"/>
      <c r="D9" s="70" t="s">
        <v>67</v>
      </c>
      <c r="E9" s="474" t="s">
        <v>467</v>
      </c>
      <c r="F9" s="474"/>
      <c r="G9" s="474"/>
      <c r="H9" s="474"/>
      <c r="I9" s="474"/>
      <c r="J9" s="474"/>
      <c r="K9" s="474"/>
      <c r="L9" s="474"/>
      <c r="M9" s="474"/>
      <c r="N9" s="474"/>
      <c r="O9" s="474"/>
      <c r="P9" s="474"/>
      <c r="Q9" s="3" t="s">
        <v>17</v>
      </c>
      <c r="R9" s="484" t="s">
        <v>69</v>
      </c>
      <c r="S9" s="485"/>
      <c r="T9" s="485"/>
      <c r="U9" s="485"/>
      <c r="V9" s="485"/>
      <c r="W9" s="486" t="s">
        <v>467</v>
      </c>
      <c r="X9" s="487"/>
      <c r="Y9" s="487"/>
      <c r="Z9" s="487"/>
      <c r="AA9" s="487"/>
      <c r="AB9" s="487"/>
      <c r="AC9" s="487"/>
      <c r="AD9" s="487"/>
      <c r="AE9" s="487"/>
      <c r="AF9" s="487"/>
      <c r="AG9" s="487"/>
      <c r="AH9" s="487"/>
      <c r="AI9" s="487"/>
      <c r="AJ9" s="488"/>
      <c r="AK9" s="14"/>
      <c r="AM9" s="5"/>
      <c r="AN9" s="45"/>
      <c r="AO9" s="40"/>
      <c r="AP9" s="481"/>
      <c r="AQ9" s="481"/>
      <c r="AR9" s="481"/>
      <c r="AS9" s="481"/>
      <c r="AT9" s="481"/>
      <c r="AU9" s="481"/>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481"/>
      <c r="AQ10" s="481"/>
      <c r="AR10" s="481"/>
      <c r="AS10" s="481"/>
      <c r="AT10" s="481"/>
      <c r="AU10" s="481"/>
      <c r="AV10" s="41"/>
    </row>
    <row r="11" spans="2:48" ht="15" customHeight="1" x14ac:dyDescent="0.2">
      <c r="B11" s="40"/>
      <c r="D11" s="70" t="s">
        <v>71</v>
      </c>
      <c r="E11" s="474" t="s">
        <v>397</v>
      </c>
      <c r="F11" s="474"/>
      <c r="G11" s="474"/>
      <c r="H11" s="474"/>
      <c r="I11" s="474"/>
      <c r="J11" s="474"/>
      <c r="K11" s="474"/>
      <c r="L11" s="474"/>
      <c r="M11" s="474"/>
      <c r="N11" s="474"/>
      <c r="O11" s="474"/>
      <c r="P11" s="474"/>
      <c r="Q11" s="3" t="s">
        <v>17</v>
      </c>
      <c r="R11" s="484" t="s">
        <v>116</v>
      </c>
      <c r="S11" s="485"/>
      <c r="T11" s="485"/>
      <c r="U11" s="492"/>
      <c r="V11" s="641" t="s">
        <v>345</v>
      </c>
      <c r="W11" s="642"/>
      <c r="X11" s="642"/>
      <c r="Y11" s="642"/>
      <c r="Z11" s="642"/>
      <c r="AA11" s="642"/>
      <c r="AB11" s="642"/>
      <c r="AC11" s="642"/>
      <c r="AD11" s="643"/>
      <c r="AE11" s="8" t="s">
        <v>17</v>
      </c>
      <c r="AF11" s="638">
        <v>0</v>
      </c>
      <c r="AG11" s="639"/>
      <c r="AH11" s="640"/>
      <c r="AI11" s="9" t="s">
        <v>118</v>
      </c>
      <c r="AJ11" s="14"/>
      <c r="AK11" s="14"/>
      <c r="AL11" s="5">
        <f>VLOOKUP(V11,RateRef,3,FALSE)</f>
        <v>14</v>
      </c>
      <c r="AM11" s="5" t="s">
        <v>117</v>
      </c>
      <c r="AN11" s="45"/>
      <c r="AO11" s="40"/>
      <c r="AP11" s="481"/>
      <c r="AQ11" s="481"/>
      <c r="AR11" s="481"/>
      <c r="AS11" s="481"/>
      <c r="AT11" s="481"/>
      <c r="AU11" s="481"/>
      <c r="AV11" s="41"/>
    </row>
    <row r="12" spans="2:48" ht="4.5" customHeight="1" x14ac:dyDescent="0.2">
      <c r="B12" s="40"/>
      <c r="D12" s="8"/>
      <c r="E12" s="8"/>
      <c r="F12" s="8"/>
      <c r="G12" s="8"/>
      <c r="H12" s="8"/>
      <c r="AL12" s="5"/>
      <c r="AM12" s="5"/>
      <c r="AN12" s="45"/>
      <c r="AO12" s="40"/>
      <c r="AP12" s="481"/>
      <c r="AQ12" s="481"/>
      <c r="AR12" s="481"/>
      <c r="AS12" s="481"/>
      <c r="AT12" s="481"/>
      <c r="AU12" s="481"/>
      <c r="AV12" s="41"/>
    </row>
    <row r="13" spans="2:48" ht="9" hidden="1" customHeight="1" x14ac:dyDescent="0.2">
      <c r="B13" s="40"/>
      <c r="D13" s="70" t="s">
        <v>119</v>
      </c>
      <c r="E13" s="474" t="s">
        <v>72</v>
      </c>
      <c r="F13" s="474"/>
      <c r="G13" s="474"/>
      <c r="H13" s="474"/>
      <c r="I13" s="474"/>
      <c r="J13" s="474"/>
      <c r="K13" s="474"/>
      <c r="L13" s="474"/>
      <c r="M13" s="474"/>
      <c r="N13" s="474"/>
      <c r="O13" s="474"/>
      <c r="P13" s="474"/>
      <c r="Q13" s="3" t="s">
        <v>17</v>
      </c>
      <c r="R13" s="484" t="s">
        <v>120</v>
      </c>
      <c r="S13" s="485"/>
      <c r="T13" s="485"/>
      <c r="U13" s="492"/>
      <c r="V13" s="641" t="s">
        <v>121</v>
      </c>
      <c r="W13" s="642"/>
      <c r="X13" s="642"/>
      <c r="Y13" s="642"/>
      <c r="Z13" s="642"/>
      <c r="AA13" s="642"/>
      <c r="AB13" s="642"/>
      <c r="AC13" s="642"/>
      <c r="AD13" s="643"/>
      <c r="AE13" s="8" t="s">
        <v>17</v>
      </c>
      <c r="AF13" s="638"/>
      <c r="AG13" s="639"/>
      <c r="AH13" s="640"/>
      <c r="AI13" s="9" t="s">
        <v>118</v>
      </c>
      <c r="AJ13" s="14"/>
      <c r="AL13" s="5">
        <f>VLOOKUP(V13,RateRef,3,FALSE)</f>
        <v>36</v>
      </c>
      <c r="AM13" s="5" t="s">
        <v>117</v>
      </c>
      <c r="AN13" s="45"/>
      <c r="AO13" s="40"/>
      <c r="AP13" s="481"/>
      <c r="AQ13" s="481"/>
      <c r="AR13" s="481"/>
      <c r="AS13" s="481"/>
      <c r="AT13" s="481"/>
      <c r="AU13" s="481"/>
      <c r="AV13" s="41"/>
    </row>
    <row r="14" spans="2:48" ht="9" hidden="1" customHeight="1" x14ac:dyDescent="0.2">
      <c r="B14" s="40"/>
      <c r="D14" s="8"/>
      <c r="E14" s="8"/>
      <c r="F14" s="8"/>
      <c r="G14" s="8"/>
      <c r="H14" s="8"/>
      <c r="AL14" s="5"/>
      <c r="AM14" s="5"/>
      <c r="AN14" s="45"/>
      <c r="AO14" s="40"/>
      <c r="AP14" s="481"/>
      <c r="AQ14" s="481"/>
      <c r="AR14" s="481"/>
      <c r="AS14" s="481"/>
      <c r="AT14" s="481"/>
      <c r="AU14" s="481"/>
      <c r="AV14" s="41"/>
    </row>
    <row r="15" spans="2:48" ht="9" hidden="1" customHeight="1" x14ac:dyDescent="0.2">
      <c r="B15" s="40"/>
      <c r="D15" s="70" t="s">
        <v>122</v>
      </c>
      <c r="E15" s="474" t="s">
        <v>72</v>
      </c>
      <c r="F15" s="474"/>
      <c r="G15" s="474"/>
      <c r="H15" s="474"/>
      <c r="I15" s="474"/>
      <c r="J15" s="474"/>
      <c r="K15" s="474"/>
      <c r="L15" s="474"/>
      <c r="M15" s="474"/>
      <c r="N15" s="474"/>
      <c r="O15" s="474"/>
      <c r="P15" s="474"/>
      <c r="Q15" s="3" t="s">
        <v>17</v>
      </c>
      <c r="R15" s="484" t="s">
        <v>123</v>
      </c>
      <c r="S15" s="485"/>
      <c r="T15" s="485"/>
      <c r="U15" s="492"/>
      <c r="V15" s="641" t="s">
        <v>121</v>
      </c>
      <c r="W15" s="642"/>
      <c r="X15" s="642"/>
      <c r="Y15" s="642"/>
      <c r="Z15" s="642"/>
      <c r="AA15" s="642"/>
      <c r="AB15" s="642"/>
      <c r="AC15" s="642"/>
      <c r="AD15" s="643"/>
      <c r="AE15" s="8" t="s">
        <v>17</v>
      </c>
      <c r="AF15" s="638"/>
      <c r="AG15" s="639"/>
      <c r="AH15" s="640"/>
      <c r="AI15" s="9" t="s">
        <v>118</v>
      </c>
      <c r="AJ15" s="14"/>
      <c r="AL15" s="5">
        <f>VLOOKUP(V15,RateRef,3,FALSE)</f>
        <v>36</v>
      </c>
      <c r="AM15" s="5" t="s">
        <v>117</v>
      </c>
      <c r="AN15" s="45"/>
      <c r="AO15" s="40"/>
      <c r="AP15" s="481"/>
      <c r="AQ15" s="481"/>
      <c r="AR15" s="481"/>
      <c r="AS15" s="481"/>
      <c r="AT15" s="481"/>
      <c r="AU15" s="481"/>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658" t="s">
        <v>125</v>
      </c>
      <c r="F17" s="651"/>
      <c r="G17" s="651"/>
      <c r="H17" s="652"/>
      <c r="I17" s="645" t="s">
        <v>126</v>
      </c>
      <c r="J17" s="645"/>
      <c r="K17" s="645"/>
      <c r="L17" s="653"/>
      <c r="M17" s="645" t="s">
        <v>127</v>
      </c>
      <c r="N17" s="645"/>
      <c r="O17" s="645"/>
      <c r="P17" s="653"/>
      <c r="Q17" s="645" t="s">
        <v>128</v>
      </c>
      <c r="R17" s="645"/>
      <c r="S17" s="645"/>
      <c r="T17" s="653"/>
      <c r="U17" s="651" t="s">
        <v>129</v>
      </c>
      <c r="V17" s="651"/>
      <c r="W17" s="651"/>
      <c r="X17" s="652"/>
      <c r="Y17" s="645" t="s">
        <v>130</v>
      </c>
      <c r="Z17" s="645"/>
      <c r="AA17" s="645"/>
      <c r="AB17" s="653"/>
      <c r="AC17" s="645" t="s">
        <v>131</v>
      </c>
      <c r="AD17" s="645"/>
      <c r="AE17" s="645"/>
      <c r="AF17" s="645"/>
      <c r="AG17" s="646" t="s">
        <v>132</v>
      </c>
      <c r="AH17" s="645"/>
      <c r="AI17" s="645"/>
      <c r="AJ17" s="647"/>
      <c r="AK17" s="80"/>
      <c r="AL17" s="25">
        <f>VLOOKUP(E7,ClaimPeriods,2,FALSE)</f>
        <v>44592</v>
      </c>
      <c r="AM17" s="26">
        <f>VLOOKUP(E7,ClaimPeriods,4,FALSE)</f>
        <v>4</v>
      </c>
      <c r="AN17" s="45"/>
      <c r="AO17" s="36"/>
      <c r="AP17" s="473" t="s">
        <v>76</v>
      </c>
      <c r="AQ17" s="473"/>
      <c r="AR17" s="473"/>
      <c r="AS17" s="473"/>
      <c r="AT17" s="473"/>
      <c r="AU17" s="473"/>
      <c r="AV17" s="39"/>
    </row>
    <row r="18" spans="2:48" ht="18" customHeight="1" x14ac:dyDescent="0.2">
      <c r="B18" s="40"/>
      <c r="C18" s="10">
        <f>AL17-WEEKDAY(AL17,3)</f>
        <v>44592</v>
      </c>
      <c r="D18" s="71" t="s">
        <v>133</v>
      </c>
      <c r="E18" s="598">
        <f>IF(ISNA(C18),"",C18)</f>
        <v>44592</v>
      </c>
      <c r="F18" s="589"/>
      <c r="G18" s="589"/>
      <c r="H18" s="590"/>
      <c r="I18" s="588">
        <f>IF(ISNA(C18),"",E18+1)</f>
        <v>44593</v>
      </c>
      <c r="J18" s="589"/>
      <c r="K18" s="589"/>
      <c r="L18" s="590"/>
      <c r="M18" s="588">
        <f>IF(ISNA(C18),"",I18+1)</f>
        <v>44594</v>
      </c>
      <c r="N18" s="589"/>
      <c r="O18" s="589"/>
      <c r="P18" s="590"/>
      <c r="Q18" s="588">
        <f>IF(ISNA(C18),"",M18+1)</f>
        <v>44595</v>
      </c>
      <c r="R18" s="589"/>
      <c r="S18" s="589"/>
      <c r="T18" s="590"/>
      <c r="U18" s="588">
        <f>IF(ISNA(C18),"",Q18+1)</f>
        <v>44596</v>
      </c>
      <c r="V18" s="589"/>
      <c r="W18" s="589"/>
      <c r="X18" s="590"/>
      <c r="Y18" s="588">
        <f>IF(ISNA(C18),"",U18+1)</f>
        <v>44597</v>
      </c>
      <c r="Z18" s="589"/>
      <c r="AA18" s="589"/>
      <c r="AB18" s="590"/>
      <c r="AC18" s="588">
        <f>IF(ISNA(C18),"",Y18+1)</f>
        <v>44598</v>
      </c>
      <c r="AD18" s="589"/>
      <c r="AE18" s="589"/>
      <c r="AF18" s="614"/>
      <c r="AG18" s="598" t="str">
        <f>IF(AE7="Yes",VLOOKUP(C18,TermTime,2,FALSE),"Week Total")</f>
        <v>Week Total</v>
      </c>
      <c r="AH18" s="589"/>
      <c r="AI18" s="589"/>
      <c r="AJ18" s="599"/>
      <c r="AK18" s="506" t="str">
        <f>IF(OR(AL31&gt;36,AM31="FALSE",AND(AL31&gt;20,AE7="Yes")),"WARNING","")</f>
        <v/>
      </c>
      <c r="AL18" s="48"/>
      <c r="AM18" s="48"/>
      <c r="AN18" s="45"/>
      <c r="AO18" s="40"/>
      <c r="AP18" s="543" t="s">
        <v>134</v>
      </c>
      <c r="AQ18" s="543"/>
      <c r="AR18" s="543"/>
      <c r="AS18" s="543"/>
      <c r="AT18" s="543"/>
      <c r="AU18" s="543"/>
      <c r="AV18" s="41"/>
    </row>
    <row r="19" spans="2:48" ht="18" hidden="1" customHeight="1" x14ac:dyDescent="0.2">
      <c r="B19" s="40"/>
      <c r="C19" s="10"/>
      <c r="D19" s="104" t="s">
        <v>135</v>
      </c>
      <c r="E19" s="96">
        <f>DATEDIF($E$5,E$18,"Y")</f>
        <v>24</v>
      </c>
      <c r="F19" s="97">
        <f>VLOOKUP(E19,Rates!$B:$C,2,1)</f>
        <v>5</v>
      </c>
      <c r="G19" s="98">
        <f>HLOOKUP(H19,Rates,F19,FALSE)</f>
        <v>8.91</v>
      </c>
      <c r="H19" s="99" t="str">
        <f>HLOOKUP(E$18,Rates!$1:$2,2,1)</f>
        <v>I</v>
      </c>
      <c r="I19" s="100">
        <f>DATEDIF($E$5,I$18,"Y")</f>
        <v>24</v>
      </c>
      <c r="J19" s="97">
        <f>VLOOKUP(I19,Rates!$B:$C,2,1)</f>
        <v>5</v>
      </c>
      <c r="K19" s="102">
        <f>HLOOKUP(L19,Rates,J19,FALSE)</f>
        <v>8.91</v>
      </c>
      <c r="L19" s="99" t="str">
        <f>HLOOKUP(I$18,Rates!$1:$2,2,1)</f>
        <v>I</v>
      </c>
      <c r="M19" s="100">
        <f>DATEDIF($E$5,M$18,"Y")</f>
        <v>24</v>
      </c>
      <c r="N19" s="97">
        <f>VLOOKUP(M19,Rates!$B:$C,2,1)</f>
        <v>5</v>
      </c>
      <c r="O19" s="102">
        <f>HLOOKUP(P19,Rates,N19,FALSE)</f>
        <v>8.91</v>
      </c>
      <c r="P19" s="99" t="str">
        <f>HLOOKUP(M$18,Rates!$1:$2,2,1)</f>
        <v>I</v>
      </c>
      <c r="Q19" s="100">
        <f>DATEDIF($E$5,Q$18,"Y")</f>
        <v>24</v>
      </c>
      <c r="R19" s="97">
        <f>VLOOKUP(Q19,Rates!$B:$C,2,1)</f>
        <v>5</v>
      </c>
      <c r="S19" s="102">
        <f>HLOOKUP(T19,Rates,R19,FALSE)</f>
        <v>8.91</v>
      </c>
      <c r="T19" s="99" t="str">
        <f>HLOOKUP(Q$18,Rates!$1:$2,2,1)</f>
        <v>I</v>
      </c>
      <c r="U19" s="100">
        <f>DATEDIF($E$5,U$18,"Y")</f>
        <v>24</v>
      </c>
      <c r="V19" s="97">
        <f>VLOOKUP(U19,Rates!$B:$C,2,1)</f>
        <v>5</v>
      </c>
      <c r="W19" s="102">
        <f>HLOOKUP(X19,Rates,V19,FALSE)</f>
        <v>8.91</v>
      </c>
      <c r="X19" s="99" t="str">
        <f>HLOOKUP(U$18,Rates!$1:$2,2,1)</f>
        <v>I</v>
      </c>
      <c r="Y19" s="100">
        <f>DATEDIF($E$5,Y$18,"Y")</f>
        <v>24</v>
      </c>
      <c r="Z19" s="97">
        <f>VLOOKUP(Y19,Rates!$B:$C,2,1)</f>
        <v>5</v>
      </c>
      <c r="AA19" s="102">
        <f>HLOOKUP(AB19,Rates,Z19,FALSE)</f>
        <v>8.91</v>
      </c>
      <c r="AB19" s="99" t="str">
        <f>HLOOKUP(Y$18,Rates!$1:$2,2,1)</f>
        <v>I</v>
      </c>
      <c r="AC19" s="100">
        <f>DATEDIF($E$5,AC$18,"Y")</f>
        <v>24</v>
      </c>
      <c r="AD19" s="97">
        <f>VLOOKUP(AC19,Rates!$B:$C,2,1)</f>
        <v>5</v>
      </c>
      <c r="AE19" s="102">
        <f>HLOOKUP(AF19,Rates,AD19,FALSE)</f>
        <v>8.91</v>
      </c>
      <c r="AF19" s="99" t="str">
        <f>HLOOKUP(AC$18,Rates!$1:$2,2,1)</f>
        <v>I</v>
      </c>
      <c r="AG19" s="600"/>
      <c r="AH19" s="601"/>
      <c r="AI19" s="601"/>
      <c r="AJ19" s="602"/>
      <c r="AK19" s="506"/>
      <c r="AL19" s="5"/>
      <c r="AM19" s="5"/>
      <c r="AN19" s="45"/>
      <c r="AO19" s="40"/>
      <c r="AP19" s="543"/>
      <c r="AQ19" s="543"/>
      <c r="AR19" s="543"/>
      <c r="AS19" s="543"/>
      <c r="AT19" s="543"/>
      <c r="AU19" s="543"/>
      <c r="AV19" s="41"/>
    </row>
    <row r="20" spans="2:48" ht="18" hidden="1" customHeight="1" x14ac:dyDescent="0.2">
      <c r="B20" s="40"/>
      <c r="C20" s="10"/>
      <c r="D20" s="104" t="s">
        <v>136</v>
      </c>
      <c r="E20" s="583">
        <f>E21+(G21/60)</f>
        <v>0</v>
      </c>
      <c r="F20" s="577"/>
      <c r="G20" s="577"/>
      <c r="H20" s="578"/>
      <c r="I20" s="577">
        <f t="shared" ref="I20" si="0">I21+(K21/60)</f>
        <v>0</v>
      </c>
      <c r="J20" s="577"/>
      <c r="K20" s="577"/>
      <c r="L20" s="578"/>
      <c r="M20" s="577">
        <f t="shared" ref="M20" si="1">M21+(O21/60)</f>
        <v>0</v>
      </c>
      <c r="N20" s="577"/>
      <c r="O20" s="577"/>
      <c r="P20" s="578"/>
      <c r="Q20" s="577">
        <f t="shared" ref="Q20" si="2">Q21+(S21/60)</f>
        <v>0</v>
      </c>
      <c r="R20" s="577"/>
      <c r="S20" s="577"/>
      <c r="T20" s="578"/>
      <c r="U20" s="577">
        <f t="shared" ref="U20" si="3">U21+(W21/60)</f>
        <v>0</v>
      </c>
      <c r="V20" s="577"/>
      <c r="W20" s="577"/>
      <c r="X20" s="578"/>
      <c r="Y20" s="577">
        <f t="shared" ref="Y20" si="4">Y21+(AA21/60)</f>
        <v>0</v>
      </c>
      <c r="Z20" s="577"/>
      <c r="AA20" s="577"/>
      <c r="AB20" s="578"/>
      <c r="AC20" s="577">
        <f t="shared" ref="AC20" si="5">AC21+(AE21/60)</f>
        <v>0</v>
      </c>
      <c r="AD20" s="577"/>
      <c r="AE20" s="577"/>
      <c r="AF20" s="578"/>
      <c r="AG20" s="583">
        <f>SUM(E20:AF20)</f>
        <v>0</v>
      </c>
      <c r="AH20" s="577"/>
      <c r="AI20" s="577"/>
      <c r="AJ20" s="584"/>
      <c r="AK20" s="506"/>
      <c r="AL20" s="5"/>
      <c r="AM20" s="5"/>
      <c r="AN20" s="45"/>
      <c r="AO20" s="40"/>
      <c r="AP20" s="543"/>
      <c r="AQ20" s="543"/>
      <c r="AR20" s="543"/>
      <c r="AS20" s="543"/>
      <c r="AT20" s="543"/>
      <c r="AU20" s="543"/>
      <c r="AV20" s="41"/>
    </row>
    <row r="21" spans="2:48" ht="18" customHeight="1" x14ac:dyDescent="0.2">
      <c r="B21" s="40"/>
      <c r="C21" s="10"/>
      <c r="D21" s="86" t="s">
        <v>137</v>
      </c>
      <c r="E21" s="81"/>
      <c r="F21" s="77" t="s">
        <v>80</v>
      </c>
      <c r="G21" s="76"/>
      <c r="H21" s="95" t="s">
        <v>81</v>
      </c>
      <c r="I21" s="93"/>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0</v>
      </c>
      <c r="AH21" s="79" t="s">
        <v>80</v>
      </c>
      <c r="AI21" s="78">
        <f>(AG20-AG21)*60</f>
        <v>0</v>
      </c>
      <c r="AJ21" s="82" t="s">
        <v>81</v>
      </c>
      <c r="AK21" s="506"/>
      <c r="AL21" s="27"/>
      <c r="AM21" s="27"/>
      <c r="AN21" s="45"/>
      <c r="AO21" s="40"/>
      <c r="AP21" s="544"/>
      <c r="AQ21" s="544"/>
      <c r="AR21" s="544"/>
      <c r="AS21" s="544"/>
      <c r="AT21" s="544"/>
      <c r="AU21" s="544"/>
      <c r="AV21" s="41"/>
    </row>
    <row r="22" spans="2:48" x14ac:dyDescent="0.2">
      <c r="B22" s="40"/>
      <c r="C22" s="10"/>
      <c r="D22" s="105" t="s">
        <v>138</v>
      </c>
      <c r="E22" s="633">
        <f>MAX(G19,IF($V$11=$AM$11,$AF$11,HLOOKUP(H19,Rates,$AL$11,FALSE)))</f>
        <v>13.6</v>
      </c>
      <c r="F22" s="586"/>
      <c r="G22" s="586"/>
      <c r="H22" s="587"/>
      <c r="I22" s="585">
        <f>MAX(K19,IF($V$11=$AM$11,$AF$11,HLOOKUP(L19,Rates,$AL$11,FALSE)))</f>
        <v>13.6</v>
      </c>
      <c r="J22" s="586"/>
      <c r="K22" s="586"/>
      <c r="L22" s="587"/>
      <c r="M22" s="585">
        <f>MAX(O19,IF($V$11=$AM$11,$AF$11,HLOOKUP(P19,Rates,$AL$11,FALSE)))</f>
        <v>13.6</v>
      </c>
      <c r="N22" s="586"/>
      <c r="O22" s="586"/>
      <c r="P22" s="587"/>
      <c r="Q22" s="585">
        <f>MAX(S19,IF($V$11=$AM$11,$AF$11,HLOOKUP(T19,Rates,$AL$11,FALSE)))</f>
        <v>13.6</v>
      </c>
      <c r="R22" s="586"/>
      <c r="S22" s="586"/>
      <c r="T22" s="587"/>
      <c r="U22" s="585">
        <f>MAX(W19,IF($V$11=$AM$11,$AF$11,HLOOKUP(X19,Rates,$AL$11,FALSE)))</f>
        <v>13.6</v>
      </c>
      <c r="V22" s="586"/>
      <c r="W22" s="586"/>
      <c r="X22" s="587"/>
      <c r="Y22" s="585">
        <f>MAX(AA19,IF($V$11=$AM$11,$AF$11,HLOOKUP(AB19,Rates,$AL$11,FALSE)))</f>
        <v>13.6</v>
      </c>
      <c r="Z22" s="586"/>
      <c r="AA22" s="586"/>
      <c r="AB22" s="587"/>
      <c r="AC22" s="585">
        <f>MAX(AE19,IF($V$11=$AM$11,$AF$11,HLOOKUP(AF19,Rates,$AL$11,FALSE)))</f>
        <v>13.6</v>
      </c>
      <c r="AD22" s="586"/>
      <c r="AE22" s="586"/>
      <c r="AF22" s="610"/>
      <c r="AG22" s="668">
        <f>SUMPRODUCT(E22:AF22,E20:AF20)</f>
        <v>0</v>
      </c>
      <c r="AH22" s="669"/>
      <c r="AI22" s="669"/>
      <c r="AJ22" s="670"/>
      <c r="AK22" s="506"/>
      <c r="AL22" s="35">
        <f>AG22*IF($V$11="Demonstrator Rate",0.1711,0.1207)</f>
        <v>0</v>
      </c>
      <c r="AM22" s="5"/>
      <c r="AN22" s="45"/>
      <c r="AO22" s="40"/>
      <c r="AP22" s="692" t="s">
        <v>822</v>
      </c>
      <c r="AQ22" s="693"/>
      <c r="AR22" s="693"/>
      <c r="AS22" s="693"/>
      <c r="AT22" s="693"/>
      <c r="AU22" s="694"/>
      <c r="AV22" s="41"/>
    </row>
    <row r="23" spans="2:48" ht="21.75" hidden="1" customHeight="1" x14ac:dyDescent="0.2">
      <c r="B23" s="40"/>
      <c r="C23" s="10"/>
      <c r="D23" s="104" t="s">
        <v>139</v>
      </c>
      <c r="E23" s="96">
        <f>DATEDIF($E$5,E$18,"Y")</f>
        <v>24</v>
      </c>
      <c r="F23" s="97">
        <f>VLOOKUP(E23,Rates!$B:$C,2,1)</f>
        <v>5</v>
      </c>
      <c r="G23" s="98">
        <f>HLOOKUP(H23,Rates,F23,FALSE)</f>
        <v>8.91</v>
      </c>
      <c r="H23" s="99" t="str">
        <f>HLOOKUP(E$18,Rates!$1:$2,2,1)</f>
        <v>I</v>
      </c>
      <c r="I23" s="100">
        <f>DATEDIF($E$5,I$18,"Y")</f>
        <v>24</v>
      </c>
      <c r="J23" s="97">
        <f>VLOOKUP(I23,Rates!$B:$C,2,1)</f>
        <v>5</v>
      </c>
      <c r="K23" s="102">
        <f>HLOOKUP(L23,Rates,J23,FALSE)</f>
        <v>8.91</v>
      </c>
      <c r="L23" s="99" t="str">
        <f>HLOOKUP(I$18,Rates!$1:$2,2,1)</f>
        <v>I</v>
      </c>
      <c r="M23" s="100">
        <f>DATEDIF($E$5,M$18,"Y")</f>
        <v>24</v>
      </c>
      <c r="N23" s="97">
        <f>VLOOKUP(M23,Rates!$B:$C,2,1)</f>
        <v>5</v>
      </c>
      <c r="O23" s="102">
        <f>HLOOKUP(P23,Rates,N23,FALSE)</f>
        <v>8.91</v>
      </c>
      <c r="P23" s="99" t="str">
        <f>HLOOKUP(M$18,Rates!$1:$2,2,1)</f>
        <v>I</v>
      </c>
      <c r="Q23" s="100">
        <f>DATEDIF($E$5,Q$18,"Y")</f>
        <v>24</v>
      </c>
      <c r="R23" s="97">
        <f>VLOOKUP(Q23,Rates!$B:$C,2,1)</f>
        <v>5</v>
      </c>
      <c r="S23" s="102">
        <f>HLOOKUP(T23,Rates,R23,FALSE)</f>
        <v>8.1999999999999993</v>
      </c>
      <c r="T23" s="103" t="str">
        <f>IF(Q$18&gt;=Rates!$H$1,Rates!$H$2,IF(Q$18&gt;=Rates!$G$1,Rates!$G$2,IF(Q$18&gt;=Rates!$F$1,Rates!$F$2,IF(Q$18&gt;=Rates!$E$1,Rates!$E$2,IF(Q$18&gt;=Rates!$D$1,Rates!$D$2,0)))))</f>
        <v>F</v>
      </c>
      <c r="U23" s="100">
        <f>DATEDIF($E$5,U$18,"Y")</f>
        <v>24</v>
      </c>
      <c r="V23" s="97">
        <f>VLOOKUP(U23,Rates!$B:$C,2,1)</f>
        <v>5</v>
      </c>
      <c r="W23" s="102">
        <f>HLOOKUP(X23,Rates,V23,FALSE)</f>
        <v>8.91</v>
      </c>
      <c r="X23" s="99" t="str">
        <f>HLOOKUP(U$18,Rates!$1:$2,2,1)</f>
        <v>I</v>
      </c>
      <c r="Y23" s="100">
        <f>DATEDIF($E$5,Y$18,"Y")</f>
        <v>24</v>
      </c>
      <c r="Z23" s="97">
        <f>VLOOKUP(Y23,Rates!$B:$C,2,1)</f>
        <v>5</v>
      </c>
      <c r="AA23" s="102">
        <f>HLOOKUP(AB23,Rates,Z23,FALSE)</f>
        <v>8.1999999999999993</v>
      </c>
      <c r="AB23" s="103" t="str">
        <f>IF(Y$18&gt;=Rates!$H$1,Rates!$H$2,IF(Y$18&gt;=Rates!$G$1,Rates!$G$2,IF(Y$18&gt;=Rates!$F$1,Rates!$F$2,IF(Y$18&gt;=Rates!$E$1,Rates!$E$2,IF(Y$18&gt;=Rates!$D$1,Rates!$D$2,0)))))</f>
        <v>F</v>
      </c>
      <c r="AC23" s="100">
        <f>DATEDIF($E$5,AC$18,"Y")</f>
        <v>24</v>
      </c>
      <c r="AD23" s="97">
        <f>VLOOKUP(AC23,Rates!$B:$C,2,1)</f>
        <v>5</v>
      </c>
      <c r="AE23" s="102">
        <f>HLOOKUP(AF23,Rates,AD23,FALSE)</f>
        <v>8.91</v>
      </c>
      <c r="AF23" s="99" t="str">
        <f>HLOOKUP(AC$18,Rates!$1:$2,2,1)</f>
        <v>I</v>
      </c>
      <c r="AG23" s="600"/>
      <c r="AH23" s="601"/>
      <c r="AI23" s="601"/>
      <c r="AJ23" s="602"/>
      <c r="AK23" s="506"/>
      <c r="AL23" s="5"/>
      <c r="AM23" s="5"/>
      <c r="AN23" s="45"/>
      <c r="AO23" s="40"/>
      <c r="AP23" s="695"/>
      <c r="AQ23" s="696"/>
      <c r="AR23" s="696"/>
      <c r="AS23" s="696"/>
      <c r="AT23" s="696"/>
      <c r="AU23" s="697"/>
      <c r="AV23" s="41"/>
    </row>
    <row r="24" spans="2:48" ht="21.75" hidden="1" customHeight="1" x14ac:dyDescent="0.2">
      <c r="B24" s="40"/>
      <c r="C24" s="10"/>
      <c r="D24" s="104" t="s">
        <v>140</v>
      </c>
      <c r="E24" s="583">
        <f>E25+(G25/60)</f>
        <v>0</v>
      </c>
      <c r="F24" s="577"/>
      <c r="G24" s="577"/>
      <c r="H24" s="578"/>
      <c r="I24" s="577">
        <f t="shared" ref="I24" si="6">I25+(K25/60)</f>
        <v>0</v>
      </c>
      <c r="J24" s="577"/>
      <c r="K24" s="577"/>
      <c r="L24" s="578"/>
      <c r="M24" s="577">
        <f t="shared" ref="M24" si="7">M25+(O25/60)</f>
        <v>0</v>
      </c>
      <c r="N24" s="577"/>
      <c r="O24" s="577"/>
      <c r="P24" s="578"/>
      <c r="Q24" s="577">
        <f t="shared" ref="Q24" si="8">Q25+(S25/60)</f>
        <v>0</v>
      </c>
      <c r="R24" s="577"/>
      <c r="S24" s="577"/>
      <c r="T24" s="578"/>
      <c r="U24" s="577">
        <f t="shared" ref="U24" si="9">U25+(W25/60)</f>
        <v>0</v>
      </c>
      <c r="V24" s="577"/>
      <c r="W24" s="577"/>
      <c r="X24" s="578"/>
      <c r="Y24" s="577">
        <f t="shared" ref="Y24" si="10">Y25+(AA25/60)</f>
        <v>0</v>
      </c>
      <c r="Z24" s="577"/>
      <c r="AA24" s="577"/>
      <c r="AB24" s="578"/>
      <c r="AC24" s="577">
        <f t="shared" ref="AC24" si="11">AC25+(AE25/60)</f>
        <v>0</v>
      </c>
      <c r="AD24" s="577"/>
      <c r="AE24" s="577"/>
      <c r="AF24" s="578"/>
      <c r="AG24" s="583">
        <f>SUM(E24:AF24)</f>
        <v>0</v>
      </c>
      <c r="AH24" s="577"/>
      <c r="AI24" s="577"/>
      <c r="AJ24" s="584"/>
      <c r="AK24" s="506"/>
      <c r="AL24" s="5"/>
      <c r="AM24" s="5"/>
      <c r="AN24" s="45"/>
      <c r="AO24" s="40"/>
      <c r="AP24" s="695"/>
      <c r="AQ24" s="696"/>
      <c r="AR24" s="696"/>
      <c r="AS24" s="696"/>
      <c r="AT24" s="696"/>
      <c r="AU24" s="697"/>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506"/>
      <c r="AL25" s="27"/>
      <c r="AM25" s="27"/>
      <c r="AN25" s="45"/>
      <c r="AO25" s="40"/>
      <c r="AP25" s="695"/>
      <c r="AQ25" s="696"/>
      <c r="AR25" s="696"/>
      <c r="AS25" s="696"/>
      <c r="AT25" s="696"/>
      <c r="AU25" s="697"/>
      <c r="AV25" s="41"/>
    </row>
    <row r="26" spans="2:48" hidden="1" x14ac:dyDescent="0.2">
      <c r="B26" s="40"/>
      <c r="C26" s="10"/>
      <c r="D26" s="105" t="s">
        <v>142</v>
      </c>
      <c r="E26" s="633">
        <f>MAX(G23,IF($V$13=$AM$13,$AF$13,HLOOKUP(H23,Rates,$AL$13,FALSE)))</f>
        <v>8.91</v>
      </c>
      <c r="F26" s="586"/>
      <c r="G26" s="586"/>
      <c r="H26" s="587"/>
      <c r="I26" s="585">
        <f>MAX(K23,IF($V$13=$AM$13,$AF$13,HLOOKUP(L23,Rates,$AL$13,FALSE)))</f>
        <v>8.91</v>
      </c>
      <c r="J26" s="586"/>
      <c r="K26" s="586"/>
      <c r="L26" s="587"/>
      <c r="M26" s="585">
        <f>MAX(O23,IF($V$13=$AM$13,$AF$13,HLOOKUP(P23,Rates,$AL$13,FALSE)))</f>
        <v>8.91</v>
      </c>
      <c r="N26" s="586"/>
      <c r="O26" s="586"/>
      <c r="P26" s="587"/>
      <c r="Q26" s="585">
        <f>MAX(S23,IF($V$13=$AM$13,$AF$13,HLOOKUP(T23,Rates,$AL$13,FALSE)))</f>
        <v>8.1999999999999993</v>
      </c>
      <c r="R26" s="586"/>
      <c r="S26" s="586"/>
      <c r="T26" s="587"/>
      <c r="U26" s="585">
        <f>MAX(W23,IF($V$13=$AM$13,$AF$13,HLOOKUP(X23,Rates,$AL$13,FALSE)))</f>
        <v>8.91</v>
      </c>
      <c r="V26" s="586"/>
      <c r="W26" s="586"/>
      <c r="X26" s="587"/>
      <c r="Y26" s="585">
        <f>MAX(AA23,IF($V$13=$AM$13,$AF$13,HLOOKUP(AB23,Rates,$AL$13,FALSE)))</f>
        <v>8.1999999999999993</v>
      </c>
      <c r="Z26" s="586"/>
      <c r="AA26" s="586"/>
      <c r="AB26" s="587"/>
      <c r="AC26" s="585">
        <f>MAX(AE23,IF($V$13=$AM$13,$AF$13,HLOOKUP(AF23,Rates,$AL$13,FALSE)))</f>
        <v>8.91</v>
      </c>
      <c r="AD26" s="586"/>
      <c r="AE26" s="586"/>
      <c r="AF26" s="610"/>
      <c r="AG26" s="668">
        <f>SUMPRODUCT(E26:AF26,E24:AF24)</f>
        <v>0</v>
      </c>
      <c r="AH26" s="669"/>
      <c r="AI26" s="669"/>
      <c r="AJ26" s="670"/>
      <c r="AK26" s="506"/>
      <c r="AL26" s="35">
        <f>AG26*IF($V$13="Demonstrator Rate",0.1711,0.1207)</f>
        <v>0</v>
      </c>
      <c r="AM26" s="5"/>
      <c r="AN26" s="45"/>
      <c r="AO26" s="40"/>
      <c r="AP26" s="695"/>
      <c r="AQ26" s="696"/>
      <c r="AR26" s="696"/>
      <c r="AS26" s="696"/>
      <c r="AT26" s="696"/>
      <c r="AU26" s="697"/>
      <c r="AV26" s="41"/>
    </row>
    <row r="27" spans="2:48" ht="21.75" hidden="1" customHeight="1" x14ac:dyDescent="0.2">
      <c r="B27" s="40"/>
      <c r="C27" s="10"/>
      <c r="D27" s="104" t="s">
        <v>143</v>
      </c>
      <c r="E27" s="96">
        <f>DATEDIF($E$5,E$18,"Y")</f>
        <v>24</v>
      </c>
      <c r="F27" s="97">
        <f>VLOOKUP(E27,Rates!$B:$C,2,1)</f>
        <v>5</v>
      </c>
      <c r="G27" s="98">
        <f>HLOOKUP(H27,Rates,F27,FALSE)</f>
        <v>8.91</v>
      </c>
      <c r="H27" s="99" t="str">
        <f>HLOOKUP(E$18,Rates!$1:$2,2,1)</f>
        <v>I</v>
      </c>
      <c r="I27" s="100">
        <f>DATEDIF($E$5,I$18,"Y")</f>
        <v>24</v>
      </c>
      <c r="J27" s="97">
        <f>VLOOKUP(I27,Rates!$B:$C,2,1)</f>
        <v>5</v>
      </c>
      <c r="K27" s="102">
        <f>HLOOKUP(L27,Rates,J27,FALSE)</f>
        <v>8.91</v>
      </c>
      <c r="L27" s="99" t="str">
        <f>HLOOKUP(I$18,Rates!$1:$2,2,1)</f>
        <v>I</v>
      </c>
      <c r="M27" s="100">
        <f>DATEDIF($E$5,M$18,"Y")</f>
        <v>24</v>
      </c>
      <c r="N27" s="97">
        <f>VLOOKUP(M27,Rates!$B:$C,2,1)</f>
        <v>5</v>
      </c>
      <c r="O27" s="102">
        <f>HLOOKUP(P27,Rates,N27,FALSE)</f>
        <v>8.91</v>
      </c>
      <c r="P27" s="99" t="str">
        <f>HLOOKUP(M$18,Rates!$1:$2,2,1)</f>
        <v>I</v>
      </c>
      <c r="Q27" s="100">
        <f>DATEDIF($E$5,Q$18,"Y")</f>
        <v>24</v>
      </c>
      <c r="R27" s="97">
        <f>VLOOKUP(Q27,Rates!$B:$C,2,1)</f>
        <v>5</v>
      </c>
      <c r="S27" s="102">
        <f>HLOOKUP(T27,Rates,R27,FALSE)</f>
        <v>8.91</v>
      </c>
      <c r="T27" s="99" t="str">
        <f>HLOOKUP(Q$18,Rates!$1:$2,2,1)</f>
        <v>I</v>
      </c>
      <c r="U27" s="100">
        <f>DATEDIF($E$5,U$18,"Y")</f>
        <v>24</v>
      </c>
      <c r="V27" s="97">
        <f>VLOOKUP(U27,Rates!$B:$C,2,1)</f>
        <v>5</v>
      </c>
      <c r="W27" s="102">
        <f>HLOOKUP(X27,Rates,V27,FALSE)</f>
        <v>8.91</v>
      </c>
      <c r="X27" s="99" t="str">
        <f>HLOOKUP(U$18,Rates!$1:$2,2,1)</f>
        <v>I</v>
      </c>
      <c r="Y27" s="100">
        <f>DATEDIF($E$5,Y$18,"Y")</f>
        <v>24</v>
      </c>
      <c r="Z27" s="97">
        <f>VLOOKUP(Y27,Rates!$B:$C,2,1)</f>
        <v>5</v>
      </c>
      <c r="AA27" s="102">
        <f>HLOOKUP(AB27,Rates,Z27,FALSE)</f>
        <v>8.91</v>
      </c>
      <c r="AB27" s="99" t="str">
        <f>HLOOKUP(Y$18,Rates!$1:$2,2,1)</f>
        <v>I</v>
      </c>
      <c r="AC27" s="100">
        <f>DATEDIF($E$5,AC$18,"Y")</f>
        <v>24</v>
      </c>
      <c r="AD27" s="97">
        <f>VLOOKUP(AC27,Rates!$B:$C,2,1)</f>
        <v>5</v>
      </c>
      <c r="AE27" s="102">
        <f>HLOOKUP(AF27,Rates,AD27,FALSE)</f>
        <v>8.91</v>
      </c>
      <c r="AF27" s="99" t="str">
        <f>HLOOKUP(AC$18,Rates!$1:$2,2,1)</f>
        <v>I</v>
      </c>
      <c r="AG27" s="600"/>
      <c r="AH27" s="601"/>
      <c r="AI27" s="601"/>
      <c r="AJ27" s="602"/>
      <c r="AK27" s="506"/>
      <c r="AL27" s="5"/>
      <c r="AM27" s="5"/>
      <c r="AN27" s="45"/>
      <c r="AO27" s="40"/>
      <c r="AP27" s="695"/>
      <c r="AQ27" s="696"/>
      <c r="AR27" s="696"/>
      <c r="AS27" s="696"/>
      <c r="AT27" s="696"/>
      <c r="AU27" s="697"/>
      <c r="AV27" s="41"/>
    </row>
    <row r="28" spans="2:48" ht="21.75" hidden="1" customHeight="1" x14ac:dyDescent="0.2">
      <c r="B28" s="40"/>
      <c r="C28" s="10"/>
      <c r="D28" s="104" t="s">
        <v>144</v>
      </c>
      <c r="E28" s="583">
        <f>E29+(G29/60)</f>
        <v>0</v>
      </c>
      <c r="F28" s="577"/>
      <c r="G28" s="577"/>
      <c r="H28" s="578"/>
      <c r="I28" s="577">
        <f t="shared" ref="I28" si="12">I29+(K29/60)</f>
        <v>0</v>
      </c>
      <c r="J28" s="577"/>
      <c r="K28" s="577"/>
      <c r="L28" s="578"/>
      <c r="M28" s="577">
        <f t="shared" ref="M28" si="13">M29+(O29/60)</f>
        <v>0</v>
      </c>
      <c r="N28" s="577"/>
      <c r="O28" s="577"/>
      <c r="P28" s="578"/>
      <c r="Q28" s="577">
        <f t="shared" ref="Q28" si="14">Q29+(S29/60)</f>
        <v>0</v>
      </c>
      <c r="R28" s="577"/>
      <c r="S28" s="577"/>
      <c r="T28" s="578"/>
      <c r="U28" s="577">
        <f t="shared" ref="U28" si="15">U29+(W29/60)</f>
        <v>0</v>
      </c>
      <c r="V28" s="577"/>
      <c r="W28" s="577"/>
      <c r="X28" s="578"/>
      <c r="Y28" s="577">
        <f t="shared" ref="Y28" si="16">Y29+(AA29/60)</f>
        <v>0</v>
      </c>
      <c r="Z28" s="577"/>
      <c r="AA28" s="577"/>
      <c r="AB28" s="578"/>
      <c r="AC28" s="577">
        <f t="shared" ref="AC28" si="17">AC29+(AE29/60)</f>
        <v>0</v>
      </c>
      <c r="AD28" s="577"/>
      <c r="AE28" s="577"/>
      <c r="AF28" s="578"/>
      <c r="AG28" s="583">
        <f>SUM(E28:AF28)</f>
        <v>0</v>
      </c>
      <c r="AH28" s="577"/>
      <c r="AI28" s="577"/>
      <c r="AJ28" s="584"/>
      <c r="AK28" s="506"/>
      <c r="AL28" s="5"/>
      <c r="AM28" s="5"/>
      <c r="AN28" s="45"/>
      <c r="AO28" s="40"/>
      <c r="AP28" s="695"/>
      <c r="AQ28" s="696"/>
      <c r="AR28" s="696"/>
      <c r="AS28" s="696"/>
      <c r="AT28" s="696"/>
      <c r="AU28" s="697"/>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506"/>
      <c r="AL29" s="27"/>
      <c r="AM29" s="27"/>
      <c r="AN29" s="45"/>
      <c r="AO29" s="40"/>
      <c r="AP29" s="695"/>
      <c r="AQ29" s="696"/>
      <c r="AR29" s="696"/>
      <c r="AS29" s="696"/>
      <c r="AT29" s="696"/>
      <c r="AU29" s="697"/>
      <c r="AV29" s="41"/>
    </row>
    <row r="30" spans="2:48" hidden="1" x14ac:dyDescent="0.2">
      <c r="B30" s="40"/>
      <c r="C30" s="10"/>
      <c r="D30" s="105" t="s">
        <v>146</v>
      </c>
      <c r="E30" s="633">
        <f>MAX(G27,IF($V$15=$AM$15,$AF$15,HLOOKUP(H27,Rates,$AL$15,FALSE)))</f>
        <v>8.91</v>
      </c>
      <c r="F30" s="586"/>
      <c r="G30" s="586"/>
      <c r="H30" s="587"/>
      <c r="I30" s="585">
        <f>MAX(K27,IF($V$15=$AM$15,$AF$15,HLOOKUP(L27,Rates,$AL$15,FALSE)))</f>
        <v>8.91</v>
      </c>
      <c r="J30" s="586"/>
      <c r="K30" s="586"/>
      <c r="L30" s="587"/>
      <c r="M30" s="585">
        <f>MAX(O27,IF($V$15=$AM$15,$AF$15,HLOOKUP(P27,Rates,$AL$15,FALSE)))</f>
        <v>8.91</v>
      </c>
      <c r="N30" s="586"/>
      <c r="O30" s="586"/>
      <c r="P30" s="587"/>
      <c r="Q30" s="585">
        <f>MAX(S27,IF($V$15=$AM$15,$AF$15,HLOOKUP(T27,Rates,$AL$15,FALSE)))</f>
        <v>8.91</v>
      </c>
      <c r="R30" s="586"/>
      <c r="S30" s="586"/>
      <c r="T30" s="587"/>
      <c r="U30" s="585">
        <f>MAX(W27,IF($V$15=$AM$15,$AF$15,HLOOKUP(X27,Rates,$AL$15,FALSE)))</f>
        <v>8.91</v>
      </c>
      <c r="V30" s="586"/>
      <c r="W30" s="586"/>
      <c r="X30" s="587"/>
      <c r="Y30" s="585">
        <f>MAX(AA27,IF($V$15=$AM$15,$AF$15,HLOOKUP(AB27,Rates,$AL$15,FALSE)))</f>
        <v>8.91</v>
      </c>
      <c r="Z30" s="586"/>
      <c r="AA30" s="586"/>
      <c r="AB30" s="587"/>
      <c r="AC30" s="585">
        <f>MAX(AE27,IF($V$15=$AM$15,$AF$15,HLOOKUP(AF27,Rates,$AL$15,FALSE)))</f>
        <v>8.91</v>
      </c>
      <c r="AD30" s="586"/>
      <c r="AE30" s="586"/>
      <c r="AF30" s="610"/>
      <c r="AG30" s="668">
        <f>SUMPRODUCT(E30:AF30,E28:AF28)</f>
        <v>0</v>
      </c>
      <c r="AH30" s="669"/>
      <c r="AI30" s="669"/>
      <c r="AJ30" s="670"/>
      <c r="AK30" s="506"/>
      <c r="AL30" s="35">
        <f>AG30*IF($V$15="Demonstrator Rate",0.1711,0.1207)</f>
        <v>0</v>
      </c>
      <c r="AM30" s="5"/>
      <c r="AN30" s="45"/>
      <c r="AO30" s="40"/>
      <c r="AP30" s="695"/>
      <c r="AQ30" s="696"/>
      <c r="AR30" s="696"/>
      <c r="AS30" s="696"/>
      <c r="AT30" s="696"/>
      <c r="AU30" s="697"/>
      <c r="AV30" s="41"/>
    </row>
    <row r="31" spans="2:48" ht="21.75" hidden="1" customHeight="1" x14ac:dyDescent="0.2">
      <c r="B31" s="40"/>
      <c r="C31" s="10"/>
      <c r="D31" s="193" t="s">
        <v>147</v>
      </c>
      <c r="E31" s="604">
        <f>(E20*E22)+(E24*E26)+(E28*E30)</f>
        <v>0</v>
      </c>
      <c r="F31" s="605"/>
      <c r="G31" s="605"/>
      <c r="H31" s="650"/>
      <c r="I31" s="648">
        <f>((I21+(K21/60))*I22)+((I25+(K25/60))*I26)+((I29+(K29/60))*I30)</f>
        <v>0</v>
      </c>
      <c r="J31" s="605"/>
      <c r="K31" s="605"/>
      <c r="L31" s="650"/>
      <c r="M31" s="648">
        <f>((M21+(O21/60))*M22)+((M25+(O25/60))*M26)+((M29+(O29/60))*M30)</f>
        <v>0</v>
      </c>
      <c r="N31" s="605"/>
      <c r="O31" s="605"/>
      <c r="P31" s="650"/>
      <c r="Q31" s="648">
        <f>((Q21+(S21/60))*Q22)+((Q25+(S25/60))*Q26)+((Q29+(S29/60))*Q30)</f>
        <v>0</v>
      </c>
      <c r="R31" s="605"/>
      <c r="S31" s="605"/>
      <c r="T31" s="650"/>
      <c r="U31" s="648">
        <f>((U21+(W21/60))*U22)+((U25+(W25/60))*U26)+((U29+(W29/60))*U30)</f>
        <v>0</v>
      </c>
      <c r="V31" s="605"/>
      <c r="W31" s="605"/>
      <c r="X31" s="650"/>
      <c r="Y31" s="648">
        <f>((Y21+(AA21/60))*Y22)+((Y25+(AA25/60))*Y26)+((Y29+(AA29/60))*Y30)</f>
        <v>0</v>
      </c>
      <c r="Z31" s="605"/>
      <c r="AA31" s="605"/>
      <c r="AB31" s="650"/>
      <c r="AC31" s="648">
        <f>((AC21+(AE21/60))*AC22)+((AC25+(AE25/60))*AC26)+((AC29+(AE29/60))*AC30)</f>
        <v>0</v>
      </c>
      <c r="AD31" s="605"/>
      <c r="AE31" s="605"/>
      <c r="AF31" s="649"/>
      <c r="AG31" s="604">
        <f>AG30+AG26+AG22</f>
        <v>0</v>
      </c>
      <c r="AH31" s="605"/>
      <c r="AI31" s="605"/>
      <c r="AJ31" s="606"/>
      <c r="AK31" s="506"/>
      <c r="AL31" s="28">
        <f>AG32+AG28+AG24+AG20</f>
        <v>0</v>
      </c>
      <c r="AM31" s="27" t="str">
        <f>IF(AND(AL31&gt;0,AE7="Yes",OR(E33="",G33="",I33="",K33="",M33="",O33="",Q33="",S33="",U33="",W33="",Y33="",AA33="",AC33="",AE33="")),"FALSE","TRUE")</f>
        <v>TRUE</v>
      </c>
      <c r="AN31" s="45"/>
      <c r="AO31" s="40"/>
      <c r="AP31" s="695"/>
      <c r="AQ31" s="696"/>
      <c r="AR31" s="696"/>
      <c r="AS31" s="696"/>
      <c r="AT31" s="696"/>
      <c r="AU31" s="697"/>
      <c r="AV31" s="41"/>
    </row>
    <row r="32" spans="2:48" ht="21.75" hidden="1" customHeight="1" x14ac:dyDescent="0.2">
      <c r="B32" s="40"/>
      <c r="C32" s="10"/>
      <c r="D32" s="104" t="s">
        <v>148</v>
      </c>
      <c r="E32" s="581">
        <f>E33+(G33/60)</f>
        <v>0</v>
      </c>
      <c r="F32" s="579"/>
      <c r="G32" s="579"/>
      <c r="H32" s="580"/>
      <c r="I32" s="579">
        <f t="shared" ref="I32" si="18">I33+(K33/60)</f>
        <v>0</v>
      </c>
      <c r="J32" s="579"/>
      <c r="K32" s="579"/>
      <c r="L32" s="580"/>
      <c r="M32" s="579">
        <f t="shared" ref="M32" si="19">M33+(O33/60)</f>
        <v>0</v>
      </c>
      <c r="N32" s="579"/>
      <c r="O32" s="579"/>
      <c r="P32" s="580"/>
      <c r="Q32" s="579">
        <f t="shared" ref="Q32" si="20">Q33+(S33/60)</f>
        <v>0</v>
      </c>
      <c r="R32" s="579"/>
      <c r="S32" s="579"/>
      <c r="T32" s="580"/>
      <c r="U32" s="579">
        <f t="shared" ref="U32" si="21">U33+(W33/60)</f>
        <v>0</v>
      </c>
      <c r="V32" s="579"/>
      <c r="W32" s="579"/>
      <c r="X32" s="580"/>
      <c r="Y32" s="579">
        <f t="shared" ref="Y32" si="22">Y33+(AA33/60)</f>
        <v>0</v>
      </c>
      <c r="Z32" s="579"/>
      <c r="AA32" s="579"/>
      <c r="AB32" s="580"/>
      <c r="AC32" s="579">
        <f t="shared" ref="AC32" si="23">AC33+(AE33/60)</f>
        <v>0</v>
      </c>
      <c r="AD32" s="579"/>
      <c r="AE32" s="579"/>
      <c r="AF32" s="580"/>
      <c r="AG32" s="581">
        <f>SUM(E32:AF32)</f>
        <v>0</v>
      </c>
      <c r="AH32" s="579"/>
      <c r="AI32" s="579"/>
      <c r="AJ32" s="582"/>
      <c r="AK32" s="506"/>
      <c r="AL32" s="28"/>
      <c r="AM32" s="27"/>
      <c r="AN32" s="45"/>
      <c r="AO32" s="40"/>
      <c r="AP32" s="695"/>
      <c r="AQ32" s="696"/>
      <c r="AR32" s="696"/>
      <c r="AS32" s="696"/>
      <c r="AT32" s="696"/>
      <c r="AU32" s="697"/>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506"/>
      <c r="AL33" s="27"/>
      <c r="AM33" s="27"/>
      <c r="AN33" s="45"/>
      <c r="AO33" s="40"/>
      <c r="AP33" s="695"/>
      <c r="AQ33" s="696"/>
      <c r="AR33" s="696"/>
      <c r="AS33" s="696"/>
      <c r="AT33" s="696"/>
      <c r="AU33" s="697"/>
      <c r="AV33" s="41"/>
    </row>
    <row r="34" spans="2:48" ht="11.25" customHeight="1" x14ac:dyDescent="0.2">
      <c r="B34" s="40"/>
      <c r="C34" s="10">
        <f>C18+7</f>
        <v>44599</v>
      </c>
      <c r="D34" s="71" t="s">
        <v>133</v>
      </c>
      <c r="E34" s="598">
        <f>IF(ISNA(C34),"",C34)</f>
        <v>44599</v>
      </c>
      <c r="F34" s="589"/>
      <c r="G34" s="589"/>
      <c r="H34" s="590"/>
      <c r="I34" s="588">
        <f>IF(ISNA(C34),"",E34+1)</f>
        <v>44600</v>
      </c>
      <c r="J34" s="589"/>
      <c r="K34" s="589"/>
      <c r="L34" s="590"/>
      <c r="M34" s="588">
        <f>IF(ISNA(C34),"",I34+1)</f>
        <v>44601</v>
      </c>
      <c r="N34" s="589"/>
      <c r="O34" s="589"/>
      <c r="P34" s="590"/>
      <c r="Q34" s="588">
        <f>IF(ISNA(C34),"",M34+1)</f>
        <v>44602</v>
      </c>
      <c r="R34" s="589"/>
      <c r="S34" s="589"/>
      <c r="T34" s="590"/>
      <c r="U34" s="588">
        <f>IF(ISNA(C34),"",Q34+1)</f>
        <v>44603</v>
      </c>
      <c r="V34" s="589"/>
      <c r="W34" s="589"/>
      <c r="X34" s="590"/>
      <c r="Y34" s="588">
        <f>IF(ISNA(C34),"",U34+1)</f>
        <v>44604</v>
      </c>
      <c r="Z34" s="589"/>
      <c r="AA34" s="589"/>
      <c r="AB34" s="590"/>
      <c r="AC34" s="588">
        <f>IF(ISNA(C34),"",Y34+1)</f>
        <v>44605</v>
      </c>
      <c r="AD34" s="589"/>
      <c r="AE34" s="589"/>
      <c r="AF34" s="614"/>
      <c r="AG34" s="598" t="str">
        <f>IF(AE7="Yes",VLOOKUP(C34,TermTime,2,FALSE),"Week Total")</f>
        <v>Week Total</v>
      </c>
      <c r="AH34" s="589"/>
      <c r="AI34" s="589"/>
      <c r="AJ34" s="599"/>
      <c r="AK34" s="664" t="str">
        <f>IF(OR(AL47&gt;36,AM47="FALSE",AND(AL47&gt;20,AE7="Yes")),"WARNING","")</f>
        <v/>
      </c>
      <c r="AL34" s="27"/>
      <c r="AM34" s="27"/>
      <c r="AN34" s="45"/>
      <c r="AO34" s="40"/>
      <c r="AP34" s="695"/>
      <c r="AQ34" s="696"/>
      <c r="AR34" s="696"/>
      <c r="AS34" s="696"/>
      <c r="AT34" s="696"/>
      <c r="AU34" s="697"/>
      <c r="AV34" s="41"/>
    </row>
    <row r="35" spans="2:48" ht="24" hidden="1" customHeight="1" x14ac:dyDescent="0.2">
      <c r="B35" s="40"/>
      <c r="C35" s="10"/>
      <c r="D35" s="104" t="s">
        <v>135</v>
      </c>
      <c r="E35" s="116">
        <f>DATEDIF($E$5,E$34,"Y")</f>
        <v>24</v>
      </c>
      <c r="F35" s="97">
        <f>VLOOKUP(E35,Rates!$B:$C,2,1)</f>
        <v>5</v>
      </c>
      <c r="G35" s="102">
        <f>HLOOKUP(H35,Rates,F35,FALSE)</f>
        <v>8.91</v>
      </c>
      <c r="H35" s="99" t="str">
        <f>HLOOKUP(E$34,Rates!$1:$2,2,1)</f>
        <v>I</v>
      </c>
      <c r="I35" s="100">
        <f>DATEDIF($E$5,I$34,"Y")</f>
        <v>24</v>
      </c>
      <c r="J35" s="101">
        <f>VLOOKUP(I35,Rates!$B:$C,2,1)</f>
        <v>5</v>
      </c>
      <c r="K35" s="102">
        <f>HLOOKUP(L35,Rates,J35,FALSE)</f>
        <v>8.91</v>
      </c>
      <c r="L35" s="99" t="str">
        <f>HLOOKUP(I$34,Rates!$1:$2,2,1)</f>
        <v>I</v>
      </c>
      <c r="M35" s="100">
        <f>DATEDIF($E$5,M$34,"Y")</f>
        <v>24</v>
      </c>
      <c r="N35" s="97">
        <f>VLOOKUP(M35,Rates!$B:$C,2,1)</f>
        <v>5</v>
      </c>
      <c r="O35" s="102">
        <f>HLOOKUP(P35,Rates,N35,FALSE)</f>
        <v>8.91</v>
      </c>
      <c r="P35" s="99" t="str">
        <f>HLOOKUP(M$34,Rates!$1:$2,2,1)</f>
        <v>I</v>
      </c>
      <c r="Q35" s="100">
        <f>DATEDIF($E$5,Q$34,"Y")</f>
        <v>24</v>
      </c>
      <c r="R35" s="97">
        <f>VLOOKUP(Q35,Rates!$B:$C,2,1)</f>
        <v>5</v>
      </c>
      <c r="S35" s="102">
        <f>HLOOKUP(T35,Rates,R35,FALSE)</f>
        <v>8.91</v>
      </c>
      <c r="T35" s="99" t="str">
        <f>HLOOKUP(Q$34,Rates!$1:$2,2,1)</f>
        <v>I</v>
      </c>
      <c r="U35" s="100">
        <f>DATEDIF($E$5,U$34,"Y")</f>
        <v>24</v>
      </c>
      <c r="V35" s="97">
        <f>VLOOKUP(U35,Rates!$B:$C,2,1)</f>
        <v>5</v>
      </c>
      <c r="W35" s="102">
        <f>HLOOKUP(X35,Rates,V35,FALSE)</f>
        <v>8.91</v>
      </c>
      <c r="X35" s="99" t="str">
        <f>HLOOKUP(U$34,Rates!$1:$2,2,1)</f>
        <v>I</v>
      </c>
      <c r="Y35" s="100">
        <f>DATEDIF($E$5,Y$34,"Y")</f>
        <v>24</v>
      </c>
      <c r="Z35" s="101">
        <f>VLOOKUP(Y35,Rates!$B:$C,2,1)</f>
        <v>5</v>
      </c>
      <c r="AA35" s="102">
        <f>HLOOKUP(AB35,Rates,Z35,FALSE)</f>
        <v>8.91</v>
      </c>
      <c r="AB35" s="99" t="str">
        <f>HLOOKUP(Y$34,Rates!$1:$2,2,1)</f>
        <v>I</v>
      </c>
      <c r="AC35" s="100">
        <f>DATEDIF($E$5,AC$34,"Y")</f>
        <v>24</v>
      </c>
      <c r="AD35" s="97">
        <f>VLOOKUP(AC35,Rates!$B:$C,2,1)</f>
        <v>5</v>
      </c>
      <c r="AE35" s="102">
        <f>HLOOKUP(AF35,Rates,AD35,FALSE)</f>
        <v>8.91</v>
      </c>
      <c r="AF35" s="99" t="str">
        <f>HLOOKUP(AC$34,Rates!$1:$2,2,1)</f>
        <v>I</v>
      </c>
      <c r="AG35" s="600"/>
      <c r="AH35" s="601"/>
      <c r="AI35" s="601"/>
      <c r="AJ35" s="602"/>
      <c r="AK35" s="664"/>
      <c r="AL35" s="27"/>
      <c r="AM35" s="27"/>
      <c r="AN35" s="45"/>
      <c r="AO35" s="40"/>
      <c r="AP35" s="695"/>
      <c r="AQ35" s="696"/>
      <c r="AR35" s="696"/>
      <c r="AS35" s="696"/>
      <c r="AT35" s="696"/>
      <c r="AU35" s="697"/>
      <c r="AV35" s="41"/>
    </row>
    <row r="36" spans="2:48" ht="24" hidden="1" customHeight="1" x14ac:dyDescent="0.2">
      <c r="B36" s="40"/>
      <c r="C36" s="10"/>
      <c r="D36" s="104" t="s">
        <v>136</v>
      </c>
      <c r="E36" s="583">
        <f>E37+(G37/60)</f>
        <v>1</v>
      </c>
      <c r="F36" s="577"/>
      <c r="G36" s="577"/>
      <c r="H36" s="578"/>
      <c r="I36" s="577">
        <f t="shared" ref="I36" si="24">I37+(K37/60)</f>
        <v>1</v>
      </c>
      <c r="J36" s="577"/>
      <c r="K36" s="577"/>
      <c r="L36" s="578"/>
      <c r="M36" s="577">
        <f t="shared" ref="M36" si="25">M37+(O37/60)</f>
        <v>1</v>
      </c>
      <c r="N36" s="577"/>
      <c r="O36" s="577"/>
      <c r="P36" s="578"/>
      <c r="Q36" s="577">
        <f t="shared" ref="Q36" si="26">Q37+(S37/60)</f>
        <v>0</v>
      </c>
      <c r="R36" s="577"/>
      <c r="S36" s="577"/>
      <c r="T36" s="578"/>
      <c r="U36" s="577">
        <f t="shared" ref="U36" si="27">U37+(W37/60)</f>
        <v>0</v>
      </c>
      <c r="V36" s="577"/>
      <c r="W36" s="577"/>
      <c r="X36" s="578"/>
      <c r="Y36" s="577">
        <f t="shared" ref="Y36" si="28">Y37+(AA37/60)</f>
        <v>0</v>
      </c>
      <c r="Z36" s="577"/>
      <c r="AA36" s="577"/>
      <c r="AB36" s="578"/>
      <c r="AC36" s="577">
        <f t="shared" ref="AC36" si="29">AC37+(AE37/60)</f>
        <v>0</v>
      </c>
      <c r="AD36" s="577"/>
      <c r="AE36" s="577"/>
      <c r="AF36" s="578"/>
      <c r="AG36" s="583">
        <f>SUM(E36:AF36)</f>
        <v>3</v>
      </c>
      <c r="AH36" s="577"/>
      <c r="AI36" s="577"/>
      <c r="AJ36" s="584"/>
      <c r="AK36" s="664"/>
      <c r="AL36" s="27"/>
      <c r="AM36" s="27"/>
      <c r="AN36" s="45"/>
      <c r="AO36" s="40"/>
      <c r="AP36" s="695"/>
      <c r="AQ36" s="696"/>
      <c r="AR36" s="696"/>
      <c r="AS36" s="696"/>
      <c r="AT36" s="696"/>
      <c r="AU36" s="697"/>
      <c r="AV36" s="41"/>
    </row>
    <row r="37" spans="2:48" x14ac:dyDescent="0.2">
      <c r="B37" s="40"/>
      <c r="C37" s="10"/>
      <c r="D37" s="91" t="s">
        <v>137</v>
      </c>
      <c r="E37" s="81">
        <v>1</v>
      </c>
      <c r="F37" s="77" t="s">
        <v>80</v>
      </c>
      <c r="G37" s="76"/>
      <c r="H37" s="95" t="s">
        <v>81</v>
      </c>
      <c r="I37" s="93">
        <v>1</v>
      </c>
      <c r="J37" s="77" t="s">
        <v>80</v>
      </c>
      <c r="K37" s="76"/>
      <c r="L37" s="95" t="s">
        <v>81</v>
      </c>
      <c r="M37" s="93">
        <v>1</v>
      </c>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3</v>
      </c>
      <c r="AH37" s="79" t="s">
        <v>80</v>
      </c>
      <c r="AI37" s="78">
        <f>(AG36-AG37)*60</f>
        <v>0</v>
      </c>
      <c r="AJ37" s="82" t="s">
        <v>81</v>
      </c>
      <c r="AK37" s="664"/>
      <c r="AL37" s="27"/>
      <c r="AM37" s="27"/>
      <c r="AN37" s="45"/>
      <c r="AO37" s="40"/>
      <c r="AP37" s="695"/>
      <c r="AQ37" s="696"/>
      <c r="AR37" s="696"/>
      <c r="AS37" s="696"/>
      <c r="AT37" s="696"/>
      <c r="AU37" s="697"/>
      <c r="AV37" s="41"/>
    </row>
    <row r="38" spans="2:48" ht="13.5" customHeight="1" x14ac:dyDescent="0.2">
      <c r="B38" s="40"/>
      <c r="C38" s="10"/>
      <c r="D38" s="124" t="s">
        <v>138</v>
      </c>
      <c r="E38" s="633">
        <f>MAX(G35,IF($V$11=$AM$11,$AF$11,HLOOKUP(H35,Rates,$AL$11,FALSE)))</f>
        <v>13.6</v>
      </c>
      <c r="F38" s="586"/>
      <c r="G38" s="586"/>
      <c r="H38" s="587"/>
      <c r="I38" s="585">
        <f>MAX(K35,IF($V$11=$AM$11,$AF$11,HLOOKUP(L35,Rates,$AL$11,FALSE)))</f>
        <v>13.6</v>
      </c>
      <c r="J38" s="586"/>
      <c r="K38" s="586"/>
      <c r="L38" s="587"/>
      <c r="M38" s="585">
        <f>MAX(O35,IF($V$11=$AM$11,$AF$11,HLOOKUP(P35,Rates,$AL$11,FALSE)))</f>
        <v>13.6</v>
      </c>
      <c r="N38" s="586"/>
      <c r="O38" s="586"/>
      <c r="P38" s="587"/>
      <c r="Q38" s="585">
        <f>MAX(S35,IF($V$11=$AM$11,$AF$11,HLOOKUP(T35,Rates,$AL$11,FALSE)))</f>
        <v>13.6</v>
      </c>
      <c r="R38" s="586"/>
      <c r="S38" s="586"/>
      <c r="T38" s="587"/>
      <c r="U38" s="585">
        <f>MAX(W35,IF($V$11=$AM$11,$AF$11,HLOOKUP(X35,Rates,$AL$11,FALSE)))</f>
        <v>13.6</v>
      </c>
      <c r="V38" s="586"/>
      <c r="W38" s="586"/>
      <c r="X38" s="587"/>
      <c r="Y38" s="585">
        <f>MAX(AA35,IF($V$11=$AM$11,$AF$11,HLOOKUP(AB35,Rates,$AL$11,FALSE)))</f>
        <v>13.6</v>
      </c>
      <c r="Z38" s="586"/>
      <c r="AA38" s="586"/>
      <c r="AB38" s="587"/>
      <c r="AC38" s="585">
        <f>MAX(AE35,IF($V$11=$AM$11,$AF$11,HLOOKUP(AF35,Rates,$AL$11,FALSE)))</f>
        <v>13.6</v>
      </c>
      <c r="AD38" s="586"/>
      <c r="AE38" s="586"/>
      <c r="AF38" s="610"/>
      <c r="AG38" s="668">
        <f>SUMPRODUCT(E38:AF38,E36:AF36)</f>
        <v>40.799999999999997</v>
      </c>
      <c r="AH38" s="669"/>
      <c r="AI38" s="669"/>
      <c r="AJ38" s="670"/>
      <c r="AK38" s="664"/>
      <c r="AL38" s="35">
        <f>AG38*IF($V$11="Demonstrator Rate",0.1711,0.1207)</f>
        <v>6.98088</v>
      </c>
      <c r="AM38" s="27"/>
      <c r="AN38" s="45"/>
      <c r="AO38" s="40"/>
      <c r="AP38" s="695"/>
      <c r="AQ38" s="696"/>
      <c r="AR38" s="696"/>
      <c r="AS38" s="696"/>
      <c r="AT38" s="696"/>
      <c r="AU38" s="697"/>
      <c r="AV38" s="41"/>
    </row>
    <row r="39" spans="2:48" ht="13.5" hidden="1" customHeight="1" x14ac:dyDescent="0.2">
      <c r="B39" s="40"/>
      <c r="C39" s="10"/>
      <c r="D39" s="104" t="s">
        <v>139</v>
      </c>
      <c r="E39" s="116">
        <f>DATEDIF($E$5,E$34,"Y")</f>
        <v>24</v>
      </c>
      <c r="F39" s="97">
        <f>VLOOKUP(E39,Rates!$B:$C,2,1)</f>
        <v>5</v>
      </c>
      <c r="G39" s="102">
        <f>HLOOKUP(H39,Rates,F39,FALSE)</f>
        <v>8.91</v>
      </c>
      <c r="H39" s="99" t="str">
        <f>HLOOKUP(E$34,Rates!$1:$2,2,1)</f>
        <v>I</v>
      </c>
      <c r="I39" s="100">
        <f>DATEDIF($E$5,I$34,"Y")</f>
        <v>24</v>
      </c>
      <c r="J39" s="97">
        <f>VLOOKUP(I39,Rates!$B:$C,2,1)</f>
        <v>5</v>
      </c>
      <c r="K39" s="102">
        <f>HLOOKUP(L39,Rates,J39,FALSE)</f>
        <v>8.91</v>
      </c>
      <c r="L39" s="99" t="str">
        <f>HLOOKUP(I$34,Rates!$1:$2,2,1)</f>
        <v>I</v>
      </c>
      <c r="M39" s="100">
        <f>DATEDIF($E$5,M$34,"Y")</f>
        <v>24</v>
      </c>
      <c r="N39" s="97">
        <f>VLOOKUP(M39,Rates!$B:$C,2,1)</f>
        <v>5</v>
      </c>
      <c r="O39" s="102">
        <f>HLOOKUP(P39,Rates,N39,FALSE)</f>
        <v>8.91</v>
      </c>
      <c r="P39" s="99" t="str">
        <f>HLOOKUP(M$34,Rates!$1:$2,2,1)</f>
        <v>I</v>
      </c>
      <c r="Q39" s="100">
        <f>DATEDIF($E$5,Q$34,"Y")</f>
        <v>24</v>
      </c>
      <c r="R39" s="97">
        <f>VLOOKUP(Q39,Rates!$B:$C,2,1)</f>
        <v>5</v>
      </c>
      <c r="S39" s="102">
        <f>HLOOKUP(T39,Rates,R39,FALSE)</f>
        <v>8.91</v>
      </c>
      <c r="T39" s="99" t="str">
        <f>HLOOKUP(Q$34,Rates!$1:$2,2,1)</f>
        <v>I</v>
      </c>
      <c r="U39" s="100">
        <f>DATEDIF($E$5,U$34,"Y")</f>
        <v>24</v>
      </c>
      <c r="V39" s="97">
        <f>VLOOKUP(U39,Rates!$B:$C,2,1)</f>
        <v>5</v>
      </c>
      <c r="W39" s="102">
        <f>HLOOKUP(X39,Rates,V39,FALSE)</f>
        <v>8.91</v>
      </c>
      <c r="X39" s="99" t="str">
        <f>HLOOKUP(U$34,Rates!$1:$2,2,1)</f>
        <v>I</v>
      </c>
      <c r="Y39" s="100">
        <f>DATEDIF($E$5,Y$34,"Y")</f>
        <v>24</v>
      </c>
      <c r="Z39" s="97">
        <f>VLOOKUP(Y39,Rates!$B:$C,2,1)</f>
        <v>5</v>
      </c>
      <c r="AA39" s="102">
        <f>HLOOKUP(AB39,Rates,Z39,FALSE)</f>
        <v>8.91</v>
      </c>
      <c r="AB39" s="99" t="str">
        <f>HLOOKUP(Y$34,Rates!$1:$2,2,1)</f>
        <v>I</v>
      </c>
      <c r="AC39" s="100">
        <f>DATEDIF($E$5,AC$34,"Y")</f>
        <v>24</v>
      </c>
      <c r="AD39" s="97">
        <f>VLOOKUP(AC39,Rates!$B:$C,2,1)</f>
        <v>5</v>
      </c>
      <c r="AE39" s="102">
        <f>HLOOKUP(AF39,Rates,AD39,FALSE)</f>
        <v>8.91</v>
      </c>
      <c r="AF39" s="99" t="str">
        <f>HLOOKUP(AC$34,Rates!$1:$2,2,1)</f>
        <v>I</v>
      </c>
      <c r="AG39" s="600"/>
      <c r="AH39" s="601"/>
      <c r="AI39" s="601"/>
      <c r="AJ39" s="602"/>
      <c r="AK39" s="664"/>
      <c r="AL39" s="5"/>
      <c r="AM39" s="27"/>
      <c r="AN39" s="45"/>
      <c r="AO39" s="40"/>
      <c r="AP39" s="695"/>
      <c r="AQ39" s="696"/>
      <c r="AR39" s="696"/>
      <c r="AS39" s="696"/>
      <c r="AT39" s="696"/>
      <c r="AU39" s="697"/>
      <c r="AV39" s="41"/>
    </row>
    <row r="40" spans="2:48" ht="13.5" hidden="1" customHeight="1" x14ac:dyDescent="0.2">
      <c r="B40" s="40"/>
      <c r="C40" s="10"/>
      <c r="D40" s="104" t="s">
        <v>140</v>
      </c>
      <c r="E40" s="583">
        <f>E41+(G41/60)</f>
        <v>0</v>
      </c>
      <c r="F40" s="577"/>
      <c r="G40" s="577"/>
      <c r="H40" s="578"/>
      <c r="I40" s="577">
        <f t="shared" ref="I40" si="30">I41+(K41/60)</f>
        <v>0</v>
      </c>
      <c r="J40" s="577"/>
      <c r="K40" s="577"/>
      <c r="L40" s="578"/>
      <c r="M40" s="577">
        <f t="shared" ref="M40" si="31">M41+(O41/60)</f>
        <v>0</v>
      </c>
      <c r="N40" s="577"/>
      <c r="O40" s="577"/>
      <c r="P40" s="578"/>
      <c r="Q40" s="577">
        <f t="shared" ref="Q40" si="32">Q41+(S41/60)</f>
        <v>0</v>
      </c>
      <c r="R40" s="577"/>
      <c r="S40" s="577"/>
      <c r="T40" s="578"/>
      <c r="U40" s="577">
        <f t="shared" ref="U40" si="33">U41+(W41/60)</f>
        <v>0</v>
      </c>
      <c r="V40" s="577"/>
      <c r="W40" s="577"/>
      <c r="X40" s="578"/>
      <c r="Y40" s="577">
        <f t="shared" ref="Y40" si="34">Y41+(AA41/60)</f>
        <v>0</v>
      </c>
      <c r="Z40" s="577"/>
      <c r="AA40" s="577"/>
      <c r="AB40" s="578"/>
      <c r="AC40" s="577">
        <f t="shared" ref="AC40" si="35">AC41+(AE41/60)</f>
        <v>0</v>
      </c>
      <c r="AD40" s="577"/>
      <c r="AE40" s="577"/>
      <c r="AF40" s="578"/>
      <c r="AG40" s="583">
        <f>SUM(E40:AF40)</f>
        <v>0</v>
      </c>
      <c r="AH40" s="577"/>
      <c r="AI40" s="577"/>
      <c r="AJ40" s="584"/>
      <c r="AK40" s="664"/>
      <c r="AL40" s="5"/>
      <c r="AM40" s="27"/>
      <c r="AN40" s="45"/>
      <c r="AO40" s="40"/>
      <c r="AP40" s="695"/>
      <c r="AQ40" s="696"/>
      <c r="AR40" s="696"/>
      <c r="AS40" s="696"/>
      <c r="AT40" s="696"/>
      <c r="AU40" s="697"/>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64"/>
      <c r="AL41" s="27"/>
      <c r="AM41" s="27"/>
      <c r="AN41" s="45"/>
      <c r="AO41" s="40"/>
      <c r="AP41" s="695"/>
      <c r="AQ41" s="696"/>
      <c r="AR41" s="696"/>
      <c r="AS41" s="696"/>
      <c r="AT41" s="696"/>
      <c r="AU41" s="697"/>
      <c r="AV41" s="41"/>
    </row>
    <row r="42" spans="2:48" ht="13.5" hidden="1" customHeight="1" x14ac:dyDescent="0.2">
      <c r="B42" s="40"/>
      <c r="C42" s="10"/>
      <c r="D42" s="124" t="s">
        <v>150</v>
      </c>
      <c r="E42" s="633">
        <f>MAX(G39,IF($V$13=$AM$13,$AF$13,HLOOKUP(H39,Rates,$AL$13,FALSE)))</f>
        <v>8.91</v>
      </c>
      <c r="F42" s="586"/>
      <c r="G42" s="586"/>
      <c r="H42" s="587"/>
      <c r="I42" s="585">
        <f>MAX(K39,IF($V$13=$AM$13,$AF$13,HLOOKUP(L39,Rates,$AL$13,FALSE)))</f>
        <v>8.91</v>
      </c>
      <c r="J42" s="586"/>
      <c r="K42" s="586"/>
      <c r="L42" s="587"/>
      <c r="M42" s="585">
        <f>MAX(O39,IF($V$13=$AM$13,$AF$13,HLOOKUP(P39,Rates,$AL$13,FALSE)))</f>
        <v>8.91</v>
      </c>
      <c r="N42" s="586"/>
      <c r="O42" s="586"/>
      <c r="P42" s="587"/>
      <c r="Q42" s="585">
        <f>MAX(S39,IF($V$13=$AM$13,$AF$13,HLOOKUP(T39,Rates,$AL$13,FALSE)))</f>
        <v>8.91</v>
      </c>
      <c r="R42" s="586"/>
      <c r="S42" s="586"/>
      <c r="T42" s="587"/>
      <c r="U42" s="585">
        <f>MAX(W39,IF($V$13=$AM$13,$AF$13,HLOOKUP(X39,Rates,$AL$13,FALSE)))</f>
        <v>8.91</v>
      </c>
      <c r="V42" s="586"/>
      <c r="W42" s="586"/>
      <c r="X42" s="587"/>
      <c r="Y42" s="585">
        <f>MAX(AA39,IF($V$13=$AM$13,$AF$13,HLOOKUP(AB39,Rates,$AL$13,FALSE)))</f>
        <v>8.91</v>
      </c>
      <c r="Z42" s="586"/>
      <c r="AA42" s="586"/>
      <c r="AB42" s="587"/>
      <c r="AC42" s="585">
        <f>MAX(AE39,IF($V$13=$AM$13,$AF$13,HLOOKUP(AF39,Rates,$AL$13,FALSE)))</f>
        <v>8.91</v>
      </c>
      <c r="AD42" s="586"/>
      <c r="AE42" s="586"/>
      <c r="AF42" s="610"/>
      <c r="AG42" s="668">
        <f>SUMPRODUCT(E42:AF42,E40:AF40)</f>
        <v>0</v>
      </c>
      <c r="AH42" s="669"/>
      <c r="AI42" s="669"/>
      <c r="AJ42" s="670"/>
      <c r="AK42" s="664"/>
      <c r="AL42" s="35">
        <f>AG42*IF($V$13="Demonstrator Rate",0.1711,0.1207)</f>
        <v>0</v>
      </c>
      <c r="AM42" s="27"/>
      <c r="AN42" s="45"/>
      <c r="AO42" s="40"/>
      <c r="AP42" s="695"/>
      <c r="AQ42" s="696"/>
      <c r="AR42" s="696"/>
      <c r="AS42" s="696"/>
      <c r="AT42" s="696"/>
      <c r="AU42" s="697"/>
      <c r="AV42" s="41"/>
    </row>
    <row r="43" spans="2:48" ht="13.5" hidden="1" customHeight="1" x14ac:dyDescent="0.2">
      <c r="B43" s="40"/>
      <c r="C43" s="10"/>
      <c r="D43" s="104" t="s">
        <v>143</v>
      </c>
      <c r="E43" s="116">
        <f>DATEDIF($E$5,E$34,"Y")</f>
        <v>24</v>
      </c>
      <c r="F43" s="97">
        <f>VLOOKUP(E43,Rates!$B:$C,2,1)</f>
        <v>5</v>
      </c>
      <c r="G43" s="102">
        <f>HLOOKUP(H43,Rates,F43,FALSE)</f>
        <v>8.91</v>
      </c>
      <c r="H43" s="99" t="str">
        <f>HLOOKUP(E$34,Rates!$1:$2,2,1)</f>
        <v>I</v>
      </c>
      <c r="I43" s="100">
        <f>DATEDIF($E$5,I$34,"Y")</f>
        <v>24</v>
      </c>
      <c r="J43" s="97">
        <f>VLOOKUP(I43,Rates!$B:$C,2,1)</f>
        <v>5</v>
      </c>
      <c r="K43" s="102">
        <f>HLOOKUP(L43,Rates,J43,FALSE)</f>
        <v>8.91</v>
      </c>
      <c r="L43" s="99" t="str">
        <f>HLOOKUP(I$34,Rates!$1:$2,2,1)</f>
        <v>I</v>
      </c>
      <c r="M43" s="100">
        <f>DATEDIF($E$5,M$34,"Y")</f>
        <v>24</v>
      </c>
      <c r="N43" s="97">
        <f>VLOOKUP(M43,Rates!$B:$C,2,1)</f>
        <v>5</v>
      </c>
      <c r="O43" s="102">
        <f>HLOOKUP(P43,Rates,N43,FALSE)</f>
        <v>8.91</v>
      </c>
      <c r="P43" s="99" t="str">
        <f>HLOOKUP(M$34,Rates!$1:$2,2,1)</f>
        <v>I</v>
      </c>
      <c r="Q43" s="100">
        <f>DATEDIF($E$5,Q$34,"Y")</f>
        <v>24</v>
      </c>
      <c r="R43" s="97">
        <f>VLOOKUP(Q43,Rates!$B:$C,2,1)</f>
        <v>5</v>
      </c>
      <c r="S43" s="102">
        <f>HLOOKUP(T43,Rates,R43,FALSE)</f>
        <v>8.1999999999999993</v>
      </c>
      <c r="T43" s="103" t="str">
        <f>IF(Q$34&gt;=Rates!$H$1,Rates!$H$2,IF(Q$34&gt;=Rates!$G$1,Rates!$G$2,IF(Q$34&gt;=Rates!$F$1,Rates!$F$2,IF(Q$34&gt;=Rates!$E$1,Rates!$E$2,IF(Q$34&gt;=Rates!$D$1,Rates!$D$2,0)))))</f>
        <v>F</v>
      </c>
      <c r="U43" s="100">
        <f>DATEDIF($E$5,U$34,"Y")</f>
        <v>24</v>
      </c>
      <c r="V43" s="97">
        <f>VLOOKUP(U43,Rates!$B:$C,2,1)</f>
        <v>5</v>
      </c>
      <c r="W43" s="102">
        <f>HLOOKUP(X43,Rates,V43,FALSE)</f>
        <v>8.91</v>
      </c>
      <c r="X43" s="99" t="str">
        <f>HLOOKUP(U$34,Rates!$1:$2,2,1)</f>
        <v>I</v>
      </c>
      <c r="Y43" s="100">
        <f>DATEDIF($E$5,Y$34,"Y")</f>
        <v>24</v>
      </c>
      <c r="Z43" s="97">
        <f>VLOOKUP(Y43,Rates!$B:$C,2,1)</f>
        <v>5</v>
      </c>
      <c r="AA43" s="102">
        <f>HLOOKUP(AB43,Rates,Z43,FALSE)</f>
        <v>8.1999999999999993</v>
      </c>
      <c r="AB43" s="103" t="str">
        <f>IF(Y$34&gt;=Rates!$H$1,Rates!$H$2,IF(Y$34&gt;=Rates!$G$1,Rates!$G$2,IF(Y$34&gt;=Rates!$F$1,Rates!$F$2,IF(Y$34&gt;=Rates!$E$1,Rates!$E$2,IF(Y$34&gt;=Rates!$D$1,Rates!$D$2,0)))))</f>
        <v>F</v>
      </c>
      <c r="AC43" s="100">
        <f>DATEDIF($E$5,AC$34,"Y")</f>
        <v>24</v>
      </c>
      <c r="AD43" s="97">
        <f>VLOOKUP(AC43,Rates!$B:$C,2,1)</f>
        <v>5</v>
      </c>
      <c r="AE43" s="102">
        <f>HLOOKUP(AF43,Rates,AD43,FALSE)</f>
        <v>8.91</v>
      </c>
      <c r="AF43" s="99" t="str">
        <f>HLOOKUP(AC$34,Rates!$1:$2,2,1)</f>
        <v>I</v>
      </c>
      <c r="AG43" s="600"/>
      <c r="AH43" s="601"/>
      <c r="AI43" s="601"/>
      <c r="AJ43" s="602"/>
      <c r="AK43" s="664"/>
      <c r="AL43" s="5"/>
      <c r="AM43" s="27"/>
      <c r="AN43" s="45"/>
      <c r="AO43" s="40"/>
      <c r="AP43" s="695"/>
      <c r="AQ43" s="696"/>
      <c r="AR43" s="696"/>
      <c r="AS43" s="696"/>
      <c r="AT43" s="696"/>
      <c r="AU43" s="697"/>
      <c r="AV43" s="41"/>
    </row>
    <row r="44" spans="2:48" ht="13.5" hidden="1" customHeight="1" x14ac:dyDescent="0.2">
      <c r="B44" s="40"/>
      <c r="C44" s="10"/>
      <c r="D44" s="104" t="s">
        <v>144</v>
      </c>
      <c r="E44" s="583">
        <f>E45+(G45/60)</f>
        <v>0</v>
      </c>
      <c r="F44" s="577"/>
      <c r="G44" s="577"/>
      <c r="H44" s="578"/>
      <c r="I44" s="577">
        <f t="shared" ref="I44" si="36">I45+(K45/60)</f>
        <v>0</v>
      </c>
      <c r="J44" s="577"/>
      <c r="K44" s="577"/>
      <c r="L44" s="578"/>
      <c r="M44" s="577">
        <f t="shared" ref="M44" si="37">M45+(O45/60)</f>
        <v>0</v>
      </c>
      <c r="N44" s="577"/>
      <c r="O44" s="577"/>
      <c r="P44" s="578"/>
      <c r="Q44" s="577">
        <f t="shared" ref="Q44" si="38">Q45+(S45/60)</f>
        <v>0</v>
      </c>
      <c r="R44" s="577"/>
      <c r="S44" s="577"/>
      <c r="T44" s="578"/>
      <c r="U44" s="577">
        <f t="shared" ref="U44" si="39">U45+(W45/60)</f>
        <v>0</v>
      </c>
      <c r="V44" s="577"/>
      <c r="W44" s="577"/>
      <c r="X44" s="578"/>
      <c r="Y44" s="577">
        <f t="shared" ref="Y44" si="40">Y45+(AA45/60)</f>
        <v>0</v>
      </c>
      <c r="Z44" s="577"/>
      <c r="AA44" s="577"/>
      <c r="AB44" s="578"/>
      <c r="AC44" s="577">
        <f t="shared" ref="AC44" si="41">AC45+(AE45/60)</f>
        <v>0</v>
      </c>
      <c r="AD44" s="577"/>
      <c r="AE44" s="577"/>
      <c r="AF44" s="578"/>
      <c r="AG44" s="583">
        <f>SUM(E44:AF44)</f>
        <v>0</v>
      </c>
      <c r="AH44" s="577"/>
      <c r="AI44" s="577"/>
      <c r="AJ44" s="584"/>
      <c r="AK44" s="664"/>
      <c r="AL44" s="5"/>
      <c r="AM44" s="27"/>
      <c r="AN44" s="45"/>
      <c r="AO44" s="40"/>
      <c r="AP44" s="695"/>
      <c r="AQ44" s="696"/>
      <c r="AR44" s="696"/>
      <c r="AS44" s="696"/>
      <c r="AT44" s="696"/>
      <c r="AU44" s="697"/>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64"/>
      <c r="AL45" s="27"/>
      <c r="AM45" s="27"/>
      <c r="AN45" s="45"/>
      <c r="AO45" s="40"/>
      <c r="AP45" s="695"/>
      <c r="AQ45" s="696"/>
      <c r="AR45" s="696"/>
      <c r="AS45" s="696"/>
      <c r="AT45" s="696"/>
      <c r="AU45" s="697"/>
      <c r="AV45" s="41"/>
    </row>
    <row r="46" spans="2:48" ht="13.5" hidden="1" customHeight="1" x14ac:dyDescent="0.2">
      <c r="B46" s="40"/>
      <c r="C46" s="10"/>
      <c r="D46" s="124" t="s">
        <v>146</v>
      </c>
      <c r="E46" s="633">
        <f>MAX(G43,IF($V$15=$AM$15,$AF$15,HLOOKUP(H43,Rates,$AL$15,FALSE)))</f>
        <v>8.91</v>
      </c>
      <c r="F46" s="586"/>
      <c r="G46" s="586"/>
      <c r="H46" s="587"/>
      <c r="I46" s="585">
        <f>MAX(K43,IF($V$15=$AM$15,$AF$15,HLOOKUP(L43,Rates,$AL$15,FALSE)))</f>
        <v>8.91</v>
      </c>
      <c r="J46" s="586"/>
      <c r="K46" s="586"/>
      <c r="L46" s="587"/>
      <c r="M46" s="585">
        <f>MAX(O43,IF($V$15=$AM$15,$AF$15,HLOOKUP(P43,Rates,$AL$15,FALSE)))</f>
        <v>8.91</v>
      </c>
      <c r="N46" s="586"/>
      <c r="O46" s="586"/>
      <c r="P46" s="587"/>
      <c r="Q46" s="585">
        <f>MAX(S43,IF($V$15=$AM$15,$AF$15,HLOOKUP(T43,Rates,$AL$15,FALSE)))</f>
        <v>8.1999999999999993</v>
      </c>
      <c r="R46" s="586"/>
      <c r="S46" s="586"/>
      <c r="T46" s="587"/>
      <c r="U46" s="585">
        <f>MAX(W43,IF($V$15=$AM$15,$AF$15,HLOOKUP(X43,Rates,$AL$15,FALSE)))</f>
        <v>8.91</v>
      </c>
      <c r="V46" s="586"/>
      <c r="W46" s="586"/>
      <c r="X46" s="587"/>
      <c r="Y46" s="585">
        <f>MAX(AA43,IF($V$15=$AM$15,$AF$15,HLOOKUP(AB43,Rates,$AL$15,FALSE)))</f>
        <v>8.1999999999999993</v>
      </c>
      <c r="Z46" s="586"/>
      <c r="AA46" s="586"/>
      <c r="AB46" s="587"/>
      <c r="AC46" s="585">
        <f>MAX(AE43,IF($V$15=$AM$15,$AF$15,HLOOKUP(AF43,Rates,$AL$15,FALSE)))</f>
        <v>8.91</v>
      </c>
      <c r="AD46" s="586"/>
      <c r="AE46" s="586"/>
      <c r="AF46" s="610"/>
      <c r="AG46" s="668">
        <f>SUMPRODUCT(E46:AF46,E44:AF44)</f>
        <v>0</v>
      </c>
      <c r="AH46" s="669"/>
      <c r="AI46" s="669"/>
      <c r="AJ46" s="670"/>
      <c r="AK46" s="664"/>
      <c r="AL46" s="35">
        <f>AG46*IF($V$15="Demonstrator Rate",0.1711,0.1207)</f>
        <v>0</v>
      </c>
      <c r="AM46" s="27"/>
      <c r="AN46" s="45"/>
      <c r="AO46" s="40"/>
      <c r="AP46" s="695"/>
      <c r="AQ46" s="696"/>
      <c r="AR46" s="696"/>
      <c r="AS46" s="696"/>
      <c r="AT46" s="696"/>
      <c r="AU46" s="697"/>
      <c r="AV46" s="41"/>
    </row>
    <row r="47" spans="2:48" ht="13.5" hidden="1" customHeight="1" x14ac:dyDescent="0.2">
      <c r="B47" s="40"/>
      <c r="C47" s="10"/>
      <c r="D47" s="193" t="s">
        <v>147</v>
      </c>
      <c r="E47" s="654">
        <f>((E37+(G37/60))*E38)+((E41+(G41/60))*E42)+((E45+(G45/60))*E46)</f>
        <v>13.6</v>
      </c>
      <c r="F47" s="616"/>
      <c r="G47" s="616"/>
      <c r="H47" s="617"/>
      <c r="I47" s="615">
        <f>((I37+(K37/60))*I38)+((I41+(K41/60))*I42)+((I45+(K45/60))*I46)</f>
        <v>13.6</v>
      </c>
      <c r="J47" s="616"/>
      <c r="K47" s="616"/>
      <c r="L47" s="617"/>
      <c r="M47" s="615">
        <f>((M37+(O37/60))*M38)+((M41+(O41/60))*M42)+((M45+(O45/60))*M46)</f>
        <v>13.6</v>
      </c>
      <c r="N47" s="616"/>
      <c r="O47" s="616"/>
      <c r="P47" s="617"/>
      <c r="Q47" s="615">
        <f>((Q37+(S37/60))*Q38)+((Q41+(S41/60))*Q42)+((Q45+(S45/60))*Q46)</f>
        <v>0</v>
      </c>
      <c r="R47" s="616"/>
      <c r="S47" s="616"/>
      <c r="T47" s="617"/>
      <c r="U47" s="615">
        <f>((U37+(W37/60))*U38)+((U41+(W41/60))*U42)+((U45+(W45/60))*U46)</f>
        <v>0</v>
      </c>
      <c r="V47" s="616"/>
      <c r="W47" s="616"/>
      <c r="X47" s="617"/>
      <c r="Y47" s="615">
        <f>((Y37+(AA37/60))*Y38)+((Y41+(AA41/60))*Y42)+((Y45+(AA45/60))*Y46)</f>
        <v>0</v>
      </c>
      <c r="Z47" s="616"/>
      <c r="AA47" s="616"/>
      <c r="AB47" s="617"/>
      <c r="AC47" s="615">
        <f>((AC37+(AE37/60))*AC38)+((AC41+(AE41/60))*AC42)+((AC45+(AE45/60))*AC46)</f>
        <v>0</v>
      </c>
      <c r="AD47" s="616"/>
      <c r="AE47" s="616"/>
      <c r="AF47" s="618"/>
      <c r="AG47" s="604">
        <f>AG46+AG42+AG38</f>
        <v>40.799999999999997</v>
      </c>
      <c r="AH47" s="605"/>
      <c r="AI47" s="605"/>
      <c r="AJ47" s="606"/>
      <c r="AK47" s="664"/>
      <c r="AL47" s="28">
        <f>AG36+AG40+AG44+AG48</f>
        <v>3</v>
      </c>
      <c r="AM47" s="27" t="str">
        <f>IF(AND(AL47&gt;0,AE7="Yes",OR(E49="",G49="",I49="",K49="",M49="",O49="",Q49="",S49="",U49="",W49="",Y49="",AA49="",AC49="",AE49="")),"FALSE","TRUE")</f>
        <v>TRUE</v>
      </c>
      <c r="AN47" s="45"/>
      <c r="AO47" s="40"/>
      <c r="AP47" s="695"/>
      <c r="AQ47" s="696"/>
      <c r="AR47" s="696"/>
      <c r="AS47" s="696"/>
      <c r="AT47" s="696"/>
      <c r="AU47" s="697"/>
      <c r="AV47" s="41"/>
    </row>
    <row r="48" spans="2:48" ht="13.5" hidden="1" customHeight="1" x14ac:dyDescent="0.2">
      <c r="B48" s="40"/>
      <c r="C48" s="10"/>
      <c r="D48" s="104" t="s">
        <v>148</v>
      </c>
      <c r="E48" s="581">
        <f>E49+(G49/60)</f>
        <v>0</v>
      </c>
      <c r="F48" s="579"/>
      <c r="G48" s="579"/>
      <c r="H48" s="580"/>
      <c r="I48" s="579">
        <f t="shared" ref="I48" si="42">I49+(K49/60)</f>
        <v>0</v>
      </c>
      <c r="J48" s="579"/>
      <c r="K48" s="579"/>
      <c r="L48" s="580"/>
      <c r="M48" s="579">
        <f t="shared" ref="M48" si="43">M49+(O49/60)</f>
        <v>0</v>
      </c>
      <c r="N48" s="579"/>
      <c r="O48" s="579"/>
      <c r="P48" s="580"/>
      <c r="Q48" s="579">
        <f t="shared" ref="Q48" si="44">Q49+(S49/60)</f>
        <v>0</v>
      </c>
      <c r="R48" s="579"/>
      <c r="S48" s="579"/>
      <c r="T48" s="580"/>
      <c r="U48" s="579">
        <f t="shared" ref="U48" si="45">U49+(W49/60)</f>
        <v>0</v>
      </c>
      <c r="V48" s="579"/>
      <c r="W48" s="579"/>
      <c r="X48" s="580"/>
      <c r="Y48" s="579">
        <f t="shared" ref="Y48" si="46">Y49+(AA49/60)</f>
        <v>0</v>
      </c>
      <c r="Z48" s="579"/>
      <c r="AA48" s="579"/>
      <c r="AB48" s="580"/>
      <c r="AC48" s="579">
        <f t="shared" ref="AC48" si="47">AC49+(AE49/60)</f>
        <v>0</v>
      </c>
      <c r="AD48" s="579"/>
      <c r="AE48" s="579"/>
      <c r="AF48" s="580"/>
      <c r="AG48" s="581">
        <f>SUM(E48:AF48)</f>
        <v>0</v>
      </c>
      <c r="AH48" s="579"/>
      <c r="AI48" s="579"/>
      <c r="AJ48" s="582"/>
      <c r="AK48" s="664"/>
      <c r="AL48" s="28"/>
      <c r="AM48" s="27"/>
      <c r="AN48" s="45"/>
      <c r="AO48" s="40"/>
      <c r="AP48" s="695"/>
      <c r="AQ48" s="696"/>
      <c r="AR48" s="696"/>
      <c r="AS48" s="696"/>
      <c r="AT48" s="696"/>
      <c r="AU48" s="697"/>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64"/>
      <c r="AL49" s="27"/>
      <c r="AM49" s="27"/>
      <c r="AN49" s="45"/>
      <c r="AO49" s="40"/>
      <c r="AP49" s="695"/>
      <c r="AQ49" s="696"/>
      <c r="AR49" s="696"/>
      <c r="AS49" s="696"/>
      <c r="AT49" s="696"/>
      <c r="AU49" s="697"/>
      <c r="AV49" s="41"/>
    </row>
    <row r="50" spans="2:48" ht="12" customHeight="1" x14ac:dyDescent="0.2">
      <c r="B50" s="40"/>
      <c r="C50" s="10">
        <f>C34+7</f>
        <v>44606</v>
      </c>
      <c r="D50" s="71" t="s">
        <v>133</v>
      </c>
      <c r="E50" s="598">
        <f>IF(ISNA(C50),"",C50)</f>
        <v>44606</v>
      </c>
      <c r="F50" s="589"/>
      <c r="G50" s="589"/>
      <c r="H50" s="590"/>
      <c r="I50" s="588">
        <f>IF(ISNA(C50),"",E50+1)</f>
        <v>44607</v>
      </c>
      <c r="J50" s="589"/>
      <c r="K50" s="589"/>
      <c r="L50" s="590"/>
      <c r="M50" s="588">
        <f>IF(ISNA(C50),"",I50+1)</f>
        <v>44608</v>
      </c>
      <c r="N50" s="589"/>
      <c r="O50" s="589"/>
      <c r="P50" s="590"/>
      <c r="Q50" s="588">
        <f>IF(ISNA(C50),"",M50+1)</f>
        <v>44609</v>
      </c>
      <c r="R50" s="589"/>
      <c r="S50" s="589"/>
      <c r="T50" s="590"/>
      <c r="U50" s="588">
        <f>IF(ISNA(C50),"",Q50+1)</f>
        <v>44610</v>
      </c>
      <c r="V50" s="589"/>
      <c r="W50" s="589"/>
      <c r="X50" s="590"/>
      <c r="Y50" s="588">
        <f>IF(ISNA(C50),"",U50+1)</f>
        <v>44611</v>
      </c>
      <c r="Z50" s="589"/>
      <c r="AA50" s="589"/>
      <c r="AB50" s="590"/>
      <c r="AC50" s="588">
        <f>IF(ISNA(C50),"",Y50+1)</f>
        <v>44612</v>
      </c>
      <c r="AD50" s="589"/>
      <c r="AE50" s="589"/>
      <c r="AF50" s="614"/>
      <c r="AG50" s="598" t="str">
        <f>IF(AE7="Yes",VLOOKUP(C50,TermTime,2,FALSE),"Week Total")</f>
        <v>Week Total</v>
      </c>
      <c r="AH50" s="589"/>
      <c r="AI50" s="589"/>
      <c r="AJ50" s="599"/>
      <c r="AK50" s="664" t="str">
        <f>IF(OR(AL63&gt;36,AM63="FALSE",AND(AL63&gt;20,AE7="Yes")),"WARNING","")</f>
        <v/>
      </c>
      <c r="AL50" s="27"/>
      <c r="AM50" s="27"/>
      <c r="AN50" s="45"/>
      <c r="AO50" s="40"/>
      <c r="AP50" s="695"/>
      <c r="AQ50" s="696"/>
      <c r="AR50" s="696"/>
      <c r="AS50" s="696"/>
      <c r="AT50" s="696"/>
      <c r="AU50" s="697"/>
      <c r="AV50" s="41"/>
    </row>
    <row r="51" spans="2:48" ht="12" hidden="1" customHeight="1" x14ac:dyDescent="0.2">
      <c r="B51" s="40"/>
      <c r="C51" s="10"/>
      <c r="D51" s="104" t="s">
        <v>135</v>
      </c>
      <c r="E51" s="116">
        <f>DATEDIF($E$5,E$50,"Y")</f>
        <v>24</v>
      </c>
      <c r="F51" s="97">
        <f>VLOOKUP(E51,Rates!$B:$C,2,1)</f>
        <v>5</v>
      </c>
      <c r="G51" s="102">
        <f>HLOOKUP(H51,Rates,F51,FALSE)</f>
        <v>8.91</v>
      </c>
      <c r="H51" s="99" t="str">
        <f>HLOOKUP(E$50,Rates!$1:$2,2,1)</f>
        <v>I</v>
      </c>
      <c r="I51" s="100">
        <f>DATEDIF($E$5,I$50,"Y")</f>
        <v>24</v>
      </c>
      <c r="J51" s="97">
        <f>VLOOKUP(I51,Rates!$B:$C,2,1)</f>
        <v>5</v>
      </c>
      <c r="K51" s="102">
        <f>HLOOKUP(L51,Rates,J51,FALSE)</f>
        <v>8.91</v>
      </c>
      <c r="L51" s="99" t="str">
        <f>HLOOKUP(I$50,Rates!$1:$2,2,1)</f>
        <v>I</v>
      </c>
      <c r="M51" s="100">
        <f>DATEDIF($E$5,M$50,"Y")</f>
        <v>24</v>
      </c>
      <c r="N51" s="97">
        <f>VLOOKUP(M51,Rates!$B:$C,2,1)</f>
        <v>5</v>
      </c>
      <c r="O51" s="102">
        <f>HLOOKUP(P51,Rates,N51,FALSE)</f>
        <v>8.91</v>
      </c>
      <c r="P51" s="99" t="str">
        <f>HLOOKUP(M$50,Rates!$1:$2,2,1)</f>
        <v>I</v>
      </c>
      <c r="Q51" s="100">
        <f>DATEDIF($E$5,Q$50,"Y")</f>
        <v>24</v>
      </c>
      <c r="R51" s="97">
        <f>VLOOKUP(Q51,Rates!$B:$C,2,1)</f>
        <v>5</v>
      </c>
      <c r="S51" s="102">
        <f>HLOOKUP(T51,Rates,R51,FALSE)</f>
        <v>8.91</v>
      </c>
      <c r="T51" s="99" t="str">
        <f>HLOOKUP(Q$50,Rates!$1:$2,2,1)</f>
        <v>I</v>
      </c>
      <c r="U51" s="100">
        <f>DATEDIF($E$5,U$50,"Y")</f>
        <v>24</v>
      </c>
      <c r="V51" s="97">
        <f>VLOOKUP(U51,Rates!$B:$C,2,1)</f>
        <v>5</v>
      </c>
      <c r="W51" s="102">
        <f>HLOOKUP(X51,Rates,V51,FALSE)</f>
        <v>8.91</v>
      </c>
      <c r="X51" s="99" t="str">
        <f>HLOOKUP(U$50,Rates!$1:$2,2,1)</f>
        <v>I</v>
      </c>
      <c r="Y51" s="100">
        <f>DATEDIF($E$5,Y$50,"Y")</f>
        <v>24</v>
      </c>
      <c r="Z51" s="97">
        <f>VLOOKUP(Y51,Rates!$B:$C,2,1)</f>
        <v>5</v>
      </c>
      <c r="AA51" s="102">
        <f>HLOOKUP(AB51,Rates,Z51,FALSE)</f>
        <v>8.91</v>
      </c>
      <c r="AB51" s="99" t="str">
        <f>HLOOKUP(Y$50,Rates!$1:$2,2,1)</f>
        <v>I</v>
      </c>
      <c r="AC51" s="100">
        <f>DATEDIF($E$5,AC$50,"Y")</f>
        <v>24</v>
      </c>
      <c r="AD51" s="97">
        <f>VLOOKUP(AC51,Rates!$B:$C,2,1)</f>
        <v>5</v>
      </c>
      <c r="AE51" s="102">
        <f>HLOOKUP(AF51,Rates,AD51,FALSE)</f>
        <v>8.91</v>
      </c>
      <c r="AF51" s="99" t="str">
        <f>HLOOKUP(AC$50,Rates!$1:$2,2,1)</f>
        <v>I</v>
      </c>
      <c r="AG51" s="600"/>
      <c r="AH51" s="601"/>
      <c r="AI51" s="601"/>
      <c r="AJ51" s="602"/>
      <c r="AK51" s="664"/>
      <c r="AL51" s="27"/>
      <c r="AM51" s="27"/>
      <c r="AN51" s="45"/>
      <c r="AO51" s="40"/>
      <c r="AP51" s="695"/>
      <c r="AQ51" s="696"/>
      <c r="AR51" s="696"/>
      <c r="AS51" s="696"/>
      <c r="AT51" s="696"/>
      <c r="AU51" s="697"/>
      <c r="AV51" s="41"/>
    </row>
    <row r="52" spans="2:48" ht="12" hidden="1" customHeight="1" x14ac:dyDescent="0.2">
      <c r="B52" s="40"/>
      <c r="C52" s="10"/>
      <c r="D52" s="104" t="s">
        <v>136</v>
      </c>
      <c r="E52" s="583">
        <f>E53+(G53/60)</f>
        <v>1</v>
      </c>
      <c r="F52" s="577"/>
      <c r="G52" s="577"/>
      <c r="H52" s="578"/>
      <c r="I52" s="577">
        <f t="shared" ref="I52" si="48">I53+(K53/60)</f>
        <v>1</v>
      </c>
      <c r="J52" s="577"/>
      <c r="K52" s="577"/>
      <c r="L52" s="578"/>
      <c r="M52" s="577">
        <f t="shared" ref="M52" si="49">M53+(O53/60)</f>
        <v>1</v>
      </c>
      <c r="N52" s="577"/>
      <c r="O52" s="577"/>
      <c r="P52" s="578"/>
      <c r="Q52" s="577">
        <f t="shared" ref="Q52" si="50">Q53+(S53/60)</f>
        <v>0</v>
      </c>
      <c r="R52" s="577"/>
      <c r="S52" s="577"/>
      <c r="T52" s="578"/>
      <c r="U52" s="577">
        <f t="shared" ref="U52" si="51">U53+(W53/60)</f>
        <v>0</v>
      </c>
      <c r="V52" s="577"/>
      <c r="W52" s="577"/>
      <c r="X52" s="578"/>
      <c r="Y52" s="577">
        <f t="shared" ref="Y52" si="52">Y53+(AA53/60)</f>
        <v>0</v>
      </c>
      <c r="Z52" s="577"/>
      <c r="AA52" s="577"/>
      <c r="AB52" s="578"/>
      <c r="AC52" s="577">
        <f t="shared" ref="AC52" si="53">AC53+(AE53/60)</f>
        <v>0</v>
      </c>
      <c r="AD52" s="577"/>
      <c r="AE52" s="577"/>
      <c r="AF52" s="578"/>
      <c r="AG52" s="583">
        <f>SUM(E52:AF52)</f>
        <v>3</v>
      </c>
      <c r="AH52" s="577"/>
      <c r="AI52" s="577"/>
      <c r="AJ52" s="584"/>
      <c r="AK52" s="664"/>
      <c r="AL52" s="27"/>
      <c r="AM52" s="27"/>
      <c r="AN52" s="45"/>
      <c r="AO52" s="40"/>
      <c r="AP52" s="695"/>
      <c r="AQ52" s="696"/>
      <c r="AR52" s="696"/>
      <c r="AS52" s="696"/>
      <c r="AT52" s="696"/>
      <c r="AU52" s="697"/>
      <c r="AV52" s="41"/>
    </row>
    <row r="53" spans="2:48" ht="15" customHeight="1" x14ac:dyDescent="0.2">
      <c r="B53" s="40"/>
      <c r="C53" s="10"/>
      <c r="D53" s="91" t="s">
        <v>137</v>
      </c>
      <c r="E53" s="81">
        <v>1</v>
      </c>
      <c r="F53" s="77" t="s">
        <v>80</v>
      </c>
      <c r="G53" s="76"/>
      <c r="H53" s="95" t="s">
        <v>81</v>
      </c>
      <c r="I53" s="93">
        <v>1</v>
      </c>
      <c r="J53" s="77" t="s">
        <v>80</v>
      </c>
      <c r="K53" s="76"/>
      <c r="L53" s="95" t="s">
        <v>81</v>
      </c>
      <c r="M53" s="93">
        <v>1</v>
      </c>
      <c r="N53" s="77" t="s">
        <v>80</v>
      </c>
      <c r="O53" s="76"/>
      <c r="P53" s="95" t="s">
        <v>81</v>
      </c>
      <c r="Q53" s="93"/>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3</v>
      </c>
      <c r="AH53" s="79" t="s">
        <v>80</v>
      </c>
      <c r="AI53" s="78">
        <f>(AG52-AG53)*60</f>
        <v>0</v>
      </c>
      <c r="AJ53" s="82" t="s">
        <v>81</v>
      </c>
      <c r="AK53" s="664"/>
      <c r="AL53" s="27"/>
      <c r="AM53" s="27"/>
      <c r="AN53" s="45"/>
      <c r="AO53" s="40"/>
      <c r="AP53" s="695"/>
      <c r="AQ53" s="696"/>
      <c r="AR53" s="696"/>
      <c r="AS53" s="696"/>
      <c r="AT53" s="696"/>
      <c r="AU53" s="697"/>
      <c r="AV53" s="41"/>
    </row>
    <row r="54" spans="2:48" ht="15" customHeight="1" x14ac:dyDescent="0.2">
      <c r="B54" s="40"/>
      <c r="C54" s="10"/>
      <c r="D54" s="124" t="s">
        <v>138</v>
      </c>
      <c r="E54" s="633">
        <f>MAX(G51,IF($V$11=$AM$11,$AF$11,HLOOKUP(H51,Rates,$AL$11,FALSE)))</f>
        <v>13.6</v>
      </c>
      <c r="F54" s="586"/>
      <c r="G54" s="586"/>
      <c r="H54" s="587"/>
      <c r="I54" s="585">
        <f>MAX(K51,IF($V$11=$AM$11,$AF$11,HLOOKUP(L51,Rates,$AL$11,FALSE)))</f>
        <v>13.6</v>
      </c>
      <c r="J54" s="586"/>
      <c r="K54" s="586"/>
      <c r="L54" s="587"/>
      <c r="M54" s="585">
        <f>MAX(O51,IF($V$11=$AM$11,$AF$11,HLOOKUP(P51,Rates,$AL$11,FALSE)))</f>
        <v>13.6</v>
      </c>
      <c r="N54" s="586"/>
      <c r="O54" s="586"/>
      <c r="P54" s="587"/>
      <c r="Q54" s="585">
        <f>MAX(S51,IF($V$11=$AM$11,$AF$11,HLOOKUP(T51,Rates,$AL$11,FALSE)))</f>
        <v>13.6</v>
      </c>
      <c r="R54" s="586"/>
      <c r="S54" s="586"/>
      <c r="T54" s="587"/>
      <c r="U54" s="585">
        <f>MAX(W51,IF($V$11=$AM$11,$AF$11,HLOOKUP(X51,Rates,$AL$11,FALSE)))</f>
        <v>13.6</v>
      </c>
      <c r="V54" s="586"/>
      <c r="W54" s="586"/>
      <c r="X54" s="587"/>
      <c r="Y54" s="585">
        <f>MAX(AA51,IF($V$11=$AM$11,$AF$11,HLOOKUP(AB51,Rates,$AL$11,FALSE)))</f>
        <v>13.6</v>
      </c>
      <c r="Z54" s="586"/>
      <c r="AA54" s="586"/>
      <c r="AB54" s="587"/>
      <c r="AC54" s="585">
        <f>MAX(AE51,IF($V$11=$AM$11,$AF$11,HLOOKUP(AF51,Rates,$AL$11,FALSE)))</f>
        <v>13.6</v>
      </c>
      <c r="AD54" s="586"/>
      <c r="AE54" s="586"/>
      <c r="AF54" s="610"/>
      <c r="AG54" s="668">
        <f>SUMPRODUCT(E54:AF54,E52:AF52)</f>
        <v>40.799999999999997</v>
      </c>
      <c r="AH54" s="669"/>
      <c r="AI54" s="669"/>
      <c r="AJ54" s="670"/>
      <c r="AK54" s="664"/>
      <c r="AL54" s="35">
        <f>AG54*IF($V$11="Demonstrator Rate",0.1711,0.1207)</f>
        <v>6.98088</v>
      </c>
      <c r="AM54" s="27"/>
      <c r="AN54" s="45"/>
      <c r="AO54" s="40"/>
      <c r="AP54" s="695"/>
      <c r="AQ54" s="696"/>
      <c r="AR54" s="696"/>
      <c r="AS54" s="696"/>
      <c r="AT54" s="696"/>
      <c r="AU54" s="697"/>
      <c r="AV54" s="41"/>
    </row>
    <row r="55" spans="2:48" ht="12" hidden="1" customHeight="1" x14ac:dyDescent="0.2">
      <c r="B55" s="40"/>
      <c r="C55" s="10"/>
      <c r="D55" s="104" t="s">
        <v>139</v>
      </c>
      <c r="E55" s="116">
        <f>DATEDIF($E$5,E$50,"Y")</f>
        <v>24</v>
      </c>
      <c r="F55" s="97">
        <f>VLOOKUP(E55,Rates!$B:$C,2,1)</f>
        <v>5</v>
      </c>
      <c r="G55" s="102">
        <f>HLOOKUP(H55,Rates,F55,FALSE)</f>
        <v>8.91</v>
      </c>
      <c r="H55" s="99" t="str">
        <f>HLOOKUP(E$50,Rates!$1:$2,2,1)</f>
        <v>I</v>
      </c>
      <c r="I55" s="100">
        <f>DATEDIF($E$5,I$50,"Y")</f>
        <v>24</v>
      </c>
      <c r="J55" s="97">
        <f>VLOOKUP(I55,Rates!$B:$C,2,1)</f>
        <v>5</v>
      </c>
      <c r="K55" s="102">
        <f>HLOOKUP(L55,Rates,J55,FALSE)</f>
        <v>8.91</v>
      </c>
      <c r="L55" s="99" t="str">
        <f>HLOOKUP(I$50,Rates!$1:$2,2,1)</f>
        <v>I</v>
      </c>
      <c r="M55" s="100">
        <f>DATEDIF($E$5,M$50,"Y")</f>
        <v>24</v>
      </c>
      <c r="N55" s="97">
        <f>VLOOKUP(M55,Rates!$B:$C,2,1)</f>
        <v>5</v>
      </c>
      <c r="O55" s="102">
        <f>HLOOKUP(P55,Rates,N55,FALSE)</f>
        <v>8.91</v>
      </c>
      <c r="P55" s="99" t="str">
        <f>HLOOKUP(M$50,Rates!$1:$2,2,1)</f>
        <v>I</v>
      </c>
      <c r="Q55" s="100">
        <f>DATEDIF($E$5,Q$50,"Y")</f>
        <v>24</v>
      </c>
      <c r="R55" s="97">
        <f>VLOOKUP(Q55,Rates!$B:$C,2,1)</f>
        <v>5</v>
      </c>
      <c r="S55" s="102">
        <f>HLOOKUP(T55,Rates,R55,FALSE)</f>
        <v>8.91</v>
      </c>
      <c r="T55" s="99" t="str">
        <f>HLOOKUP(Q$50,Rates!$1:$2,2,1)</f>
        <v>I</v>
      </c>
      <c r="U55" s="100">
        <f>DATEDIF($E$5,U$50,"Y")</f>
        <v>24</v>
      </c>
      <c r="V55" s="97">
        <f>VLOOKUP(U55,Rates!$B:$C,2,1)</f>
        <v>5</v>
      </c>
      <c r="W55" s="102">
        <f>HLOOKUP(X55,Rates,V55,FALSE)</f>
        <v>8.91</v>
      </c>
      <c r="X55" s="99" t="str">
        <f>HLOOKUP(U$50,Rates!$1:$2,2,1)</f>
        <v>I</v>
      </c>
      <c r="Y55" s="100">
        <f>DATEDIF($E$5,Y$50,"Y")</f>
        <v>24</v>
      </c>
      <c r="Z55" s="97">
        <f>VLOOKUP(Y55,Rates!$B:$C,2,1)</f>
        <v>5</v>
      </c>
      <c r="AA55" s="102">
        <f>HLOOKUP(AB55,Rates,Z55,FALSE)</f>
        <v>8.91</v>
      </c>
      <c r="AB55" s="99" t="str">
        <f>HLOOKUP(Y$50,Rates!$1:$2,2,1)</f>
        <v>I</v>
      </c>
      <c r="AC55" s="100">
        <f>DATEDIF($E$5,AC$50,"Y")</f>
        <v>24</v>
      </c>
      <c r="AD55" s="97">
        <f>VLOOKUP(AC55,Rates!$B:$C,2,1)</f>
        <v>5</v>
      </c>
      <c r="AE55" s="102">
        <f>HLOOKUP(AF55,Rates,AD55,FALSE)</f>
        <v>8.91</v>
      </c>
      <c r="AF55" s="99" t="str">
        <f>HLOOKUP(AC$50,Rates!$1:$2,2,1)</f>
        <v>I</v>
      </c>
      <c r="AG55" s="600"/>
      <c r="AH55" s="601"/>
      <c r="AI55" s="601"/>
      <c r="AJ55" s="602"/>
      <c r="AK55" s="664"/>
      <c r="AL55" s="5"/>
      <c r="AM55" s="27"/>
      <c r="AN55" s="45"/>
      <c r="AO55" s="40"/>
      <c r="AP55" s="695"/>
      <c r="AQ55" s="696"/>
      <c r="AR55" s="696"/>
      <c r="AS55" s="696"/>
      <c r="AT55" s="696"/>
      <c r="AU55" s="697"/>
      <c r="AV55" s="41"/>
    </row>
    <row r="56" spans="2:48" ht="12" hidden="1" customHeight="1" x14ac:dyDescent="0.2">
      <c r="B56" s="40"/>
      <c r="C56" s="10"/>
      <c r="D56" s="104" t="s">
        <v>140</v>
      </c>
      <c r="E56" s="583">
        <f>E57+(G57/60)</f>
        <v>0</v>
      </c>
      <c r="F56" s="577"/>
      <c r="G56" s="577"/>
      <c r="H56" s="578"/>
      <c r="I56" s="577">
        <f t="shared" ref="I56" si="54">I57+(K57/60)</f>
        <v>0</v>
      </c>
      <c r="J56" s="577"/>
      <c r="K56" s="577"/>
      <c r="L56" s="578"/>
      <c r="M56" s="577">
        <f t="shared" ref="M56" si="55">M57+(O57/60)</f>
        <v>0</v>
      </c>
      <c r="N56" s="577"/>
      <c r="O56" s="577"/>
      <c r="P56" s="578"/>
      <c r="Q56" s="577">
        <f t="shared" ref="Q56" si="56">Q57+(S57/60)</f>
        <v>0</v>
      </c>
      <c r="R56" s="577"/>
      <c r="S56" s="577"/>
      <c r="T56" s="578"/>
      <c r="U56" s="577">
        <f t="shared" ref="U56" si="57">U57+(W57/60)</f>
        <v>0</v>
      </c>
      <c r="V56" s="577"/>
      <c r="W56" s="577"/>
      <c r="X56" s="578"/>
      <c r="Y56" s="577">
        <f t="shared" ref="Y56" si="58">Y57+(AA57/60)</f>
        <v>0</v>
      </c>
      <c r="Z56" s="577"/>
      <c r="AA56" s="577"/>
      <c r="AB56" s="578"/>
      <c r="AC56" s="577">
        <f t="shared" ref="AC56" si="59">AC57+(AE57/60)</f>
        <v>0</v>
      </c>
      <c r="AD56" s="577"/>
      <c r="AE56" s="577"/>
      <c r="AF56" s="578"/>
      <c r="AG56" s="583">
        <f>SUM(E56:AF56)</f>
        <v>0</v>
      </c>
      <c r="AH56" s="577"/>
      <c r="AI56" s="577"/>
      <c r="AJ56" s="584"/>
      <c r="AK56" s="664"/>
      <c r="AL56" s="5"/>
      <c r="AM56" s="27"/>
      <c r="AN56" s="45"/>
      <c r="AO56" s="40"/>
      <c r="AP56" s="695"/>
      <c r="AQ56" s="696"/>
      <c r="AR56" s="696"/>
      <c r="AS56" s="696"/>
      <c r="AT56" s="696"/>
      <c r="AU56" s="697"/>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64"/>
      <c r="AL57" s="27"/>
      <c r="AM57" s="27"/>
      <c r="AN57" s="45"/>
      <c r="AO57" s="40"/>
      <c r="AP57" s="695"/>
      <c r="AQ57" s="696"/>
      <c r="AR57" s="696"/>
      <c r="AS57" s="696"/>
      <c r="AT57" s="696"/>
      <c r="AU57" s="697"/>
      <c r="AV57" s="41"/>
    </row>
    <row r="58" spans="2:48" ht="15" hidden="1" customHeight="1" x14ac:dyDescent="0.2">
      <c r="B58" s="40"/>
      <c r="C58" s="10"/>
      <c r="D58" s="91" t="s">
        <v>142</v>
      </c>
      <c r="E58" s="687">
        <f>MAX(G55,IF($V$13=$AM$13,$AF$13,HLOOKUP(H55,Rates,$AL$13,FALSE)))</f>
        <v>8.91</v>
      </c>
      <c r="F58" s="595"/>
      <c r="G58" s="595"/>
      <c r="H58" s="596"/>
      <c r="I58" s="594">
        <f>MAX(K55,IF($V$13=$AM$13,$AF$13,HLOOKUP(L55,Rates,$AL$13,FALSE)))</f>
        <v>8.91</v>
      </c>
      <c r="J58" s="595"/>
      <c r="K58" s="595"/>
      <c r="L58" s="596"/>
      <c r="M58" s="594">
        <f>MAX(O55,IF($V$13=$AM$13,$AF$13,HLOOKUP(P55,Rates,$AL$13,FALSE)))</f>
        <v>8.91</v>
      </c>
      <c r="N58" s="595"/>
      <c r="O58" s="595"/>
      <c r="P58" s="596"/>
      <c r="Q58" s="594">
        <f>MAX(S55,IF($V$13=$AM$13,$AF$13,HLOOKUP(T55,Rates,$AL$13,FALSE)))</f>
        <v>8.91</v>
      </c>
      <c r="R58" s="595"/>
      <c r="S58" s="595"/>
      <c r="T58" s="596"/>
      <c r="U58" s="594">
        <f>MAX(W55,IF($V$13=$AM$13,$AF$13,HLOOKUP(X55,Rates,$AL$13,FALSE)))</f>
        <v>8.91</v>
      </c>
      <c r="V58" s="595"/>
      <c r="W58" s="595"/>
      <c r="X58" s="596"/>
      <c r="Y58" s="594">
        <f>MAX(AA55,IF($V$13=$AM$13,$AF$13,HLOOKUP(AB55,Rates,$AL$13,FALSE)))</f>
        <v>8.91</v>
      </c>
      <c r="Z58" s="595"/>
      <c r="AA58" s="595"/>
      <c r="AB58" s="596"/>
      <c r="AC58" s="594">
        <f>MAX(AE55,IF($V$13=$AM$13,$AF$13,HLOOKUP(AF55,Rates,$AL$13,FALSE)))</f>
        <v>8.91</v>
      </c>
      <c r="AD58" s="595"/>
      <c r="AE58" s="595"/>
      <c r="AF58" s="597"/>
      <c r="AG58" s="668">
        <f>SUMPRODUCT(E58:AF58,E56:AF56)</f>
        <v>0</v>
      </c>
      <c r="AH58" s="669"/>
      <c r="AI58" s="669"/>
      <c r="AJ58" s="670"/>
      <c r="AK58" s="664"/>
      <c r="AL58" s="35">
        <f>AG58*IF($V$13="Demonstrator Rate",0.1711,0.1207)</f>
        <v>0</v>
      </c>
      <c r="AM58" s="27"/>
      <c r="AN58" s="45"/>
      <c r="AO58" s="40"/>
      <c r="AP58" s="695"/>
      <c r="AQ58" s="696"/>
      <c r="AR58" s="696"/>
      <c r="AS58" s="696"/>
      <c r="AT58" s="696"/>
      <c r="AU58" s="697"/>
      <c r="AV58" s="41"/>
    </row>
    <row r="59" spans="2:48" ht="12" hidden="1" customHeight="1" x14ac:dyDescent="0.2">
      <c r="B59" s="40"/>
      <c r="C59" s="10"/>
      <c r="D59" s="125" t="s">
        <v>143</v>
      </c>
      <c r="E59" s="126">
        <f>DATEDIF($E$5,E$50,"Y")</f>
        <v>24</v>
      </c>
      <c r="F59" s="97">
        <f>VLOOKUP(E59,Rates!$B:$C,2,1)</f>
        <v>5</v>
      </c>
      <c r="G59" s="127">
        <f>HLOOKUP(H59,Rates,F59,FALSE)</f>
        <v>8.91</v>
      </c>
      <c r="H59" s="99" t="str">
        <f>HLOOKUP(E$50,Rates!$1:$2,2,1)</f>
        <v>I</v>
      </c>
      <c r="I59" s="128">
        <f>DATEDIF($E$5,I$50,"Y")</f>
        <v>24</v>
      </c>
      <c r="J59" s="97">
        <f>VLOOKUP(I59,Rates!$B:$C,2,1)</f>
        <v>5</v>
      </c>
      <c r="K59" s="127">
        <f>HLOOKUP(L59,Rates,J59,FALSE)</f>
        <v>8.91</v>
      </c>
      <c r="L59" s="99" t="str">
        <f>HLOOKUP(I$50,Rates!$1:$2,2,1)</f>
        <v>I</v>
      </c>
      <c r="M59" s="128">
        <f>DATEDIF($E$5,M$50,"Y")</f>
        <v>24</v>
      </c>
      <c r="N59" s="97">
        <f>VLOOKUP(M59,Rates!$B:$C,2,1)</f>
        <v>5</v>
      </c>
      <c r="O59" s="127">
        <f>HLOOKUP(P59,Rates,N59,FALSE)</f>
        <v>8.91</v>
      </c>
      <c r="P59" s="99" t="str">
        <f>HLOOKUP(M$50,Rates!$1:$2,2,1)</f>
        <v>I</v>
      </c>
      <c r="Q59" s="128">
        <f>DATEDIF($E$5,Q$50,"Y")</f>
        <v>24</v>
      </c>
      <c r="R59" s="97">
        <f>VLOOKUP(Q59,Rates!$B:$C,2,1)</f>
        <v>5</v>
      </c>
      <c r="S59" s="127">
        <f>HLOOKUP(T59,Rates,R59,FALSE)</f>
        <v>8.91</v>
      </c>
      <c r="T59" s="99" t="str">
        <f>HLOOKUP(Q$50,Rates!$1:$2,2,1)</f>
        <v>I</v>
      </c>
      <c r="U59" s="128">
        <f>DATEDIF($E$5,U$50,"Y")</f>
        <v>24</v>
      </c>
      <c r="V59" s="97">
        <f>VLOOKUP(U59,Rates!$B:$C,2,1)</f>
        <v>5</v>
      </c>
      <c r="W59" s="127">
        <f>HLOOKUP(X59,Rates,V59,FALSE)</f>
        <v>8.91</v>
      </c>
      <c r="X59" s="99" t="str">
        <f>HLOOKUP(U$50,Rates!$1:$2,2,1)</f>
        <v>I</v>
      </c>
      <c r="Y59" s="128">
        <f>DATEDIF($E$5,Y$50,"Y")</f>
        <v>24</v>
      </c>
      <c r="Z59" s="97">
        <f>VLOOKUP(Y59,Rates!$B:$C,2,1)</f>
        <v>5</v>
      </c>
      <c r="AA59" s="127">
        <f>HLOOKUP(AB59,Rates,Z59,FALSE)</f>
        <v>8.91</v>
      </c>
      <c r="AB59" s="99" t="str">
        <f>HLOOKUP(Y$50,Rates!$1:$2,2,1)</f>
        <v>I</v>
      </c>
      <c r="AC59" s="128">
        <f>DATEDIF($E$5,AC$50,"Y")</f>
        <v>24</v>
      </c>
      <c r="AD59" s="97">
        <f>VLOOKUP(AC59,Rates!$B:$C,2,1)</f>
        <v>5</v>
      </c>
      <c r="AE59" s="127">
        <f>HLOOKUP(AF59,Rates,AD59,FALSE)</f>
        <v>8.91</v>
      </c>
      <c r="AF59" s="99" t="str">
        <f>HLOOKUP(AC$50,Rates!$1:$2,2,1)</f>
        <v>I</v>
      </c>
      <c r="AG59" s="600"/>
      <c r="AH59" s="601"/>
      <c r="AI59" s="601"/>
      <c r="AJ59" s="602"/>
      <c r="AK59" s="664"/>
      <c r="AL59" s="5"/>
      <c r="AM59" s="27"/>
      <c r="AN59" s="45"/>
      <c r="AO59" s="40"/>
      <c r="AP59" s="695"/>
      <c r="AQ59" s="696"/>
      <c r="AR59" s="696"/>
      <c r="AS59" s="696"/>
      <c r="AT59" s="696"/>
      <c r="AU59" s="697"/>
      <c r="AV59" s="41"/>
    </row>
    <row r="60" spans="2:48" ht="12" hidden="1" customHeight="1" x14ac:dyDescent="0.2">
      <c r="B60" s="40"/>
      <c r="C60" s="10"/>
      <c r="D60" s="104" t="s">
        <v>144</v>
      </c>
      <c r="E60" s="583">
        <f>E61+(G61/60)</f>
        <v>0</v>
      </c>
      <c r="F60" s="577"/>
      <c r="G60" s="577"/>
      <c r="H60" s="578"/>
      <c r="I60" s="577">
        <f t="shared" ref="I60" si="60">I61+(K61/60)</f>
        <v>0</v>
      </c>
      <c r="J60" s="577"/>
      <c r="K60" s="577"/>
      <c r="L60" s="578"/>
      <c r="M60" s="577">
        <f t="shared" ref="M60" si="61">M61+(O61/60)</f>
        <v>0</v>
      </c>
      <c r="N60" s="577"/>
      <c r="O60" s="577"/>
      <c r="P60" s="578"/>
      <c r="Q60" s="577">
        <f t="shared" ref="Q60" si="62">Q61+(S61/60)</f>
        <v>0</v>
      </c>
      <c r="R60" s="577"/>
      <c r="S60" s="577"/>
      <c r="T60" s="578"/>
      <c r="U60" s="577">
        <f t="shared" ref="U60" si="63">U61+(W61/60)</f>
        <v>0</v>
      </c>
      <c r="V60" s="577"/>
      <c r="W60" s="577"/>
      <c r="X60" s="578"/>
      <c r="Y60" s="577">
        <f t="shared" ref="Y60" si="64">Y61+(AA61/60)</f>
        <v>0</v>
      </c>
      <c r="Z60" s="577"/>
      <c r="AA60" s="577"/>
      <c r="AB60" s="578"/>
      <c r="AC60" s="577">
        <f t="shared" ref="AC60" si="65">AC61+(AE61/60)</f>
        <v>0</v>
      </c>
      <c r="AD60" s="577"/>
      <c r="AE60" s="577"/>
      <c r="AF60" s="578"/>
      <c r="AG60" s="583">
        <f>SUM(E60:AF60)</f>
        <v>0</v>
      </c>
      <c r="AH60" s="577"/>
      <c r="AI60" s="577"/>
      <c r="AJ60" s="584"/>
      <c r="AK60" s="664"/>
      <c r="AL60" s="5"/>
      <c r="AM60" s="27"/>
      <c r="AN60" s="45"/>
      <c r="AO60" s="40"/>
      <c r="AP60" s="695"/>
      <c r="AQ60" s="696"/>
      <c r="AR60" s="696"/>
      <c r="AS60" s="696"/>
      <c r="AT60" s="696"/>
      <c r="AU60" s="697"/>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64"/>
      <c r="AL61" s="27"/>
      <c r="AM61" s="27"/>
      <c r="AN61" s="45"/>
      <c r="AO61" s="40"/>
      <c r="AP61" s="695"/>
      <c r="AQ61" s="696"/>
      <c r="AR61" s="696"/>
      <c r="AS61" s="696"/>
      <c r="AT61" s="696"/>
      <c r="AU61" s="697"/>
      <c r="AV61" s="41"/>
    </row>
    <row r="62" spans="2:48" ht="15" hidden="1" customHeight="1" x14ac:dyDescent="0.2">
      <c r="B62" s="40"/>
      <c r="C62" s="10"/>
      <c r="D62" s="124" t="s">
        <v>146</v>
      </c>
      <c r="E62" s="633">
        <f>MAX(G59,IF($V$15=$AM$15,$AF$15,HLOOKUP(H59,Rates,$AL$15,FALSE)))</f>
        <v>8.91</v>
      </c>
      <c r="F62" s="586"/>
      <c r="G62" s="586"/>
      <c r="H62" s="587"/>
      <c r="I62" s="585">
        <f>MAX(K59,IF($V$15=$AM$15,$AF$15,HLOOKUP(L59,Rates,$AL$15,FALSE)))</f>
        <v>8.91</v>
      </c>
      <c r="J62" s="586"/>
      <c r="K62" s="586"/>
      <c r="L62" s="587"/>
      <c r="M62" s="585">
        <f>MAX(O59,IF($V$15=$AM$15,$AF$15,HLOOKUP(P59,Rates,$AL$15,FALSE)))</f>
        <v>8.91</v>
      </c>
      <c r="N62" s="586"/>
      <c r="O62" s="586"/>
      <c r="P62" s="587"/>
      <c r="Q62" s="585">
        <f>MAX(S59,IF($V$15=$AM$15,$AF$15,HLOOKUP(T59,Rates,$AL$15,FALSE)))</f>
        <v>8.91</v>
      </c>
      <c r="R62" s="586"/>
      <c r="S62" s="586"/>
      <c r="T62" s="587"/>
      <c r="U62" s="585">
        <f>MAX(W59,IF($V$15=$AM$15,$AF$15,HLOOKUP(X59,Rates,$AL$15,FALSE)))</f>
        <v>8.91</v>
      </c>
      <c r="V62" s="586"/>
      <c r="W62" s="586"/>
      <c r="X62" s="587"/>
      <c r="Y62" s="585">
        <f>MAX(AA59,IF($V$15=$AM$15,$AF$15,HLOOKUP(AB59,Rates,$AL$15,FALSE)))</f>
        <v>8.91</v>
      </c>
      <c r="Z62" s="586"/>
      <c r="AA62" s="586"/>
      <c r="AB62" s="587"/>
      <c r="AC62" s="585">
        <f>MAX(AE59,IF($V$15=$AM$15,$AF$15,HLOOKUP(AF59,Rates,$AL$15,FALSE)))</f>
        <v>8.91</v>
      </c>
      <c r="AD62" s="586"/>
      <c r="AE62" s="586"/>
      <c r="AF62" s="610"/>
      <c r="AG62" s="668">
        <f>SUMPRODUCT(E62:AF62,E60:AF60)</f>
        <v>0</v>
      </c>
      <c r="AH62" s="669"/>
      <c r="AI62" s="669"/>
      <c r="AJ62" s="670"/>
      <c r="AK62" s="664"/>
      <c r="AL62" s="35">
        <f>AG62*IF($V$15="Demonstrator Rate",0.1711,0.1207)</f>
        <v>0</v>
      </c>
      <c r="AM62" s="27"/>
      <c r="AN62" s="45"/>
      <c r="AO62" s="40"/>
      <c r="AP62" s="695"/>
      <c r="AQ62" s="696"/>
      <c r="AR62" s="696"/>
      <c r="AS62" s="696"/>
      <c r="AT62" s="696"/>
      <c r="AU62" s="697"/>
      <c r="AV62" s="41"/>
    </row>
    <row r="63" spans="2:48" ht="12" hidden="1" customHeight="1" x14ac:dyDescent="0.2">
      <c r="B63" s="40"/>
      <c r="C63" s="10"/>
      <c r="D63" s="193" t="s">
        <v>147</v>
      </c>
      <c r="E63" s="654">
        <f>((E53+(G53/60))*E54)+((E57+(G57/60))*E58)+((E61+(G61/60))*E62)</f>
        <v>13.6</v>
      </c>
      <c r="F63" s="616"/>
      <c r="G63" s="616"/>
      <c r="H63" s="617"/>
      <c r="I63" s="615">
        <f>((I53+(K53/60))*I54)+((I57+(K57/60))*I58)+((I61+(K61/60))*I62)</f>
        <v>13.6</v>
      </c>
      <c r="J63" s="616"/>
      <c r="K63" s="616"/>
      <c r="L63" s="617"/>
      <c r="M63" s="615">
        <f>((M53+(O53/60))*M54)+((M57+(O57/60))*M58)+((M61+(O61/60))*M62)</f>
        <v>13.6</v>
      </c>
      <c r="N63" s="616"/>
      <c r="O63" s="616"/>
      <c r="P63" s="617"/>
      <c r="Q63" s="615">
        <f>((Q53+(S53/60))*Q54)+((Q57+(S57/60))*Q58)+((Q61+(S61/60))*Q62)</f>
        <v>0</v>
      </c>
      <c r="R63" s="616"/>
      <c r="S63" s="616"/>
      <c r="T63" s="617"/>
      <c r="U63" s="615">
        <f>((U53+(W53/60))*U54)+((U57+(W57/60))*U58)+((U61+(W61/60))*U62)</f>
        <v>0</v>
      </c>
      <c r="V63" s="616"/>
      <c r="W63" s="616"/>
      <c r="X63" s="617"/>
      <c r="Y63" s="615">
        <f>((Y53+(AA53/60))*Y54)+((Y57+(AA57/60))*Y58)+((Y61+(AA61/60))*Y62)</f>
        <v>0</v>
      </c>
      <c r="Z63" s="616"/>
      <c r="AA63" s="616"/>
      <c r="AB63" s="617"/>
      <c r="AC63" s="615">
        <f>((AC53+(AE53/60))*AC54)+((AC57+(AE57/60))*AC58)+((AC61+(AE61/60))*AC62)</f>
        <v>0</v>
      </c>
      <c r="AD63" s="616"/>
      <c r="AE63" s="616"/>
      <c r="AF63" s="618"/>
      <c r="AG63" s="604">
        <f>AG62+AG58+AG54</f>
        <v>40.799999999999997</v>
      </c>
      <c r="AH63" s="605"/>
      <c r="AI63" s="605"/>
      <c r="AJ63" s="606"/>
      <c r="AK63" s="664"/>
      <c r="AL63" s="28">
        <f>AG52+AG56+AG60+AG64</f>
        <v>3</v>
      </c>
      <c r="AM63" s="27" t="str">
        <f>IF(AND(AL63&gt;0,AE7="Yes",OR(E65="",G65="",I65="",K65="",M65="",O65="",Q65="",S65="",U65="",W65="",Y65="",AA65="",AC65="",AE65="")),"FALSE","TRUE")</f>
        <v>TRUE</v>
      </c>
      <c r="AN63" s="45"/>
      <c r="AO63" s="40"/>
      <c r="AP63" s="695"/>
      <c r="AQ63" s="696"/>
      <c r="AR63" s="696"/>
      <c r="AS63" s="696"/>
      <c r="AT63" s="696"/>
      <c r="AU63" s="697"/>
      <c r="AV63" s="41"/>
    </row>
    <row r="64" spans="2:48" ht="12" hidden="1" customHeight="1" x14ac:dyDescent="0.2">
      <c r="B64" s="40"/>
      <c r="C64" s="10"/>
      <c r="D64" s="104" t="s">
        <v>148</v>
      </c>
      <c r="E64" s="581">
        <f>E65+(G65/60)</f>
        <v>0</v>
      </c>
      <c r="F64" s="579"/>
      <c r="G64" s="579"/>
      <c r="H64" s="580"/>
      <c r="I64" s="579">
        <f t="shared" ref="I64" si="66">I65+(K65/60)</f>
        <v>0</v>
      </c>
      <c r="J64" s="579"/>
      <c r="K64" s="579"/>
      <c r="L64" s="580"/>
      <c r="M64" s="579">
        <f t="shared" ref="M64" si="67">M65+(O65/60)</f>
        <v>0</v>
      </c>
      <c r="N64" s="579"/>
      <c r="O64" s="579"/>
      <c r="P64" s="580"/>
      <c r="Q64" s="579">
        <f t="shared" ref="Q64" si="68">Q65+(S65/60)</f>
        <v>0</v>
      </c>
      <c r="R64" s="579"/>
      <c r="S64" s="579"/>
      <c r="T64" s="580"/>
      <c r="U64" s="579">
        <f t="shared" ref="U64" si="69">U65+(W65/60)</f>
        <v>0</v>
      </c>
      <c r="V64" s="579"/>
      <c r="W64" s="579"/>
      <c r="X64" s="580"/>
      <c r="Y64" s="579">
        <f t="shared" ref="Y64" si="70">Y65+(AA65/60)</f>
        <v>0</v>
      </c>
      <c r="Z64" s="579"/>
      <c r="AA64" s="579"/>
      <c r="AB64" s="580"/>
      <c r="AC64" s="579">
        <f t="shared" ref="AC64" si="71">AC65+(AE65/60)</f>
        <v>0</v>
      </c>
      <c r="AD64" s="579"/>
      <c r="AE64" s="579"/>
      <c r="AF64" s="580"/>
      <c r="AG64" s="581">
        <f>SUM(E64:AF64)</f>
        <v>0</v>
      </c>
      <c r="AH64" s="579"/>
      <c r="AI64" s="579"/>
      <c r="AJ64" s="582"/>
      <c r="AK64" s="664"/>
      <c r="AL64" s="28"/>
      <c r="AM64" s="27"/>
      <c r="AN64" s="45"/>
      <c r="AO64" s="40"/>
      <c r="AP64" s="695"/>
      <c r="AQ64" s="696"/>
      <c r="AR64" s="696"/>
      <c r="AS64" s="696"/>
      <c r="AT64" s="696"/>
      <c r="AU64" s="697"/>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64"/>
      <c r="AL65" s="27"/>
      <c r="AM65" s="27"/>
      <c r="AN65" s="45"/>
      <c r="AO65" s="40"/>
      <c r="AP65" s="695"/>
      <c r="AQ65" s="696"/>
      <c r="AR65" s="696"/>
      <c r="AS65" s="696"/>
      <c r="AT65" s="696"/>
      <c r="AU65" s="697"/>
      <c r="AV65" s="41"/>
    </row>
    <row r="66" spans="2:48" ht="13.5" customHeight="1" x14ac:dyDescent="0.2">
      <c r="B66" s="40"/>
      <c r="C66" s="10">
        <f>C50+7</f>
        <v>44613</v>
      </c>
      <c r="D66" s="152" t="s">
        <v>133</v>
      </c>
      <c r="E66" s="634">
        <f>IF(ISNA(C66),"",C66)</f>
        <v>44613</v>
      </c>
      <c r="F66" s="635"/>
      <c r="G66" s="635"/>
      <c r="H66" s="636"/>
      <c r="I66" s="701">
        <f>IF(ISNA(C66),"",E66+1)</f>
        <v>44614</v>
      </c>
      <c r="J66" s="635"/>
      <c r="K66" s="635"/>
      <c r="L66" s="636"/>
      <c r="M66" s="701">
        <f>IF(ISNA(C66),"",I66+1)</f>
        <v>44615</v>
      </c>
      <c r="N66" s="635"/>
      <c r="O66" s="635"/>
      <c r="P66" s="636"/>
      <c r="Q66" s="701">
        <f>IF(ISNA(C66),"",M66+1)</f>
        <v>44616</v>
      </c>
      <c r="R66" s="635"/>
      <c r="S66" s="635"/>
      <c r="T66" s="636"/>
      <c r="U66" s="701">
        <f>IF(ISNA(C66),"",Q66+1)</f>
        <v>44617</v>
      </c>
      <c r="V66" s="635"/>
      <c r="W66" s="635"/>
      <c r="X66" s="636"/>
      <c r="Y66" s="701">
        <f>IF(ISNA(C66),"",U66+1)</f>
        <v>44618</v>
      </c>
      <c r="Z66" s="635"/>
      <c r="AA66" s="635"/>
      <c r="AB66" s="636"/>
      <c r="AC66" s="701">
        <f>IF(ISNA(C66),"",Y66+1)</f>
        <v>44619</v>
      </c>
      <c r="AD66" s="635"/>
      <c r="AE66" s="635"/>
      <c r="AF66" s="702"/>
      <c r="AG66" s="689" t="str">
        <f>IF(AE7="Yes",VLOOKUP(C66,TermTime,2,FALSE),"Week Total")</f>
        <v>Week Total</v>
      </c>
      <c r="AH66" s="690"/>
      <c r="AI66" s="690"/>
      <c r="AJ66" s="691"/>
      <c r="AK66" s="664" t="str">
        <f>IF(OR(AL79&gt;36,AM79="FALSE",AND(AL79&gt;20,AE7="Yes")),"WARNING","")</f>
        <v/>
      </c>
      <c r="AL66" s="27"/>
      <c r="AM66" s="27"/>
      <c r="AN66" s="45"/>
      <c r="AO66" s="40"/>
      <c r="AP66" s="695"/>
      <c r="AQ66" s="696"/>
      <c r="AR66" s="696"/>
      <c r="AS66" s="696"/>
      <c r="AT66" s="696"/>
      <c r="AU66" s="697"/>
      <c r="AV66" s="41"/>
    </row>
    <row r="67" spans="2:48" ht="13.5" hidden="1" customHeight="1" x14ac:dyDescent="0.2">
      <c r="B67" s="40"/>
      <c r="C67" s="10"/>
      <c r="D67" s="104" t="s">
        <v>135</v>
      </c>
      <c r="E67" s="116">
        <f>DATEDIF($E$5,E$66,"Y")</f>
        <v>24</v>
      </c>
      <c r="F67" s="97">
        <f>VLOOKUP(E67,Rates!$B:$C,2,1)</f>
        <v>5</v>
      </c>
      <c r="G67" s="102">
        <f>HLOOKUP(H67,Rates,F67,FALSE)</f>
        <v>8.91</v>
      </c>
      <c r="H67" s="99" t="str">
        <f>HLOOKUP(E$66,Rates!$1:$2,2,1)</f>
        <v>I</v>
      </c>
      <c r="I67" s="100">
        <f>DATEDIF($E$5,I$66,"Y")</f>
        <v>24</v>
      </c>
      <c r="J67" s="97">
        <f>VLOOKUP(I67,Rates!$B:$C,2,1)</f>
        <v>5</v>
      </c>
      <c r="K67" s="102">
        <f>HLOOKUP(L67,Rates,J67,FALSE)</f>
        <v>8.91</v>
      </c>
      <c r="L67" s="99" t="str">
        <f>HLOOKUP(I$66,Rates!$1:$2,2,1)</f>
        <v>I</v>
      </c>
      <c r="M67" s="100">
        <f>DATEDIF($E$5,M$66,"Y")</f>
        <v>24</v>
      </c>
      <c r="N67" s="97">
        <f>VLOOKUP(M67,Rates!$B:$C,2,1)</f>
        <v>5</v>
      </c>
      <c r="O67" s="102">
        <f>HLOOKUP(P67,Rates,N67,FALSE)</f>
        <v>8.91</v>
      </c>
      <c r="P67" s="99" t="str">
        <f>HLOOKUP(M$66,Rates!$1:$2,2,1)</f>
        <v>I</v>
      </c>
      <c r="Q67" s="100">
        <f>DATEDIF($E$5,Q$66,"Y")</f>
        <v>24</v>
      </c>
      <c r="R67" s="97">
        <f>VLOOKUP(Q67,Rates!$B:$C,2,1)</f>
        <v>5</v>
      </c>
      <c r="S67" s="102">
        <f>HLOOKUP(T67,Rates,R67,FALSE)</f>
        <v>8.91</v>
      </c>
      <c r="T67" s="99" t="str">
        <f>HLOOKUP(Q$66,Rates!$1:$2,2,1)</f>
        <v>I</v>
      </c>
      <c r="U67" s="100">
        <f>DATEDIF($E$5,U$66,"Y")</f>
        <v>24</v>
      </c>
      <c r="V67" s="97">
        <f>VLOOKUP(U67,Rates!$B:$C,2,1)</f>
        <v>5</v>
      </c>
      <c r="W67" s="102">
        <f>HLOOKUP(X67,Rates,V67,FALSE)</f>
        <v>8.91</v>
      </c>
      <c r="X67" s="99" t="str">
        <f>HLOOKUP(U$66,Rates!$1:$2,2,1)</f>
        <v>I</v>
      </c>
      <c r="Y67" s="100">
        <f>DATEDIF($E$5,Y$66,"Y")</f>
        <v>24</v>
      </c>
      <c r="Z67" s="97">
        <f>VLOOKUP(Y67,Rates!$B:$C,2,1)</f>
        <v>5</v>
      </c>
      <c r="AA67" s="102">
        <f>HLOOKUP(AB67,Rates,Z67,FALSE)</f>
        <v>8.91</v>
      </c>
      <c r="AB67" s="103" t="str">
        <f>HLOOKUP(U$66,Rates!$1:$2,2,1)</f>
        <v>I</v>
      </c>
      <c r="AC67" s="100">
        <f>DATEDIF($E$5,AC$66,"Y")</f>
        <v>24</v>
      </c>
      <c r="AD67" s="97">
        <f>VLOOKUP(AC67,Rates!$B:$C,2,1)</f>
        <v>5</v>
      </c>
      <c r="AE67" s="102">
        <f>HLOOKUP(AF67,Rates,AD67,FALSE)</f>
        <v>8.91</v>
      </c>
      <c r="AF67" s="99" t="str">
        <f>HLOOKUP(AC$66,Rates!$1:$2,2,1)</f>
        <v>I</v>
      </c>
      <c r="AG67" s="600"/>
      <c r="AH67" s="601"/>
      <c r="AI67" s="601"/>
      <c r="AJ67" s="602"/>
      <c r="AK67" s="664"/>
      <c r="AL67" s="27"/>
      <c r="AM67" s="27"/>
      <c r="AN67" s="45"/>
      <c r="AO67" s="40"/>
      <c r="AP67" s="695"/>
      <c r="AQ67" s="696"/>
      <c r="AR67" s="696"/>
      <c r="AS67" s="696"/>
      <c r="AT67" s="696"/>
      <c r="AU67" s="697"/>
      <c r="AV67" s="41"/>
    </row>
    <row r="68" spans="2:48" ht="13.5" hidden="1" customHeight="1" x14ac:dyDescent="0.2">
      <c r="B68" s="40"/>
      <c r="C68" s="10"/>
      <c r="D68" s="104" t="s">
        <v>136</v>
      </c>
      <c r="E68" s="583">
        <f>E69+(G69/60)</f>
        <v>1</v>
      </c>
      <c r="F68" s="577"/>
      <c r="G68" s="577"/>
      <c r="H68" s="578"/>
      <c r="I68" s="577">
        <f t="shared" ref="I68" si="72">I69+(K69/60)</f>
        <v>0</v>
      </c>
      <c r="J68" s="577"/>
      <c r="K68" s="577"/>
      <c r="L68" s="578"/>
      <c r="M68" s="577">
        <f t="shared" ref="M68" si="73">M69+(O69/60)</f>
        <v>1</v>
      </c>
      <c r="N68" s="577"/>
      <c r="O68" s="577"/>
      <c r="P68" s="578"/>
      <c r="Q68" s="577">
        <f t="shared" ref="Q68" si="74">Q69+(S69/60)</f>
        <v>0</v>
      </c>
      <c r="R68" s="577"/>
      <c r="S68" s="577"/>
      <c r="T68" s="578"/>
      <c r="U68" s="577">
        <f t="shared" ref="U68" si="75">U69+(W69/60)</f>
        <v>0</v>
      </c>
      <c r="V68" s="577"/>
      <c r="W68" s="577"/>
      <c r="X68" s="578"/>
      <c r="Y68" s="577">
        <f t="shared" ref="Y68" si="76">Y69+(AA69/60)</f>
        <v>0</v>
      </c>
      <c r="Z68" s="577"/>
      <c r="AA68" s="577"/>
      <c r="AB68" s="578"/>
      <c r="AC68" s="577">
        <f t="shared" ref="AC68" si="77">AC69+(AE69/60)</f>
        <v>0</v>
      </c>
      <c r="AD68" s="577"/>
      <c r="AE68" s="577"/>
      <c r="AF68" s="578"/>
      <c r="AG68" s="583">
        <f>SUM(E68:AF68)</f>
        <v>2</v>
      </c>
      <c r="AH68" s="577"/>
      <c r="AI68" s="577"/>
      <c r="AJ68" s="584"/>
      <c r="AK68" s="664"/>
      <c r="AL68" s="27"/>
      <c r="AM68" s="27"/>
      <c r="AN68" s="45"/>
      <c r="AO68" s="40"/>
      <c r="AP68" s="695"/>
      <c r="AQ68" s="696"/>
      <c r="AR68" s="696"/>
      <c r="AS68" s="696"/>
      <c r="AT68" s="696"/>
      <c r="AU68" s="697"/>
      <c r="AV68" s="41"/>
    </row>
    <row r="69" spans="2:48" x14ac:dyDescent="0.2">
      <c r="B69" s="40"/>
      <c r="C69" s="10"/>
      <c r="D69" s="91" t="s">
        <v>137</v>
      </c>
      <c r="E69" s="81">
        <v>1</v>
      </c>
      <c r="F69" s="77" t="s">
        <v>80</v>
      </c>
      <c r="G69" s="76"/>
      <c r="H69" s="95" t="s">
        <v>81</v>
      </c>
      <c r="I69" s="93"/>
      <c r="J69" s="77" t="s">
        <v>80</v>
      </c>
      <c r="K69" s="76"/>
      <c r="L69" s="95" t="s">
        <v>81</v>
      </c>
      <c r="M69" s="93">
        <v>1</v>
      </c>
      <c r="N69" s="77" t="s">
        <v>80</v>
      </c>
      <c r="O69" s="76"/>
      <c r="P69" s="95" t="s">
        <v>81</v>
      </c>
      <c r="Q69" s="93"/>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2</v>
      </c>
      <c r="AH69" s="79" t="s">
        <v>80</v>
      </c>
      <c r="AI69" s="78">
        <f>(AG68-AG69)*60</f>
        <v>0</v>
      </c>
      <c r="AJ69" s="82" t="s">
        <v>81</v>
      </c>
      <c r="AK69" s="664"/>
      <c r="AL69" s="27"/>
      <c r="AM69" s="27"/>
      <c r="AN69" s="45"/>
      <c r="AO69" s="40"/>
      <c r="AP69" s="695"/>
      <c r="AQ69" s="696"/>
      <c r="AR69" s="696"/>
      <c r="AS69" s="696"/>
      <c r="AT69" s="696"/>
      <c r="AU69" s="697"/>
      <c r="AV69" s="41"/>
    </row>
    <row r="70" spans="2:48" ht="17.25" customHeight="1" x14ac:dyDescent="0.2">
      <c r="B70" s="40"/>
      <c r="C70" s="10"/>
      <c r="D70" s="124" t="s">
        <v>138</v>
      </c>
      <c r="E70" s="633">
        <f>MAX(G67,IF($V$11=$AM$11,$AF$11,HLOOKUP(H67,Rates,$AL$11,FALSE)))</f>
        <v>13.6</v>
      </c>
      <c r="F70" s="586"/>
      <c r="G70" s="586"/>
      <c r="H70" s="587"/>
      <c r="I70" s="585">
        <f>MAX(K67,IF($V$11=$AM$11,$AF$11,HLOOKUP(L67,Rates,$AL$11,FALSE)))</f>
        <v>13.6</v>
      </c>
      <c r="J70" s="586"/>
      <c r="K70" s="586"/>
      <c r="L70" s="587"/>
      <c r="M70" s="585">
        <f>MAX(O67,IF($V$11=$AM$11,$AF$11,HLOOKUP(P67,Rates,$AL$11,FALSE)))</f>
        <v>13.6</v>
      </c>
      <c r="N70" s="586"/>
      <c r="O70" s="586"/>
      <c r="P70" s="587"/>
      <c r="Q70" s="585">
        <f>MAX(S67,IF($V$11=$AM$11,$AF$11,HLOOKUP(T67,Rates,$AL$11,FALSE)))</f>
        <v>13.6</v>
      </c>
      <c r="R70" s="586"/>
      <c r="S70" s="586"/>
      <c r="T70" s="587"/>
      <c r="U70" s="585">
        <f>MAX(W67,IF($V$11=$AM$11,$AF$11,HLOOKUP(X67,Rates,$AL$11,FALSE)))</f>
        <v>13.6</v>
      </c>
      <c r="V70" s="586"/>
      <c r="W70" s="586"/>
      <c r="X70" s="587"/>
      <c r="Y70" s="585">
        <f>MAX(AA67,IF($V$11=$AM$11,$AF$11,HLOOKUP(AB67,Rates,$AL$11,FALSE)))</f>
        <v>13.6</v>
      </c>
      <c r="Z70" s="586"/>
      <c r="AA70" s="586"/>
      <c r="AB70" s="587"/>
      <c r="AC70" s="585">
        <f>MAX(AE67,IF($V$11=$AM$11,$AF$11,HLOOKUP(AF67,Rates,$AL$11,FALSE)))</f>
        <v>13.6</v>
      </c>
      <c r="AD70" s="586"/>
      <c r="AE70" s="586"/>
      <c r="AF70" s="610"/>
      <c r="AG70" s="668">
        <f>SUMPRODUCT(E70:AF70,E68:AF68)</f>
        <v>27.2</v>
      </c>
      <c r="AH70" s="669"/>
      <c r="AI70" s="669"/>
      <c r="AJ70" s="670"/>
      <c r="AK70" s="664"/>
      <c r="AL70" s="35">
        <f>AG70*IF($V$11="Demonstrator Rate",0.1711,0.1207)</f>
        <v>4.6539200000000003</v>
      </c>
      <c r="AM70" s="27"/>
      <c r="AN70" s="45"/>
      <c r="AO70" s="40"/>
      <c r="AP70" s="695"/>
      <c r="AQ70" s="696"/>
      <c r="AR70" s="696"/>
      <c r="AS70" s="696"/>
      <c r="AT70" s="696"/>
      <c r="AU70" s="697"/>
      <c r="AV70" s="41"/>
    </row>
    <row r="71" spans="2:48" ht="17.25" hidden="1" customHeight="1" x14ac:dyDescent="0.2">
      <c r="B71" s="40"/>
      <c r="C71" s="10"/>
      <c r="D71" s="104" t="s">
        <v>139</v>
      </c>
      <c r="E71" s="116">
        <f>DATEDIF($E$5,E$66,"Y")</f>
        <v>24</v>
      </c>
      <c r="F71" s="97">
        <f>VLOOKUP(E71,Rates!$B:$C,2,1)</f>
        <v>5</v>
      </c>
      <c r="G71" s="102">
        <f>HLOOKUP(H71,Rates,F71,FALSE)</f>
        <v>8.91</v>
      </c>
      <c r="H71" s="99" t="str">
        <f>HLOOKUP(E$66,Rates!$1:$2,2,1)</f>
        <v>I</v>
      </c>
      <c r="I71" s="100">
        <f>DATEDIF($E$5,I$66,"Y")</f>
        <v>24</v>
      </c>
      <c r="J71" s="97">
        <f>VLOOKUP(I71,Rates!$B:$C,2,1)</f>
        <v>5</v>
      </c>
      <c r="K71" s="102">
        <f>HLOOKUP(L71,Rates,J71,FALSE)</f>
        <v>8.91</v>
      </c>
      <c r="L71" s="99" t="str">
        <f>HLOOKUP(I$66,Rates!$1:$2,2,1)</f>
        <v>I</v>
      </c>
      <c r="M71" s="100">
        <f>DATEDIF($E$5,M$66,"Y")</f>
        <v>24</v>
      </c>
      <c r="N71" s="97">
        <f>VLOOKUP(M71,Rates!$B:$C,2,1)</f>
        <v>5</v>
      </c>
      <c r="O71" s="102">
        <f>HLOOKUP(P71,Rates,N71,FALSE)</f>
        <v>8.91</v>
      </c>
      <c r="P71" s="99" t="str">
        <f>HLOOKUP(M$66,Rates!$1:$2,2,1)</f>
        <v>I</v>
      </c>
      <c r="Q71" s="100">
        <f>DATEDIF($E$5,Q$66,"Y")</f>
        <v>24</v>
      </c>
      <c r="R71" s="97">
        <f>VLOOKUP(Q71,Rates!$B:$C,2,1)</f>
        <v>5</v>
      </c>
      <c r="S71" s="102">
        <f>HLOOKUP(T71,Rates,R71,FALSE)</f>
        <v>8.91</v>
      </c>
      <c r="T71" s="99" t="str">
        <f>HLOOKUP(Q$66,Rates!$1:$2,2,1)</f>
        <v>I</v>
      </c>
      <c r="U71" s="100">
        <f>DATEDIF($E$5,U$66,"Y")</f>
        <v>24</v>
      </c>
      <c r="V71" s="97">
        <f>VLOOKUP(U71,Rates!$B:$C,2,1)</f>
        <v>5</v>
      </c>
      <c r="W71" s="102">
        <f>HLOOKUP(X71,Rates,V71,FALSE)</f>
        <v>8.91</v>
      </c>
      <c r="X71" s="99" t="str">
        <f>HLOOKUP(U$66,Rates!$1:$2,2,1)</f>
        <v>I</v>
      </c>
      <c r="Y71" s="100">
        <f>DATEDIF($E$5,Y$66,"Y")</f>
        <v>24</v>
      </c>
      <c r="Z71" s="97">
        <f>VLOOKUP(Y71,Rates!$B:$C,2,1)</f>
        <v>5</v>
      </c>
      <c r="AA71" s="102">
        <f>HLOOKUP(AB71,Rates,Z71,FALSE)</f>
        <v>8.91</v>
      </c>
      <c r="AB71" s="99" t="str">
        <f>HLOOKUP(Y$66,Rates!$1:$2,2,1)</f>
        <v>I</v>
      </c>
      <c r="AC71" s="100">
        <f>DATEDIF($E$5,AC$66,"Y")</f>
        <v>24</v>
      </c>
      <c r="AD71" s="97">
        <f>VLOOKUP(AC71,Rates!$B:$C,2,1)</f>
        <v>5</v>
      </c>
      <c r="AE71" s="102">
        <f>HLOOKUP(AF71,Rates,AD71,FALSE)</f>
        <v>8.91</v>
      </c>
      <c r="AF71" s="99" t="str">
        <f>HLOOKUP(AC$66,Rates!$1:$2,2,1)</f>
        <v>I</v>
      </c>
      <c r="AG71" s="600"/>
      <c r="AH71" s="601"/>
      <c r="AI71" s="601"/>
      <c r="AJ71" s="602"/>
      <c r="AK71" s="664"/>
      <c r="AL71" s="5"/>
      <c r="AM71" s="27"/>
      <c r="AN71" s="45"/>
      <c r="AO71" s="40"/>
      <c r="AP71" s="695"/>
      <c r="AQ71" s="696"/>
      <c r="AR71" s="696"/>
      <c r="AS71" s="696"/>
      <c r="AT71" s="696"/>
      <c r="AU71" s="697"/>
      <c r="AV71" s="41"/>
    </row>
    <row r="72" spans="2:48" ht="17.25" hidden="1" customHeight="1" x14ac:dyDescent="0.2">
      <c r="B72" s="40"/>
      <c r="C72" s="10"/>
      <c r="D72" s="104" t="s">
        <v>140</v>
      </c>
      <c r="E72" s="583">
        <f>E73+(G73/60)</f>
        <v>0</v>
      </c>
      <c r="F72" s="577"/>
      <c r="G72" s="577"/>
      <c r="H72" s="578"/>
      <c r="I72" s="577">
        <f t="shared" ref="I72" si="78">I73+(K73/60)</f>
        <v>0</v>
      </c>
      <c r="J72" s="577"/>
      <c r="K72" s="577"/>
      <c r="L72" s="578"/>
      <c r="M72" s="577">
        <f t="shared" ref="M72" si="79">M73+(O73/60)</f>
        <v>0</v>
      </c>
      <c r="N72" s="577"/>
      <c r="O72" s="577"/>
      <c r="P72" s="578"/>
      <c r="Q72" s="577">
        <f t="shared" ref="Q72" si="80">Q73+(S73/60)</f>
        <v>0</v>
      </c>
      <c r="R72" s="577"/>
      <c r="S72" s="577"/>
      <c r="T72" s="578"/>
      <c r="U72" s="577">
        <f t="shared" ref="U72" si="81">U73+(W73/60)</f>
        <v>0</v>
      </c>
      <c r="V72" s="577"/>
      <c r="W72" s="577"/>
      <c r="X72" s="578"/>
      <c r="Y72" s="577">
        <f t="shared" ref="Y72" si="82">Y73+(AA73/60)</f>
        <v>0</v>
      </c>
      <c r="Z72" s="577"/>
      <c r="AA72" s="577"/>
      <c r="AB72" s="578"/>
      <c r="AC72" s="577">
        <f t="shared" ref="AC72" si="83">AC73+(AE73/60)</f>
        <v>0</v>
      </c>
      <c r="AD72" s="577"/>
      <c r="AE72" s="577"/>
      <c r="AF72" s="578"/>
      <c r="AG72" s="583">
        <f>SUM(E72:AF72)</f>
        <v>0</v>
      </c>
      <c r="AH72" s="577"/>
      <c r="AI72" s="577"/>
      <c r="AJ72" s="584"/>
      <c r="AK72" s="664"/>
      <c r="AL72" s="5"/>
      <c r="AM72" s="27"/>
      <c r="AN72" s="45"/>
      <c r="AO72" s="40"/>
      <c r="AP72" s="695"/>
      <c r="AQ72" s="696"/>
      <c r="AR72" s="696"/>
      <c r="AS72" s="696"/>
      <c r="AT72" s="696"/>
      <c r="AU72" s="697"/>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64"/>
      <c r="AL73" s="27"/>
      <c r="AM73" s="27"/>
      <c r="AN73" s="45"/>
      <c r="AO73" s="40"/>
      <c r="AP73" s="695"/>
      <c r="AQ73" s="696"/>
      <c r="AR73" s="696"/>
      <c r="AS73" s="696"/>
      <c r="AT73" s="696"/>
      <c r="AU73" s="697"/>
      <c r="AV73" s="41"/>
    </row>
    <row r="74" spans="2:48" ht="17.25" hidden="1" customHeight="1" x14ac:dyDescent="0.2">
      <c r="B74" s="40"/>
      <c r="C74" s="10"/>
      <c r="D74" s="124" t="s">
        <v>142</v>
      </c>
      <c r="E74" s="633">
        <f>MAX(G71,IF($V$13=$AM$13,$AF$13,HLOOKUP(H71,Rates,$AL$13,FALSE)))</f>
        <v>8.91</v>
      </c>
      <c r="F74" s="586"/>
      <c r="G74" s="586"/>
      <c r="H74" s="587"/>
      <c r="I74" s="585">
        <f>MAX(K71,IF($V$13=$AM$13,$AF$13,HLOOKUP(L71,Rates,$AL$13,FALSE)))</f>
        <v>8.91</v>
      </c>
      <c r="J74" s="586"/>
      <c r="K74" s="586"/>
      <c r="L74" s="587"/>
      <c r="M74" s="585">
        <f>MAX(O71,IF($V$13=$AM$13,$AF$13,HLOOKUP(P71,Rates,$AL$13,FALSE)))</f>
        <v>8.91</v>
      </c>
      <c r="N74" s="586"/>
      <c r="O74" s="586"/>
      <c r="P74" s="587"/>
      <c r="Q74" s="585">
        <f>MAX(S71,IF($V$13=$AM$13,$AF$13,HLOOKUP(T71,Rates,$AL$13,FALSE)))</f>
        <v>8.91</v>
      </c>
      <c r="R74" s="586"/>
      <c r="S74" s="586"/>
      <c r="T74" s="587"/>
      <c r="U74" s="585">
        <f>MAX(W71,IF($V$13=$AM$13,$AF$13,HLOOKUP(X71,Rates,$AL$13,FALSE)))</f>
        <v>8.91</v>
      </c>
      <c r="V74" s="586"/>
      <c r="W74" s="586"/>
      <c r="X74" s="587"/>
      <c r="Y74" s="585">
        <f>MAX(AA71,IF($V$13=$AM$13,$AF$13,HLOOKUP(AB71,Rates,$AL$13,FALSE)))</f>
        <v>8.91</v>
      </c>
      <c r="Z74" s="586"/>
      <c r="AA74" s="586"/>
      <c r="AB74" s="587"/>
      <c r="AC74" s="585">
        <f>MAX(AE71,IF($V$13=$AM$13,$AF$13,HLOOKUP(AF71,Rates,$AL$13,FALSE)))</f>
        <v>8.91</v>
      </c>
      <c r="AD74" s="586"/>
      <c r="AE74" s="586"/>
      <c r="AF74" s="610"/>
      <c r="AG74" s="668">
        <f>SUMPRODUCT(E74:AF74,E72:AF72)</f>
        <v>0</v>
      </c>
      <c r="AH74" s="669"/>
      <c r="AI74" s="669"/>
      <c r="AJ74" s="670"/>
      <c r="AK74" s="664"/>
      <c r="AL74" s="35">
        <f>AG74*IF($V$13="Demonstrator Rate",0.1711,0.1207)</f>
        <v>0</v>
      </c>
      <c r="AM74" s="27"/>
      <c r="AN74" s="45"/>
      <c r="AO74" s="40"/>
      <c r="AP74" s="695"/>
      <c r="AQ74" s="696"/>
      <c r="AR74" s="696"/>
      <c r="AS74" s="696"/>
      <c r="AT74" s="696"/>
      <c r="AU74" s="697"/>
      <c r="AV74" s="41"/>
    </row>
    <row r="75" spans="2:48" ht="17.25" hidden="1" customHeight="1" x14ac:dyDescent="0.2">
      <c r="B75" s="40"/>
      <c r="C75" s="10"/>
      <c r="D75" s="104" t="s">
        <v>143</v>
      </c>
      <c r="E75" s="116">
        <f>DATEDIF($E$5,E$66,"Y")</f>
        <v>24</v>
      </c>
      <c r="F75" s="97">
        <f>VLOOKUP(E75,Rates!$B:$C,2,1)</f>
        <v>5</v>
      </c>
      <c r="G75" s="102">
        <f>HLOOKUP(H75,Rates,F75,FALSE)</f>
        <v>8.91</v>
      </c>
      <c r="H75" s="99" t="str">
        <f>HLOOKUP(E$66,Rates!$1:$2,2,1)</f>
        <v>I</v>
      </c>
      <c r="I75" s="100">
        <f>DATEDIF($E$5,I$66,"Y")</f>
        <v>24</v>
      </c>
      <c r="J75" s="97">
        <f>VLOOKUP(I75,Rates!$B:$C,2,1)</f>
        <v>5</v>
      </c>
      <c r="K75" s="102">
        <f>HLOOKUP(L75,Rates,J75,FALSE)</f>
        <v>8.91</v>
      </c>
      <c r="L75" s="99" t="str">
        <f>HLOOKUP(I$66,Rates!$1:$2,2,1)</f>
        <v>I</v>
      </c>
      <c r="M75" s="100">
        <f>DATEDIF($E$5,M$66,"Y")</f>
        <v>24</v>
      </c>
      <c r="N75" s="97">
        <f>VLOOKUP(M75,Rates!$B:$C,2,1)</f>
        <v>5</v>
      </c>
      <c r="O75" s="102">
        <f>HLOOKUP(P75,Rates,N75,FALSE)</f>
        <v>8.91</v>
      </c>
      <c r="P75" s="99" t="str">
        <f>HLOOKUP(M$66,Rates!$1:$2,2,1)</f>
        <v>I</v>
      </c>
      <c r="Q75" s="100">
        <f>DATEDIF($E$5,Q$66,"Y")</f>
        <v>24</v>
      </c>
      <c r="R75" s="97">
        <f>VLOOKUP(Q75,Rates!$B:$C,2,1)</f>
        <v>5</v>
      </c>
      <c r="S75" s="102">
        <f>HLOOKUP(T75,Rates,R75,FALSE)</f>
        <v>8.91</v>
      </c>
      <c r="T75" s="99" t="str">
        <f>HLOOKUP(Q$66,Rates!$1:$2,2,1)</f>
        <v>I</v>
      </c>
      <c r="U75" s="100">
        <f>DATEDIF($E$5,U$66,"Y")</f>
        <v>24</v>
      </c>
      <c r="V75" s="97">
        <f>VLOOKUP(U75,Rates!$B:$C,2,1)</f>
        <v>5</v>
      </c>
      <c r="W75" s="102">
        <f>HLOOKUP(X75,Rates,V75,FALSE)</f>
        <v>8.91</v>
      </c>
      <c r="X75" s="99" t="str">
        <f>HLOOKUP(U$66,Rates!$1:$2,2,1)</f>
        <v>I</v>
      </c>
      <c r="Y75" s="100">
        <f>DATEDIF($E$5,Y$66,"Y")</f>
        <v>24</v>
      </c>
      <c r="Z75" s="97">
        <f>VLOOKUP(Y75,Rates!$B:$C,2,1)</f>
        <v>5</v>
      </c>
      <c r="AA75" s="102">
        <f>HLOOKUP(AB75,Rates,Z75,FALSE)</f>
        <v>8.91</v>
      </c>
      <c r="AB75" s="99" t="str">
        <f>HLOOKUP(Y$66,Rates!$1:$2,2,1)</f>
        <v>I</v>
      </c>
      <c r="AC75" s="100">
        <f>DATEDIF($E$5,AC$66,"Y")</f>
        <v>24</v>
      </c>
      <c r="AD75" s="97">
        <f>VLOOKUP(AC75,Rates!$B:$C,2,1)</f>
        <v>5</v>
      </c>
      <c r="AE75" s="102">
        <f>HLOOKUP(AF75,Rates,AD75,FALSE)</f>
        <v>8.91</v>
      </c>
      <c r="AF75" s="99" t="str">
        <f>HLOOKUP(AC$66,Rates!$1:$2,2,1)</f>
        <v>I</v>
      </c>
      <c r="AG75" s="600"/>
      <c r="AH75" s="601"/>
      <c r="AI75" s="601"/>
      <c r="AJ75" s="602"/>
      <c r="AK75" s="664"/>
      <c r="AL75" s="5"/>
      <c r="AM75" s="27"/>
      <c r="AN75" s="45"/>
      <c r="AO75" s="40"/>
      <c r="AP75" s="695"/>
      <c r="AQ75" s="696"/>
      <c r="AR75" s="696"/>
      <c r="AS75" s="696"/>
      <c r="AT75" s="696"/>
      <c r="AU75" s="697"/>
      <c r="AV75" s="41"/>
    </row>
    <row r="76" spans="2:48" ht="17.25" hidden="1" customHeight="1" x14ac:dyDescent="0.2">
      <c r="B76" s="40"/>
      <c r="C76" s="10"/>
      <c r="D76" s="104" t="s">
        <v>144</v>
      </c>
      <c r="E76" s="583">
        <f>E77+(G77/60)</f>
        <v>0</v>
      </c>
      <c r="F76" s="577"/>
      <c r="G76" s="577"/>
      <c r="H76" s="578"/>
      <c r="I76" s="577">
        <f t="shared" ref="I76" si="84">I77+(K77/60)</f>
        <v>0</v>
      </c>
      <c r="J76" s="577"/>
      <c r="K76" s="577"/>
      <c r="L76" s="578"/>
      <c r="M76" s="577">
        <f t="shared" ref="M76" si="85">M77+(O77/60)</f>
        <v>0</v>
      </c>
      <c r="N76" s="577"/>
      <c r="O76" s="577"/>
      <c r="P76" s="578"/>
      <c r="Q76" s="577">
        <f t="shared" ref="Q76" si="86">Q77+(S77/60)</f>
        <v>0</v>
      </c>
      <c r="R76" s="577"/>
      <c r="S76" s="577"/>
      <c r="T76" s="578"/>
      <c r="U76" s="577">
        <f t="shared" ref="U76" si="87">U77+(W77/60)</f>
        <v>0</v>
      </c>
      <c r="V76" s="577"/>
      <c r="W76" s="577"/>
      <c r="X76" s="578"/>
      <c r="Y76" s="577">
        <f t="shared" ref="Y76" si="88">Y77+(AA77/60)</f>
        <v>0</v>
      </c>
      <c r="Z76" s="577"/>
      <c r="AA76" s="577"/>
      <c r="AB76" s="578"/>
      <c r="AC76" s="577">
        <f t="shared" ref="AC76" si="89">AC77+(AE77/60)</f>
        <v>0</v>
      </c>
      <c r="AD76" s="577"/>
      <c r="AE76" s="577"/>
      <c r="AF76" s="578"/>
      <c r="AG76" s="583">
        <f>SUM(E76:AF76)</f>
        <v>0</v>
      </c>
      <c r="AH76" s="577"/>
      <c r="AI76" s="577"/>
      <c r="AJ76" s="584"/>
      <c r="AK76" s="664"/>
      <c r="AL76" s="5"/>
      <c r="AM76" s="27"/>
      <c r="AN76" s="45"/>
      <c r="AO76" s="40"/>
      <c r="AP76" s="695"/>
      <c r="AQ76" s="696"/>
      <c r="AR76" s="696"/>
      <c r="AS76" s="696"/>
      <c r="AT76" s="696"/>
      <c r="AU76" s="697"/>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64"/>
      <c r="AL77" s="27"/>
      <c r="AM77" s="27"/>
      <c r="AN77" s="45"/>
      <c r="AO77" s="40"/>
      <c r="AP77" s="695"/>
      <c r="AQ77" s="696"/>
      <c r="AR77" s="696"/>
      <c r="AS77" s="696"/>
      <c r="AT77" s="696"/>
      <c r="AU77" s="697"/>
      <c r="AV77" s="41"/>
    </row>
    <row r="78" spans="2:48" ht="17.25" hidden="1" customHeight="1" x14ac:dyDescent="0.2">
      <c r="B78" s="40"/>
      <c r="C78" s="10"/>
      <c r="D78" s="91" t="s">
        <v>146</v>
      </c>
      <c r="E78" s="687">
        <f>MAX(G75,IF($V$15=$AM$15,$AF$15,HLOOKUP(H75,Rates,$AL$15,FALSE)))</f>
        <v>8.91</v>
      </c>
      <c r="F78" s="595"/>
      <c r="G78" s="595"/>
      <c r="H78" s="596"/>
      <c r="I78" s="594">
        <f>MAX(K75,IF($V$15=$AM$15,$AF$15,HLOOKUP(L75,Rates,$AL$15,FALSE)))</f>
        <v>8.91</v>
      </c>
      <c r="J78" s="595"/>
      <c r="K78" s="595"/>
      <c r="L78" s="596"/>
      <c r="M78" s="594">
        <f>MAX(O75,IF($V$15=$AM$15,$AF$15,HLOOKUP(P75,Rates,$AL$15,FALSE)))</f>
        <v>8.91</v>
      </c>
      <c r="N78" s="595"/>
      <c r="O78" s="595"/>
      <c r="P78" s="596"/>
      <c r="Q78" s="594">
        <f>MAX(S75,IF($V$15=$AM$15,$AF$15,HLOOKUP(T75,Rates,$AL$15,FALSE)))</f>
        <v>8.91</v>
      </c>
      <c r="R78" s="595"/>
      <c r="S78" s="595"/>
      <c r="T78" s="596"/>
      <c r="U78" s="594">
        <f>MAX(W75,IF($V$15=$AM$15,$AF$15,HLOOKUP(X75,Rates,$AL$15,FALSE)))</f>
        <v>8.91</v>
      </c>
      <c r="V78" s="595"/>
      <c r="W78" s="595"/>
      <c r="X78" s="596"/>
      <c r="Y78" s="594">
        <f>MAX(AA75,IF($V$15=$AM$15,$AF$15,HLOOKUP(AB75,Rates,$AL$15,FALSE)))</f>
        <v>8.91</v>
      </c>
      <c r="Z78" s="595"/>
      <c r="AA78" s="595"/>
      <c r="AB78" s="596"/>
      <c r="AC78" s="594">
        <f>MAX(AE75,IF($V$15=$AM$15,$AF$15,HLOOKUP(AF75,Rates,$AL$15,FALSE)))</f>
        <v>8.91</v>
      </c>
      <c r="AD78" s="595"/>
      <c r="AE78" s="595"/>
      <c r="AF78" s="597"/>
      <c r="AG78" s="668">
        <f>SUMPRODUCT(E78:AF78,E76:AF76)</f>
        <v>0</v>
      </c>
      <c r="AH78" s="669"/>
      <c r="AI78" s="669"/>
      <c r="AJ78" s="670"/>
      <c r="AK78" s="664"/>
      <c r="AL78" s="35">
        <f>AG78*IF($V$15="Demonstrator Rate",0.1711,0.1207)</f>
        <v>0</v>
      </c>
      <c r="AM78" s="27"/>
      <c r="AN78" s="45"/>
      <c r="AO78" s="40"/>
      <c r="AP78" s="695"/>
      <c r="AQ78" s="696"/>
      <c r="AR78" s="696"/>
      <c r="AS78" s="696"/>
      <c r="AT78" s="696"/>
      <c r="AU78" s="697"/>
      <c r="AV78" s="41"/>
    </row>
    <row r="79" spans="2:48" ht="17.25" hidden="1" customHeight="1" x14ac:dyDescent="0.2">
      <c r="B79" s="40"/>
      <c r="C79" s="10"/>
      <c r="D79" s="194" t="s">
        <v>147</v>
      </c>
      <c r="E79" s="705">
        <f>((E69+(G69/60))*E70)+((E73+(G73/60))*E74)+((E77+(G77/60))*E78)</f>
        <v>13.6</v>
      </c>
      <c r="F79" s="592"/>
      <c r="G79" s="592"/>
      <c r="H79" s="593"/>
      <c r="I79" s="591">
        <f>((I69+(K69/60))*I70)+((I73+(K73/60))*I74)+((I77+(K77/60))*I78)</f>
        <v>0</v>
      </c>
      <c r="J79" s="592"/>
      <c r="K79" s="592"/>
      <c r="L79" s="593"/>
      <c r="M79" s="591">
        <f>((M69+(O69/60))*M70)+((M73+(O73/60))*M74)+((M77+(O77/60))*M78)</f>
        <v>13.6</v>
      </c>
      <c r="N79" s="592"/>
      <c r="O79" s="592"/>
      <c r="P79" s="593"/>
      <c r="Q79" s="591">
        <f>((Q69+(S69/60))*Q70)+((Q73+(S73/60))*Q74)+((Q77+(S77/60))*Q78)</f>
        <v>0</v>
      </c>
      <c r="R79" s="592"/>
      <c r="S79" s="592"/>
      <c r="T79" s="593"/>
      <c r="U79" s="591">
        <f>((U69+(W69/60))*U70)+((U73+(W73/60))*U74)+((U77+(W77/60))*U78)</f>
        <v>0</v>
      </c>
      <c r="V79" s="592"/>
      <c r="W79" s="592"/>
      <c r="X79" s="593"/>
      <c r="Y79" s="591">
        <f>((Y69+(AA69/60))*Y70)+((Y73+(AA73/60))*Y74)+((Y77+(AA77/60))*Y78)</f>
        <v>0</v>
      </c>
      <c r="Z79" s="592"/>
      <c r="AA79" s="592"/>
      <c r="AB79" s="593"/>
      <c r="AC79" s="591">
        <f>((AC69+(AE69/60))*AC70)+((AC73+(AE73/60))*AC74)+((AC77+(AE77/60))*AC78)</f>
        <v>0</v>
      </c>
      <c r="AD79" s="592"/>
      <c r="AE79" s="592"/>
      <c r="AF79" s="688"/>
      <c r="AG79" s="604">
        <f>AG78+AG74+AG70</f>
        <v>27.2</v>
      </c>
      <c r="AH79" s="605"/>
      <c r="AI79" s="605"/>
      <c r="AJ79" s="606"/>
      <c r="AK79" s="664"/>
      <c r="AL79" s="28">
        <f>AG68+AG72+AG76+AG80</f>
        <v>2</v>
      </c>
      <c r="AM79" s="27" t="str">
        <f>IF(AND(AL79&gt;0,AE7="Yes",OR(E81="",G81="",I81="",K81="",M81="",O81="",Q81="",S81="",U81="",W81="",Y81="",AA81="",AC81="",AE81="")),"FALSE","TRUE")</f>
        <v>TRUE</v>
      </c>
      <c r="AN79" s="45"/>
      <c r="AO79" s="40"/>
      <c r="AP79" s="695"/>
      <c r="AQ79" s="696"/>
      <c r="AR79" s="696"/>
      <c r="AS79" s="696"/>
      <c r="AT79" s="696"/>
      <c r="AU79" s="697"/>
      <c r="AV79" s="41"/>
    </row>
    <row r="80" spans="2:48" ht="17.25" hidden="1" customHeight="1" x14ac:dyDescent="0.2">
      <c r="B80" s="40"/>
      <c r="C80" s="10"/>
      <c r="D80" s="104" t="s">
        <v>148</v>
      </c>
      <c r="E80" s="581">
        <f>E81+(G81/60)</f>
        <v>0</v>
      </c>
      <c r="F80" s="579"/>
      <c r="G80" s="579"/>
      <c r="H80" s="580"/>
      <c r="I80" s="579">
        <f t="shared" ref="I80" si="90">I81+(K81/60)</f>
        <v>0</v>
      </c>
      <c r="J80" s="579"/>
      <c r="K80" s="579"/>
      <c r="L80" s="580"/>
      <c r="M80" s="579">
        <f t="shared" ref="M80" si="91">M81+(O81/60)</f>
        <v>0</v>
      </c>
      <c r="N80" s="579"/>
      <c r="O80" s="579"/>
      <c r="P80" s="580"/>
      <c r="Q80" s="579">
        <f t="shared" ref="Q80" si="92">Q81+(S81/60)</f>
        <v>0</v>
      </c>
      <c r="R80" s="579"/>
      <c r="S80" s="579"/>
      <c r="T80" s="580"/>
      <c r="U80" s="579">
        <f t="shared" ref="U80" si="93">U81+(W81/60)</f>
        <v>0</v>
      </c>
      <c r="V80" s="579"/>
      <c r="W80" s="579"/>
      <c r="X80" s="580"/>
      <c r="Y80" s="579">
        <f t="shared" ref="Y80" si="94">Y81+(AA81/60)</f>
        <v>0</v>
      </c>
      <c r="Z80" s="579"/>
      <c r="AA80" s="579"/>
      <c r="AB80" s="580"/>
      <c r="AC80" s="579">
        <f t="shared" ref="AC80" si="95">AC81+(AE81/60)</f>
        <v>0</v>
      </c>
      <c r="AD80" s="579"/>
      <c r="AE80" s="579"/>
      <c r="AF80" s="580"/>
      <c r="AG80" s="581">
        <f>SUM(E80:AF80)</f>
        <v>0</v>
      </c>
      <c r="AH80" s="579"/>
      <c r="AI80" s="579"/>
      <c r="AJ80" s="582"/>
      <c r="AK80" s="664"/>
      <c r="AL80" s="28"/>
      <c r="AM80" s="27"/>
      <c r="AN80" s="45"/>
      <c r="AO80" s="40"/>
      <c r="AP80" s="695"/>
      <c r="AQ80" s="696"/>
      <c r="AR80" s="696"/>
      <c r="AS80" s="696"/>
      <c r="AT80" s="696"/>
      <c r="AU80" s="697"/>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64"/>
      <c r="AL81" s="27"/>
      <c r="AM81" s="27"/>
      <c r="AN81" s="45"/>
      <c r="AO81" s="72"/>
      <c r="AP81" s="695"/>
      <c r="AQ81" s="696"/>
      <c r="AR81" s="696"/>
      <c r="AS81" s="696"/>
      <c r="AT81" s="696"/>
      <c r="AU81" s="697"/>
      <c r="AV81" s="41"/>
    </row>
    <row r="82" spans="2:48" ht="9.75" customHeight="1" x14ac:dyDescent="0.2">
      <c r="B82" s="40"/>
      <c r="C82" s="10">
        <f>C66+7</f>
        <v>44620</v>
      </c>
      <c r="D82" s="71" t="s">
        <v>133</v>
      </c>
      <c r="E82" s="598">
        <f>IF(ISNA(C82),"",C82)</f>
        <v>44620</v>
      </c>
      <c r="F82" s="589"/>
      <c r="G82" s="589"/>
      <c r="H82" s="590"/>
      <c r="I82" s="588">
        <f>IF(ISNA(C82),"",E82+1)</f>
        <v>44621</v>
      </c>
      <c r="J82" s="589"/>
      <c r="K82" s="589"/>
      <c r="L82" s="590"/>
      <c r="M82" s="588">
        <f>IF(ISNA(C82),"",I82+1)</f>
        <v>44622</v>
      </c>
      <c r="N82" s="589"/>
      <c r="O82" s="589"/>
      <c r="P82" s="590"/>
      <c r="Q82" s="588">
        <f>IF(ISNA(C82),"",M82+1)</f>
        <v>44623</v>
      </c>
      <c r="R82" s="589"/>
      <c r="S82" s="589"/>
      <c r="T82" s="590"/>
      <c r="U82" s="588">
        <f>IF(ISNA(C82),"",Q82+1)</f>
        <v>44624</v>
      </c>
      <c r="V82" s="589"/>
      <c r="W82" s="589"/>
      <c r="X82" s="590"/>
      <c r="Y82" s="588">
        <f>IF(ISNA(C82),"",U82+1)</f>
        <v>44625</v>
      </c>
      <c r="Z82" s="589"/>
      <c r="AA82" s="589"/>
      <c r="AB82" s="590"/>
      <c r="AC82" s="588">
        <f>IF(ISNA(C82),"",Y82+1)</f>
        <v>44626</v>
      </c>
      <c r="AD82" s="589"/>
      <c r="AE82" s="589"/>
      <c r="AF82" s="614"/>
      <c r="AG82" s="611" t="str">
        <f>IF(AE7="Yes",VLOOKUP(C82,TermTime,2,FALSE),"Week Total")</f>
        <v>Week Total</v>
      </c>
      <c r="AH82" s="612"/>
      <c r="AI82" s="612"/>
      <c r="AJ82" s="613"/>
      <c r="AK82" s="664" t="str">
        <f>IF(OR(AL95&gt;36,AM95="FALSE",AND(AL95&gt;20,AE7="Yes")),"WARNING","")</f>
        <v/>
      </c>
      <c r="AL82" s="27"/>
      <c r="AM82" s="27"/>
      <c r="AN82" s="45"/>
      <c r="AO82" s="72"/>
      <c r="AP82" s="695"/>
      <c r="AQ82" s="696"/>
      <c r="AR82" s="696"/>
      <c r="AS82" s="696"/>
      <c r="AT82" s="696"/>
      <c r="AU82" s="697"/>
      <c r="AV82" s="41"/>
    </row>
    <row r="83" spans="2:48" ht="9.75" hidden="1" customHeight="1" x14ac:dyDescent="0.2">
      <c r="B83" s="40"/>
      <c r="C83" s="10"/>
      <c r="D83" s="104" t="s">
        <v>135</v>
      </c>
      <c r="E83" s="116">
        <f>DATEDIF($E$5,E$82,"Y")</f>
        <v>24</v>
      </c>
      <c r="F83" s="101">
        <f>VLOOKUP(E83,Rates!$B:$C,2,1)</f>
        <v>5</v>
      </c>
      <c r="G83" s="102">
        <f>HLOOKUP(H83,Rates,F83,FALSE)</f>
        <v>8.91</v>
      </c>
      <c r="H83" s="103" t="str">
        <f>HLOOKUP(E$82,Rates!$1:$2,2,1)</f>
        <v>I</v>
      </c>
      <c r="I83" s="100">
        <f>DATEDIF($E$5,I$82,"Y")</f>
        <v>24</v>
      </c>
      <c r="J83" s="101">
        <f>VLOOKUP(I83,Rates!$B:$C,2,1)</f>
        <v>5</v>
      </c>
      <c r="K83" s="102">
        <f>HLOOKUP(L83,Rates,J83,FALSE)</f>
        <v>8.91</v>
      </c>
      <c r="L83" s="103" t="str">
        <f>HLOOKUP(I$82,Rates!$1:$2,2,1)</f>
        <v>I</v>
      </c>
      <c r="M83" s="100">
        <f>DATEDIF($E$5,M$82,"Y")</f>
        <v>24</v>
      </c>
      <c r="N83" s="101">
        <f>VLOOKUP(M83,Rates!$B:$C,2,1)</f>
        <v>5</v>
      </c>
      <c r="O83" s="102">
        <f>HLOOKUP(P83,Rates,N83,FALSE)</f>
        <v>8.91</v>
      </c>
      <c r="P83" s="103" t="str">
        <f>HLOOKUP(M$82,Rates!$1:$2,2,1)</f>
        <v>I</v>
      </c>
      <c r="Q83" s="100">
        <f>DATEDIF($E$5,Q$82,"Y")</f>
        <v>24</v>
      </c>
      <c r="R83" s="101">
        <f>VLOOKUP(Q83,Rates!$B:$C,2,1)</f>
        <v>5</v>
      </c>
      <c r="S83" s="102">
        <f>HLOOKUP(T83,Rates,R83,FALSE)</f>
        <v>8.91</v>
      </c>
      <c r="T83" s="103" t="str">
        <f>HLOOKUP(Q$82,Rates!$1:$2,2,1)</f>
        <v>I</v>
      </c>
      <c r="U83" s="100">
        <f>DATEDIF($E$5,U$82,"Y")</f>
        <v>24</v>
      </c>
      <c r="V83" s="101">
        <f>VLOOKUP(U83,Rates!$B:$C,2,1)</f>
        <v>5</v>
      </c>
      <c r="W83" s="102">
        <f>HLOOKUP(X83,Rates,V83,FALSE)</f>
        <v>8.91</v>
      </c>
      <c r="X83" s="103" t="str">
        <f>HLOOKUP(U$82,Rates!$1:$2,2,1)</f>
        <v>I</v>
      </c>
      <c r="Y83" s="100">
        <f>DATEDIF($E$5,Y$82,"Y")</f>
        <v>24</v>
      </c>
      <c r="Z83" s="101">
        <f>VLOOKUP(Y83,Rates!$B:$C,2,1)</f>
        <v>5</v>
      </c>
      <c r="AA83" s="102">
        <f>HLOOKUP(AB83,Rates,Z83,FALSE)</f>
        <v>8.91</v>
      </c>
      <c r="AB83" s="103" t="str">
        <f>HLOOKUP(Y$82,Rates!$1:$2,2,1)</f>
        <v>I</v>
      </c>
      <c r="AC83" s="100">
        <f>ROUNDDOWN(YEARFRAC($E$5,AC$82),0)</f>
        <v>24</v>
      </c>
      <c r="AD83" s="101">
        <f>VLOOKUP(AC83,Rates!$B:$C,2,1)</f>
        <v>5</v>
      </c>
      <c r="AE83" s="102">
        <f>HLOOKUP(AF83,Rates,AD83,FALSE)</f>
        <v>8.91</v>
      </c>
      <c r="AF83" s="103" t="str">
        <f>HLOOKUP(AC$82,Rates!$1:$2,2,1)</f>
        <v>I</v>
      </c>
      <c r="AG83" s="600"/>
      <c r="AH83" s="601"/>
      <c r="AI83" s="601"/>
      <c r="AJ83" s="602"/>
      <c r="AK83" s="664"/>
      <c r="AL83" s="27"/>
      <c r="AM83" s="27"/>
      <c r="AN83" s="45"/>
      <c r="AO83" s="72"/>
      <c r="AP83" s="695"/>
      <c r="AQ83" s="696"/>
      <c r="AR83" s="696"/>
      <c r="AS83" s="696"/>
      <c r="AT83" s="696"/>
      <c r="AU83" s="697"/>
      <c r="AV83" s="41"/>
    </row>
    <row r="84" spans="2:48" ht="9.75" hidden="1" customHeight="1" x14ac:dyDescent="0.2">
      <c r="B84" s="40"/>
      <c r="C84" s="10"/>
      <c r="D84" s="104" t="s">
        <v>136</v>
      </c>
      <c r="E84" s="583">
        <f>E85+(G85/60)</f>
        <v>0</v>
      </c>
      <c r="F84" s="577"/>
      <c r="G84" s="577"/>
      <c r="H84" s="578"/>
      <c r="I84" s="577">
        <f t="shared" ref="I84" si="96">I85+(K85/60)</f>
        <v>0</v>
      </c>
      <c r="J84" s="577"/>
      <c r="K84" s="577"/>
      <c r="L84" s="578"/>
      <c r="M84" s="577">
        <f t="shared" ref="M84" si="97">M85+(O85/60)</f>
        <v>0</v>
      </c>
      <c r="N84" s="577"/>
      <c r="O84" s="577"/>
      <c r="P84" s="578"/>
      <c r="Q84" s="577">
        <f t="shared" ref="Q84" si="98">Q85+(S85/60)</f>
        <v>0</v>
      </c>
      <c r="R84" s="577"/>
      <c r="S84" s="577"/>
      <c r="T84" s="578"/>
      <c r="U84" s="577">
        <f t="shared" ref="U84" si="99">U85+(W85/60)</f>
        <v>0</v>
      </c>
      <c r="V84" s="577"/>
      <c r="W84" s="577"/>
      <c r="X84" s="578"/>
      <c r="Y84" s="577">
        <f t="shared" ref="Y84" si="100">Y85+(AA85/60)</f>
        <v>0</v>
      </c>
      <c r="Z84" s="577"/>
      <c r="AA84" s="577"/>
      <c r="AB84" s="578"/>
      <c r="AC84" s="577">
        <f t="shared" ref="AC84" si="101">AC85+(AE85/60)</f>
        <v>0</v>
      </c>
      <c r="AD84" s="577"/>
      <c r="AE84" s="577"/>
      <c r="AF84" s="578"/>
      <c r="AG84" s="583">
        <f>SUM(E84:AF84)</f>
        <v>0</v>
      </c>
      <c r="AH84" s="577"/>
      <c r="AI84" s="577"/>
      <c r="AJ84" s="584"/>
      <c r="AK84" s="664"/>
      <c r="AL84" s="27"/>
      <c r="AM84" s="27"/>
      <c r="AN84" s="45"/>
      <c r="AO84" s="72"/>
      <c r="AP84" s="695"/>
      <c r="AQ84" s="696"/>
      <c r="AR84" s="696"/>
      <c r="AS84" s="696"/>
      <c r="AT84" s="696"/>
      <c r="AU84" s="697"/>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64"/>
      <c r="AL85" s="27"/>
      <c r="AM85" s="27"/>
      <c r="AN85" s="45"/>
      <c r="AO85" s="72"/>
      <c r="AP85" s="695"/>
      <c r="AQ85" s="696"/>
      <c r="AR85" s="696"/>
      <c r="AS85" s="696"/>
      <c r="AT85" s="696"/>
      <c r="AU85" s="697"/>
      <c r="AV85" s="267"/>
    </row>
    <row r="86" spans="2:48" ht="15.75" customHeight="1" x14ac:dyDescent="0.2">
      <c r="B86" s="40"/>
      <c r="C86" s="10"/>
      <c r="D86" s="124" t="s">
        <v>138</v>
      </c>
      <c r="E86" s="633">
        <f>MAX(G83,IF($V$11=$AM$11,$AF$11,HLOOKUP(H83,Rates,$AL$11,FALSE)))</f>
        <v>13.6</v>
      </c>
      <c r="F86" s="586"/>
      <c r="G86" s="586"/>
      <c r="H86" s="587"/>
      <c r="I86" s="585">
        <f>MAX(K83,IF($V$11=$AM$11,$AF$11,HLOOKUP(L83,Rates,$AL$11,FALSE)))</f>
        <v>13.6</v>
      </c>
      <c r="J86" s="586"/>
      <c r="K86" s="586"/>
      <c r="L86" s="587"/>
      <c r="M86" s="585">
        <f>MAX(O83,IF($V$11=$AM$11,$AF$11,HLOOKUP(P83,Rates,$AL$11,FALSE)))</f>
        <v>13.6</v>
      </c>
      <c r="N86" s="586"/>
      <c r="O86" s="586"/>
      <c r="P86" s="587"/>
      <c r="Q86" s="585">
        <f>MAX(S83,IF($V$11=$AM$11,$AF$11,HLOOKUP(T83,Rates,$AL$11,FALSE)))</f>
        <v>13.6</v>
      </c>
      <c r="R86" s="586"/>
      <c r="S86" s="586"/>
      <c r="T86" s="587"/>
      <c r="U86" s="585">
        <f>MAX(W83,IF($V$11=$AM$11,$AF$11,HLOOKUP(X83,Rates,$AL$11,FALSE)))</f>
        <v>13.6</v>
      </c>
      <c r="V86" s="586"/>
      <c r="W86" s="586"/>
      <c r="X86" s="587"/>
      <c r="Y86" s="585">
        <f>MAX(AA83,IF($V$11=$AM$11,$AF$11,HLOOKUP(AB83,Rates,$AL$11,FALSE)))</f>
        <v>13.6</v>
      </c>
      <c r="Z86" s="586"/>
      <c r="AA86" s="586"/>
      <c r="AB86" s="587"/>
      <c r="AC86" s="585">
        <f>MAX(AE83,IF($V$11=$AM$11,$AF$11,HLOOKUP(AF83,Rates,$AL$11,FALSE)))</f>
        <v>13.6</v>
      </c>
      <c r="AD86" s="586"/>
      <c r="AE86" s="586"/>
      <c r="AF86" s="610"/>
      <c r="AG86" s="668">
        <f>IF(AM17&lt;&gt;5,0,SUMPRODUCT(E86:AF86,E84:AF84))</f>
        <v>0</v>
      </c>
      <c r="AH86" s="669"/>
      <c r="AI86" s="669"/>
      <c r="AJ86" s="670"/>
      <c r="AK86" s="664"/>
      <c r="AL86" s="35">
        <f>AG86*IF($V$11="Demonstrator Rate",0.1711,0.1207)</f>
        <v>0</v>
      </c>
      <c r="AM86" s="27"/>
      <c r="AN86" s="45"/>
      <c r="AO86" s="72"/>
      <c r="AP86" s="698"/>
      <c r="AQ86" s="699"/>
      <c r="AR86" s="699"/>
      <c r="AS86" s="699"/>
      <c r="AT86" s="699"/>
      <c r="AU86" s="700"/>
      <c r="AV86" s="267"/>
    </row>
    <row r="87" spans="2:48" ht="15.75" hidden="1" customHeight="1" x14ac:dyDescent="0.2">
      <c r="B87" s="40"/>
      <c r="C87" s="10"/>
      <c r="D87" s="104" t="s">
        <v>139</v>
      </c>
      <c r="E87" s="116">
        <f>DATEDIF($E$5,E$82,"Y")</f>
        <v>24</v>
      </c>
      <c r="F87" s="101">
        <f>VLOOKUP(E87,Rates!$B:$C,2,1)</f>
        <v>5</v>
      </c>
      <c r="G87" s="102">
        <f>HLOOKUP(H87,Rates,F87,FALSE)</f>
        <v>8.91</v>
      </c>
      <c r="H87" s="103" t="str">
        <f>HLOOKUP(E$82,Rates!$1:$2,2,1)</f>
        <v>I</v>
      </c>
      <c r="I87" s="100">
        <f>DATEDIF($E$5,I$82,"Y")</f>
        <v>24</v>
      </c>
      <c r="J87" s="101">
        <f>VLOOKUP(I87,Rates!$B:$C,2,1)</f>
        <v>5</v>
      </c>
      <c r="K87" s="102">
        <f>HLOOKUP(L87,Rates,J87,FALSE)</f>
        <v>8.91</v>
      </c>
      <c r="L87" s="103" t="str">
        <f>HLOOKUP(I$82,Rates!$1:$2,2,1)</f>
        <v>I</v>
      </c>
      <c r="M87" s="100">
        <f>DATEDIF($E$5,M$82,"Y")</f>
        <v>24</v>
      </c>
      <c r="N87" s="101">
        <f>VLOOKUP(M87,Rates!$B:$C,2,1)</f>
        <v>5</v>
      </c>
      <c r="O87" s="102">
        <f>HLOOKUP(P87,Rates,N87,FALSE)</f>
        <v>8.91</v>
      </c>
      <c r="P87" s="103" t="str">
        <f>HLOOKUP(M$82,Rates!$1:$2,2,1)</f>
        <v>I</v>
      </c>
      <c r="Q87" s="100">
        <f>DATEDIF($E$5,Q$82,"Y")</f>
        <v>24</v>
      </c>
      <c r="R87" s="101">
        <f>VLOOKUP(Q87,Rates!$B:$C,2,1)</f>
        <v>5</v>
      </c>
      <c r="S87" s="102">
        <f>HLOOKUP(T87,Rates,R87,FALSE)</f>
        <v>8.91</v>
      </c>
      <c r="T87" s="103" t="str">
        <f>HLOOKUP(Q$82,Rates!$1:$2,2,1)</f>
        <v>I</v>
      </c>
      <c r="U87" s="100">
        <f>DATEDIF($E$5,U$82,"Y")</f>
        <v>24</v>
      </c>
      <c r="V87" s="101">
        <f>VLOOKUP(U87,Rates!$B:$C,2,1)</f>
        <v>5</v>
      </c>
      <c r="W87" s="102">
        <f>HLOOKUP(X87,Rates,V87,FALSE)</f>
        <v>8.91</v>
      </c>
      <c r="X87" s="103" t="str">
        <f>HLOOKUP(U$82,Rates!$1:$2,2,1)</f>
        <v>I</v>
      </c>
      <c r="Y87" s="100">
        <f>DATEDIF($E$5,Y$82,"Y")</f>
        <v>24</v>
      </c>
      <c r="Z87" s="101">
        <f>VLOOKUP(Y87,Rates!$B:$C,2,1)</f>
        <v>5</v>
      </c>
      <c r="AA87" s="102">
        <f>HLOOKUP(AB87,Rates,Z87,FALSE)</f>
        <v>8.91</v>
      </c>
      <c r="AB87" s="103" t="str">
        <f>HLOOKUP(Y$82,Rates!$1:$2,2,1)</f>
        <v>I</v>
      </c>
      <c r="AC87" s="100">
        <f>ROUNDDOWN(YEARFRAC($E$5,AC$82),0)</f>
        <v>24</v>
      </c>
      <c r="AD87" s="101">
        <f>VLOOKUP(AC87,Rates!$B:$C,2,1)</f>
        <v>5</v>
      </c>
      <c r="AE87" s="102">
        <f>HLOOKUP(AF87,Rates,AD87,FALSE)</f>
        <v>8.91</v>
      </c>
      <c r="AF87" s="103" t="str">
        <f>HLOOKUP(AC$82,Rates!$1:$2,2,1)</f>
        <v>I</v>
      </c>
      <c r="AG87" s="600"/>
      <c r="AH87" s="601"/>
      <c r="AI87" s="601"/>
      <c r="AJ87" s="602"/>
      <c r="AK87" s="664"/>
      <c r="AL87" s="5"/>
      <c r="AM87" s="27"/>
      <c r="AN87" s="45"/>
      <c r="AO87" s="72"/>
      <c r="AP87" s="266"/>
      <c r="AQ87" s="351"/>
      <c r="AR87" s="351"/>
      <c r="AS87" s="351"/>
      <c r="AT87" s="351"/>
      <c r="AU87" s="266"/>
      <c r="AV87" s="267"/>
    </row>
    <row r="88" spans="2:48" ht="15.75" hidden="1" customHeight="1" x14ac:dyDescent="0.2">
      <c r="B88" s="40"/>
      <c r="C88" s="10"/>
      <c r="D88" s="104" t="s">
        <v>140</v>
      </c>
      <c r="E88" s="583">
        <f>E89+(G89/60)</f>
        <v>0</v>
      </c>
      <c r="F88" s="577"/>
      <c r="G88" s="577"/>
      <c r="H88" s="578"/>
      <c r="I88" s="577">
        <f t="shared" ref="I88" si="102">I89+(K89/60)</f>
        <v>0</v>
      </c>
      <c r="J88" s="577"/>
      <c r="K88" s="577"/>
      <c r="L88" s="578"/>
      <c r="M88" s="577">
        <f t="shared" ref="M88" si="103">M89+(O89/60)</f>
        <v>0</v>
      </c>
      <c r="N88" s="577"/>
      <c r="O88" s="577"/>
      <c r="P88" s="578"/>
      <c r="Q88" s="577">
        <f t="shared" ref="Q88" si="104">Q89+(S89/60)</f>
        <v>0</v>
      </c>
      <c r="R88" s="577"/>
      <c r="S88" s="577"/>
      <c r="T88" s="578"/>
      <c r="U88" s="577">
        <f t="shared" ref="U88" si="105">U89+(W89/60)</f>
        <v>0</v>
      </c>
      <c r="V88" s="577"/>
      <c r="W88" s="577"/>
      <c r="X88" s="578"/>
      <c r="Y88" s="577">
        <f t="shared" ref="Y88" si="106">Y89+(AA89/60)</f>
        <v>0</v>
      </c>
      <c r="Z88" s="577"/>
      <c r="AA88" s="577"/>
      <c r="AB88" s="578"/>
      <c r="AC88" s="577">
        <f t="shared" ref="AC88" si="107">AC89+(AE89/60)</f>
        <v>0</v>
      </c>
      <c r="AD88" s="577"/>
      <c r="AE88" s="577"/>
      <c r="AF88" s="578"/>
      <c r="AG88" s="583">
        <f>SUM(E88:AF88)</f>
        <v>0</v>
      </c>
      <c r="AH88" s="577"/>
      <c r="AI88" s="577"/>
      <c r="AJ88" s="584"/>
      <c r="AK88" s="664"/>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64"/>
      <c r="AL89" s="27"/>
      <c r="AM89" s="27"/>
      <c r="AN89" s="45"/>
      <c r="AO89" s="72"/>
      <c r="AP89" s="266"/>
      <c r="AQ89" s="353"/>
      <c r="AR89" s="353"/>
      <c r="AS89" s="353"/>
      <c r="AT89" s="353"/>
      <c r="AU89" s="266"/>
      <c r="AV89" s="267"/>
    </row>
    <row r="90" spans="2:48" ht="15.75" hidden="1" customHeight="1" x14ac:dyDescent="0.2">
      <c r="B90" s="40"/>
      <c r="C90" s="10"/>
      <c r="D90" s="124" t="s">
        <v>142</v>
      </c>
      <c r="E90" s="633">
        <f>MAX(G87,IF($V$13=$AM$13,$AF$13,HLOOKUP(H87,Rates,$AL$13,FALSE)))</f>
        <v>8.91</v>
      </c>
      <c r="F90" s="586"/>
      <c r="G90" s="586"/>
      <c r="H90" s="587"/>
      <c r="I90" s="585">
        <f>MAX(K87,IF($V$13=$AM$13,$AF$13,HLOOKUP(L87,Rates,$AL$13,FALSE)))</f>
        <v>8.91</v>
      </c>
      <c r="J90" s="586"/>
      <c r="K90" s="586"/>
      <c r="L90" s="587"/>
      <c r="M90" s="585">
        <f>MAX(O87,IF($V$13=$AM$13,$AF$13,HLOOKUP(P87,Rates,$AL$13,FALSE)))</f>
        <v>8.91</v>
      </c>
      <c r="N90" s="586"/>
      <c r="O90" s="586"/>
      <c r="P90" s="587"/>
      <c r="Q90" s="585">
        <f>MAX(S87,IF($V$13=$AM$13,$AF$13,HLOOKUP(T87,Rates,$AL$13,FALSE)))</f>
        <v>8.91</v>
      </c>
      <c r="R90" s="586"/>
      <c r="S90" s="586"/>
      <c r="T90" s="587"/>
      <c r="U90" s="585">
        <f>MAX(W87,IF($V$13=$AM$13,$AF$13,HLOOKUP(X87,Rates,$AL$13,FALSE)))</f>
        <v>8.91</v>
      </c>
      <c r="V90" s="586"/>
      <c r="W90" s="586"/>
      <c r="X90" s="587"/>
      <c r="Y90" s="585">
        <f>MAX(AA87,IF($V$13=$AM$13,$AF$13,HLOOKUP(AB87,Rates,$AL$13,FALSE)))</f>
        <v>8.91</v>
      </c>
      <c r="Z90" s="586"/>
      <c r="AA90" s="586"/>
      <c r="AB90" s="587"/>
      <c r="AC90" s="585">
        <f>MAX(AE87,IF($V$13=$AM$13,$AF$13,HLOOKUP(AF87,Rates,$AL$13,FALSE)))</f>
        <v>8.91</v>
      </c>
      <c r="AD90" s="586"/>
      <c r="AE90" s="586"/>
      <c r="AF90" s="610"/>
      <c r="AG90" s="668">
        <f>IF(AM17&lt;&gt;5,0,SUMPRODUCT(E90:AF90,E88:AF88))</f>
        <v>0</v>
      </c>
      <c r="AH90" s="669"/>
      <c r="AI90" s="669"/>
      <c r="AJ90" s="670"/>
      <c r="AK90" s="664"/>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24</v>
      </c>
      <c r="F91" s="101">
        <f>VLOOKUP(E91,Rates!$B:$C,2,1)</f>
        <v>5</v>
      </c>
      <c r="G91" s="102">
        <f>HLOOKUP(H91,Rates,F91,FALSE)</f>
        <v>8.91</v>
      </c>
      <c r="H91" s="103" t="str">
        <f>HLOOKUP(E$82,Rates!$1:$2,2,1)</f>
        <v>I</v>
      </c>
      <c r="I91" s="100">
        <f>DATEDIF($E$5,I$82,"Y")</f>
        <v>24</v>
      </c>
      <c r="J91" s="101">
        <f>VLOOKUP(I91,Rates!$B:$C,2,1)</f>
        <v>5</v>
      </c>
      <c r="K91" s="102">
        <f>HLOOKUP(L91,Rates,J91,FALSE)</f>
        <v>8.91</v>
      </c>
      <c r="L91" s="103" t="str">
        <f>HLOOKUP(I$82,Rates!$1:$2,2,1)</f>
        <v>I</v>
      </c>
      <c r="M91" s="100">
        <f>DATEDIF($E$5,M$82,"Y")</f>
        <v>24</v>
      </c>
      <c r="N91" s="101">
        <f>VLOOKUP(M91,Rates!$B:$C,2,1)</f>
        <v>5</v>
      </c>
      <c r="O91" s="102">
        <f>HLOOKUP(P91,Rates,N91,FALSE)</f>
        <v>8.91</v>
      </c>
      <c r="P91" s="103" t="str">
        <f>HLOOKUP(M$82,Rates!$1:$2,2,1)</f>
        <v>I</v>
      </c>
      <c r="Q91" s="100">
        <f>DATEDIF($E$5,Q$82,"Y")</f>
        <v>24</v>
      </c>
      <c r="R91" s="101">
        <f>VLOOKUP(Q91,Rates!$B:$C,2,1)</f>
        <v>5</v>
      </c>
      <c r="S91" s="102">
        <f>HLOOKUP(T91,Rates,R91,FALSE)</f>
        <v>8.91</v>
      </c>
      <c r="T91" s="103" t="str">
        <f>HLOOKUP(Q$82,Rates!$1:$2,2,1)</f>
        <v>I</v>
      </c>
      <c r="U91" s="100">
        <f>DATEDIF($E$5,U$82,"Y")</f>
        <v>24</v>
      </c>
      <c r="V91" s="101">
        <f>VLOOKUP(U91,Rates!$B:$C,2,1)</f>
        <v>5</v>
      </c>
      <c r="W91" s="102">
        <f>HLOOKUP(X91,Rates,V91,FALSE)</f>
        <v>8.91</v>
      </c>
      <c r="X91" s="103" t="str">
        <f>HLOOKUP(U$82,Rates!$1:$2,2,1)</f>
        <v>I</v>
      </c>
      <c r="Y91" s="100">
        <f>DATEDIF($E$5,Y$82,"Y")</f>
        <v>24</v>
      </c>
      <c r="Z91" s="101">
        <f>VLOOKUP(Y91,Rates!$B:$C,2,1)</f>
        <v>5</v>
      </c>
      <c r="AA91" s="102">
        <f>HLOOKUP(AB91,Rates,Z91,FALSE)</f>
        <v>8.91</v>
      </c>
      <c r="AB91" s="103" t="str">
        <f>HLOOKUP(Y$82,Rates!$1:$2,2,1)</f>
        <v>I</v>
      </c>
      <c r="AC91" s="100">
        <f>ROUNDDOWN(YEARFRAC($E$5,AC$82),0)</f>
        <v>24</v>
      </c>
      <c r="AD91" s="101">
        <f>VLOOKUP(AC91,Rates!$B:$C,2,1)</f>
        <v>5</v>
      </c>
      <c r="AE91" s="102">
        <f>HLOOKUP(AF91,Rates,AD91,FALSE)</f>
        <v>8.91</v>
      </c>
      <c r="AF91" s="103" t="str">
        <f>HLOOKUP(AC$82,Rates!$1:$2,2,1)</f>
        <v>I</v>
      </c>
      <c r="AG91" s="600"/>
      <c r="AH91" s="601"/>
      <c r="AI91" s="601"/>
      <c r="AJ91" s="602"/>
      <c r="AK91" s="664"/>
      <c r="AL91" s="5"/>
      <c r="AM91" s="27"/>
      <c r="AN91" s="45"/>
      <c r="AO91" s="72"/>
      <c r="AP91" s="266"/>
      <c r="AQ91" s="353"/>
      <c r="AR91" s="353"/>
      <c r="AS91" s="353"/>
      <c r="AT91" s="353"/>
      <c r="AU91" s="266"/>
      <c r="AV91" s="267"/>
    </row>
    <row r="92" spans="2:48" ht="0.75" hidden="1" customHeight="1" x14ac:dyDescent="0.2">
      <c r="B92" s="40"/>
      <c r="C92" s="10"/>
      <c r="D92" s="104" t="s">
        <v>144</v>
      </c>
      <c r="E92" s="583">
        <f>E93+(G93/60)</f>
        <v>0</v>
      </c>
      <c r="F92" s="577"/>
      <c r="G92" s="577"/>
      <c r="H92" s="578"/>
      <c r="I92" s="577">
        <f t="shared" ref="I92" si="108">I93+(K93/60)</f>
        <v>0</v>
      </c>
      <c r="J92" s="577"/>
      <c r="K92" s="577"/>
      <c r="L92" s="578"/>
      <c r="M92" s="577">
        <f t="shared" ref="M92" si="109">M93+(O93/60)</f>
        <v>0</v>
      </c>
      <c r="N92" s="577"/>
      <c r="O92" s="577"/>
      <c r="P92" s="578"/>
      <c r="Q92" s="577">
        <f t="shared" ref="Q92" si="110">Q93+(S93/60)</f>
        <v>0</v>
      </c>
      <c r="R92" s="577"/>
      <c r="S92" s="577"/>
      <c r="T92" s="578"/>
      <c r="U92" s="577">
        <f t="shared" ref="U92" si="111">U93+(W93/60)</f>
        <v>0</v>
      </c>
      <c r="V92" s="577"/>
      <c r="W92" s="577"/>
      <c r="X92" s="578"/>
      <c r="Y92" s="577">
        <f t="shared" ref="Y92" si="112">Y93+(AA93/60)</f>
        <v>0</v>
      </c>
      <c r="Z92" s="577"/>
      <c r="AA92" s="577"/>
      <c r="AB92" s="578"/>
      <c r="AC92" s="577">
        <f t="shared" ref="AC92" si="113">AC93+(AE93/60)</f>
        <v>0</v>
      </c>
      <c r="AD92" s="577"/>
      <c r="AE92" s="577"/>
      <c r="AF92" s="578"/>
      <c r="AG92" s="583">
        <f>SUM(E92:AF92)</f>
        <v>0</v>
      </c>
      <c r="AH92" s="577"/>
      <c r="AI92" s="577"/>
      <c r="AJ92" s="584"/>
      <c r="AK92" s="664"/>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64"/>
      <c r="AL93" s="27"/>
      <c r="AM93" s="27"/>
      <c r="AN93" s="45"/>
      <c r="AO93" s="72"/>
      <c r="AP93" s="266"/>
      <c r="AQ93" s="353"/>
      <c r="AR93" s="353"/>
      <c r="AS93" s="353"/>
      <c r="AT93" s="353"/>
      <c r="AU93" s="266"/>
      <c r="AV93" s="267"/>
    </row>
    <row r="94" spans="2:48" ht="15.75" hidden="1" customHeight="1" x14ac:dyDescent="0.2">
      <c r="B94" s="40"/>
      <c r="C94" s="10"/>
      <c r="D94" s="124" t="s">
        <v>146</v>
      </c>
      <c r="E94" s="633">
        <f>MAX(G91,IF($V$15=$AM$15,$AF$15,HLOOKUP(H91,Rates,$AL$15,FALSE)))</f>
        <v>8.91</v>
      </c>
      <c r="F94" s="586"/>
      <c r="G94" s="586"/>
      <c r="H94" s="587"/>
      <c r="I94" s="585">
        <f>MAX(K91,IF($V$15=$AM$15,$AF$15,HLOOKUP(L91,Rates,$AL$15,FALSE)))</f>
        <v>8.91</v>
      </c>
      <c r="J94" s="586"/>
      <c r="K94" s="586"/>
      <c r="L94" s="587"/>
      <c r="M94" s="585">
        <f>MAX(O91,IF($V$15=$AM$15,$AF$15,HLOOKUP(P91,Rates,$AL$15,FALSE)))</f>
        <v>8.91</v>
      </c>
      <c r="N94" s="586"/>
      <c r="O94" s="586"/>
      <c r="P94" s="587"/>
      <c r="Q94" s="585">
        <f>MAX(S91,IF($V$15=$AM$15,$AF$15,HLOOKUP(T91,Rates,$AL$15,FALSE)))</f>
        <v>8.91</v>
      </c>
      <c r="R94" s="586"/>
      <c r="S94" s="586"/>
      <c r="T94" s="587"/>
      <c r="U94" s="585">
        <f>MAX(W91,IF($V$15=$AM$15,$AF$15,HLOOKUP(X91,Rates,$AL$15,FALSE)))</f>
        <v>8.91</v>
      </c>
      <c r="V94" s="586"/>
      <c r="W94" s="586"/>
      <c r="X94" s="587"/>
      <c r="Y94" s="585">
        <f>MAX(AA91,IF($V$15=$AM$15,$AF$15,HLOOKUP(AB91,Rates,$AL$15,FALSE)))</f>
        <v>8.91</v>
      </c>
      <c r="Z94" s="586"/>
      <c r="AA94" s="586"/>
      <c r="AB94" s="587"/>
      <c r="AC94" s="585">
        <f>MAX(AE91,IF($V$15=$AM$15,$AF$15,HLOOKUP(AF91,Rates,$AL$15,FALSE)))</f>
        <v>8.91</v>
      </c>
      <c r="AD94" s="586"/>
      <c r="AE94" s="586"/>
      <c r="AF94" s="610"/>
      <c r="AG94" s="668">
        <f>IF(AM17&lt;&gt;5,0,SUMPRODUCT(E94:AF94,E92:AF92))</f>
        <v>0</v>
      </c>
      <c r="AH94" s="669"/>
      <c r="AI94" s="669"/>
      <c r="AJ94" s="670"/>
      <c r="AK94" s="664"/>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654">
        <f>((E85+(G85/60))*E86)+((E89+(G89/60))*E90)+((E93+(G93/60))*E94)</f>
        <v>0</v>
      </c>
      <c r="F95" s="616"/>
      <c r="G95" s="616"/>
      <c r="H95" s="617"/>
      <c r="I95" s="615">
        <f>((I85+(K85/60))*I86)+((I89+(K89/60))*I90)+((I93+(K93/60))*I94)</f>
        <v>0</v>
      </c>
      <c r="J95" s="616"/>
      <c r="K95" s="616"/>
      <c r="L95" s="617"/>
      <c r="M95" s="615">
        <f>((M85+(O85/60))*M86)+((M89+(O89/60))*M90)+((M93+(O93/60))*M94)</f>
        <v>0</v>
      </c>
      <c r="N95" s="616"/>
      <c r="O95" s="616"/>
      <c r="P95" s="617"/>
      <c r="Q95" s="615">
        <f>((Q85+(S85/60))*Q86)+((Q89+(S89/60))*Q90)+((Q93+(S93/60))*Q94)</f>
        <v>0</v>
      </c>
      <c r="R95" s="616"/>
      <c r="S95" s="616"/>
      <c r="T95" s="617"/>
      <c r="U95" s="615">
        <f>((U85+(W85/60))*U86)+((U89+(W89/60))*U90)+((U93+(W93/60))*U94)</f>
        <v>0</v>
      </c>
      <c r="V95" s="616"/>
      <c r="W95" s="616"/>
      <c r="X95" s="617"/>
      <c r="Y95" s="615">
        <f>((Y85+(AA85/60))*Y86)+((Y89+(AA89/60))*Y90)+((Y93+(AA93/60))*Y94)</f>
        <v>0</v>
      </c>
      <c r="Z95" s="616"/>
      <c r="AA95" s="616"/>
      <c r="AB95" s="617"/>
      <c r="AC95" s="615">
        <f>((AC85+(AE85/60))*AC86)+((AC89+(AE89/60))*AC90)+((AC93+(AE93/60))*AC94)</f>
        <v>0</v>
      </c>
      <c r="AD95" s="616"/>
      <c r="AE95" s="616"/>
      <c r="AF95" s="618"/>
      <c r="AG95" s="604">
        <f>AG94+AG90+AG86</f>
        <v>0</v>
      </c>
      <c r="AH95" s="605"/>
      <c r="AI95" s="605"/>
      <c r="AJ95" s="606"/>
      <c r="AK95" s="664"/>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581">
        <f>E97+(G97/60)</f>
        <v>0</v>
      </c>
      <c r="F96" s="579"/>
      <c r="G96" s="579"/>
      <c r="H96" s="580"/>
      <c r="I96" s="579">
        <f t="shared" ref="I96" si="114">I97+(K97/60)</f>
        <v>0</v>
      </c>
      <c r="J96" s="579"/>
      <c r="K96" s="579"/>
      <c r="L96" s="580"/>
      <c r="M96" s="579">
        <f t="shared" ref="M96" si="115">M97+(O97/60)</f>
        <v>0</v>
      </c>
      <c r="N96" s="579"/>
      <c r="O96" s="579"/>
      <c r="P96" s="580"/>
      <c r="Q96" s="579">
        <f t="shared" ref="Q96" si="116">Q97+(S97/60)</f>
        <v>0</v>
      </c>
      <c r="R96" s="579"/>
      <c r="S96" s="579"/>
      <c r="T96" s="580"/>
      <c r="U96" s="579">
        <f t="shared" ref="U96" si="117">U97+(W97/60)</f>
        <v>0</v>
      </c>
      <c r="V96" s="579"/>
      <c r="W96" s="579"/>
      <c r="X96" s="580"/>
      <c r="Y96" s="579">
        <f t="shared" ref="Y96" si="118">Y97+(AA97/60)</f>
        <v>0</v>
      </c>
      <c r="Z96" s="579"/>
      <c r="AA96" s="579"/>
      <c r="AB96" s="580"/>
      <c r="AC96" s="579">
        <f t="shared" ref="AC96" si="119">AC97+(AE97/60)</f>
        <v>0</v>
      </c>
      <c r="AD96" s="579"/>
      <c r="AE96" s="579"/>
      <c r="AF96" s="580"/>
      <c r="AG96" s="581">
        <f>SUM(E96:AF96)</f>
        <v>0</v>
      </c>
      <c r="AH96" s="579"/>
      <c r="AI96" s="579"/>
      <c r="AJ96" s="582"/>
      <c r="AK96" s="664"/>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64"/>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673" t="s">
        <v>86</v>
      </c>
      <c r="AQ98" s="673"/>
      <c r="AR98" s="673"/>
      <c r="AS98" s="673"/>
      <c r="AT98" s="673"/>
      <c r="AU98" s="673"/>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554" t="s">
        <v>821</v>
      </c>
      <c r="F99" s="555"/>
      <c r="G99" s="555"/>
      <c r="H99" s="555"/>
      <c r="I99" s="555"/>
      <c r="J99" s="555"/>
      <c r="K99" s="555"/>
      <c r="L99" s="555"/>
      <c r="M99" s="556"/>
      <c r="O99" s="469" t="s">
        <v>91</v>
      </c>
      <c r="P99" s="628"/>
      <c r="Q99" s="628"/>
      <c r="R99" s="629" t="s">
        <v>92</v>
      </c>
      <c r="S99" s="628"/>
      <c r="T99" s="471"/>
      <c r="U99" s="716" t="s">
        <v>93</v>
      </c>
      <c r="V99" s="716"/>
      <c r="W99" s="716"/>
      <c r="X99" s="716"/>
      <c r="Y99" s="720" t="s">
        <v>94</v>
      </c>
      <c r="Z99" s="716"/>
      <c r="AA99" s="716"/>
      <c r="AB99" s="629"/>
      <c r="AC99" s="720" t="s">
        <v>95</v>
      </c>
      <c r="AD99" s="716"/>
      <c r="AE99" s="716"/>
      <c r="AF99" s="470"/>
      <c r="AG99" s="469" t="s">
        <v>96</v>
      </c>
      <c r="AH99" s="628"/>
      <c r="AI99" s="628"/>
      <c r="AJ99" s="471"/>
      <c r="AL99" s="48" t="s">
        <v>97</v>
      </c>
      <c r="AM99" s="47" t="str">
        <f>IF((AG95+AG79+AG63+AG47+AG31)&gt;0,"TRUE","FALSE")</f>
        <v>TRUE</v>
      </c>
      <c r="AN99" s="45"/>
      <c r="AO99" s="143"/>
      <c r="AP99" s="671" t="s">
        <v>151</v>
      </c>
      <c r="AQ99" s="671"/>
      <c r="AR99" s="671"/>
      <c r="AS99" s="671"/>
      <c r="AT99" s="671"/>
      <c r="AU99" s="671"/>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656" t="s">
        <v>98</v>
      </c>
      <c r="E100" s="656"/>
      <c r="F100" s="656"/>
      <c r="G100" s="656"/>
      <c r="H100" s="656"/>
      <c r="I100" s="656"/>
      <c r="J100" s="656"/>
      <c r="K100" s="655" t="s">
        <v>99</v>
      </c>
      <c r="L100" s="655"/>
      <c r="M100" s="655"/>
      <c r="O100" s="659">
        <f>DH155</f>
        <v>4000</v>
      </c>
      <c r="P100" s="660"/>
      <c r="Q100" s="660"/>
      <c r="R100" s="661">
        <f>DI155</f>
        <v>13.6</v>
      </c>
      <c r="S100" s="662"/>
      <c r="T100" s="663"/>
      <c r="U100" s="717">
        <f>DJ155</f>
        <v>8</v>
      </c>
      <c r="V100" s="630"/>
      <c r="W100" s="630"/>
      <c r="X100" s="630"/>
      <c r="Y100" s="630">
        <f>DK155</f>
        <v>0</v>
      </c>
      <c r="Z100" s="630"/>
      <c r="AA100" s="630"/>
      <c r="AB100" s="630"/>
      <c r="AC100" s="630">
        <f>DL155</f>
        <v>0</v>
      </c>
      <c r="AD100" s="630"/>
      <c r="AE100" s="630"/>
      <c r="AF100" s="631"/>
      <c r="AG100" s="703">
        <f>DM155</f>
        <v>108.8</v>
      </c>
      <c r="AH100" s="660"/>
      <c r="AI100" s="660"/>
      <c r="AJ100" s="704"/>
      <c r="AL100" s="5">
        <f>VLOOKUP(E11,TypeFPE,2,FALSE)</f>
        <v>4000</v>
      </c>
      <c r="AM100" s="35" t="str">
        <f>IF((AG86+AG70+AG54+AG38+AG22)&gt;0,"TRUE","FALSE")</f>
        <v>TRUE</v>
      </c>
      <c r="AN100" s="45"/>
      <c r="AO100" s="144"/>
      <c r="AP100" s="672"/>
      <c r="AQ100" s="672"/>
      <c r="AR100" s="672"/>
      <c r="AS100" s="672"/>
      <c r="AT100" s="672"/>
      <c r="AU100" s="672"/>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57" t="s">
        <v>102</v>
      </c>
      <c r="E101" s="657"/>
      <c r="F101" s="657"/>
      <c r="G101" s="657"/>
      <c r="H101" s="657"/>
      <c r="I101" s="657"/>
      <c r="J101" s="657"/>
      <c r="K101" s="548">
        <f>'UniWorkforce Expenses Claim'!AF34</f>
        <v>0</v>
      </c>
      <c r="L101" s="549"/>
      <c r="M101" s="550"/>
      <c r="N101" s="258"/>
      <c r="O101" s="619" t="str">
        <f t="shared" ref="O101:O105" si="120">DH156</f>
        <v/>
      </c>
      <c r="P101" s="620"/>
      <c r="Q101" s="621"/>
      <c r="R101" s="607" t="str">
        <f t="shared" ref="R101:R105" si="121">DI156</f>
        <v/>
      </c>
      <c r="S101" s="608"/>
      <c r="T101" s="609"/>
      <c r="U101" s="718" t="str">
        <f t="shared" ref="U101:U105" si="122">DJ156</f>
        <v/>
      </c>
      <c r="V101" s="626"/>
      <c r="W101" s="626"/>
      <c r="X101" s="627"/>
      <c r="Y101" s="625" t="str">
        <f t="shared" ref="Y101:Y105" si="123">DK156</f>
        <v/>
      </c>
      <c r="Z101" s="626"/>
      <c r="AA101" s="626"/>
      <c r="AB101" s="627"/>
      <c r="AC101" s="625" t="str">
        <f t="shared" ref="AC101:AC105" si="124">DL156</f>
        <v/>
      </c>
      <c r="AD101" s="626"/>
      <c r="AE101" s="626"/>
      <c r="AF101" s="632"/>
      <c r="AG101" s="622" t="str">
        <f t="shared" ref="AG101:AG105" si="125">DM156</f>
        <v/>
      </c>
      <c r="AH101" s="623"/>
      <c r="AI101" s="623"/>
      <c r="AJ101" s="624"/>
      <c r="AL101" s="5" t="str">
        <f>VLOOKUP(E13,TypeFPE,2,FALSE)</f>
        <v>----</v>
      </c>
      <c r="AM101" s="35" t="str">
        <f>IF((AG90+AG74+AG58+AG42+AG26)&gt;0,"TRUE","FALSE")</f>
        <v>FALSE</v>
      </c>
      <c r="AN101" s="45"/>
      <c r="AO101" s="145"/>
      <c r="AP101" s="679" t="str">
        <f>IF(OR(E7="Please select",Z5=0,Z3="Please enter"),"[Pay Ref No] - [Surname] - [Claim Period].xlsx",CONCATENATE(Z5," - ",Z3," - ",VLOOKUP(E7,ClaimPeriods,5,FALSE),".xlsx"))</f>
        <v>2915413 - Giamouridis - Feb22.xlsx</v>
      </c>
      <c r="AQ101" s="680"/>
      <c r="AR101" s="680"/>
      <c r="AS101" s="680"/>
      <c r="AT101" s="680"/>
      <c r="AU101" s="681"/>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57" t="s">
        <v>103</v>
      </c>
      <c r="E102" s="657"/>
      <c r="F102" s="657"/>
      <c r="G102" s="657"/>
      <c r="H102" s="657"/>
      <c r="I102" s="657"/>
      <c r="J102" s="657"/>
      <c r="K102" s="551">
        <f>'UniWorkforce Expenses Claim'!AF36</f>
        <v>0</v>
      </c>
      <c r="L102" s="552"/>
      <c r="M102" s="553"/>
      <c r="N102" s="64"/>
      <c r="O102" s="619" t="str">
        <f t="shared" si="120"/>
        <v/>
      </c>
      <c r="P102" s="620"/>
      <c r="Q102" s="621"/>
      <c r="R102" s="607" t="str">
        <f t="shared" si="121"/>
        <v/>
      </c>
      <c r="S102" s="608"/>
      <c r="T102" s="609"/>
      <c r="U102" s="718" t="str">
        <f t="shared" si="122"/>
        <v/>
      </c>
      <c r="V102" s="626"/>
      <c r="W102" s="626"/>
      <c r="X102" s="627"/>
      <c r="Y102" s="625" t="str">
        <f t="shared" si="123"/>
        <v/>
      </c>
      <c r="Z102" s="626"/>
      <c r="AA102" s="626"/>
      <c r="AB102" s="627"/>
      <c r="AC102" s="625" t="str">
        <f t="shared" si="124"/>
        <v/>
      </c>
      <c r="AD102" s="626"/>
      <c r="AE102" s="626"/>
      <c r="AF102" s="632"/>
      <c r="AG102" s="622" t="str">
        <f t="shared" si="125"/>
        <v/>
      </c>
      <c r="AH102" s="623"/>
      <c r="AI102" s="623"/>
      <c r="AJ102" s="624"/>
      <c r="AL102" s="5" t="str">
        <f>VLOOKUP(E15,TypeFPE,2,FALSE)</f>
        <v>----</v>
      </c>
      <c r="AM102" s="35" t="str">
        <f>IF((AG94+AG78+AG62+AG46+AG30)&gt;0,"TRUE","FALSE")</f>
        <v>FALSE</v>
      </c>
      <c r="AN102" s="45"/>
      <c r="AO102" s="143"/>
      <c r="AP102" s="682" t="s">
        <v>152</v>
      </c>
      <c r="AQ102" s="682"/>
      <c r="AR102" s="682"/>
      <c r="AS102" s="682"/>
      <c r="AT102" s="682"/>
      <c r="AU102" s="682"/>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686" t="s">
        <v>104</v>
      </c>
      <c r="E103" s="686"/>
      <c r="F103" s="686"/>
      <c r="G103" s="686"/>
      <c r="H103" s="686"/>
      <c r="I103" s="686"/>
      <c r="J103" s="686"/>
      <c r="K103" s="686"/>
      <c r="L103" s="686"/>
      <c r="M103" s="686"/>
      <c r="N103" s="259"/>
      <c r="O103" s="619" t="str">
        <f t="shared" si="120"/>
        <v/>
      </c>
      <c r="P103" s="620"/>
      <c r="Q103" s="621"/>
      <c r="R103" s="607" t="str">
        <f t="shared" si="121"/>
        <v/>
      </c>
      <c r="S103" s="608"/>
      <c r="T103" s="609"/>
      <c r="U103" s="718" t="str">
        <f t="shared" si="122"/>
        <v/>
      </c>
      <c r="V103" s="626"/>
      <c r="W103" s="626"/>
      <c r="X103" s="627"/>
      <c r="Y103" s="625" t="str">
        <f t="shared" si="123"/>
        <v/>
      </c>
      <c r="Z103" s="626"/>
      <c r="AA103" s="626"/>
      <c r="AB103" s="627"/>
      <c r="AC103" s="625" t="str">
        <f t="shared" si="124"/>
        <v/>
      </c>
      <c r="AD103" s="626"/>
      <c r="AE103" s="626"/>
      <c r="AF103" s="632"/>
      <c r="AG103" s="622" t="str">
        <f t="shared" si="125"/>
        <v/>
      </c>
      <c r="AH103" s="623"/>
      <c r="AI103" s="623"/>
      <c r="AJ103" s="624"/>
      <c r="AN103" s="45"/>
      <c r="AO103" s="146"/>
      <c r="AP103" s="682"/>
      <c r="AQ103" s="682"/>
      <c r="AR103" s="682"/>
      <c r="AS103" s="682"/>
      <c r="AT103" s="682"/>
      <c r="AU103" s="682"/>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449"/>
      <c r="E104" s="449"/>
      <c r="F104" s="449"/>
      <c r="G104" s="449"/>
      <c r="H104" s="449"/>
      <c r="I104" s="449"/>
      <c r="J104" s="449"/>
      <c r="K104" s="449"/>
      <c r="L104" s="449"/>
      <c r="M104" s="449"/>
      <c r="N104" s="259"/>
      <c r="O104" s="619" t="str">
        <f t="shared" si="120"/>
        <v/>
      </c>
      <c r="P104" s="620"/>
      <c r="Q104" s="621"/>
      <c r="R104" s="607" t="str">
        <f t="shared" si="121"/>
        <v/>
      </c>
      <c r="S104" s="608"/>
      <c r="T104" s="609"/>
      <c r="U104" s="718" t="str">
        <f t="shared" si="122"/>
        <v/>
      </c>
      <c r="V104" s="626"/>
      <c r="W104" s="626"/>
      <c r="X104" s="627"/>
      <c r="Y104" s="625" t="str">
        <f t="shared" si="123"/>
        <v/>
      </c>
      <c r="Z104" s="626"/>
      <c r="AA104" s="626"/>
      <c r="AB104" s="627"/>
      <c r="AC104" s="625" t="str">
        <f t="shared" si="124"/>
        <v/>
      </c>
      <c r="AD104" s="626"/>
      <c r="AE104" s="626"/>
      <c r="AF104" s="632"/>
      <c r="AG104" s="622" t="str">
        <f t="shared" si="125"/>
        <v/>
      </c>
      <c r="AH104" s="623"/>
      <c r="AI104" s="623"/>
      <c r="AJ104" s="624"/>
      <c r="AL104" s="48"/>
      <c r="AM104" s="47"/>
      <c r="AN104" s="45"/>
      <c r="AO104" s="72"/>
      <c r="AP104" s="682"/>
      <c r="AQ104" s="682"/>
      <c r="AR104" s="682"/>
      <c r="AS104" s="682"/>
      <c r="AT104" s="682"/>
      <c r="AU104" s="682"/>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569">
        <v>1</v>
      </c>
      <c r="F105" s="570"/>
      <c r="G105" s="570"/>
      <c r="H105" s="260" t="s">
        <v>17</v>
      </c>
      <c r="I105" s="707">
        <v>9</v>
      </c>
      <c r="J105" s="708"/>
      <c r="K105" s="708"/>
      <c r="L105" s="708"/>
      <c r="M105" s="709"/>
      <c r="N105" s="150"/>
      <c r="O105" s="749" t="str">
        <f t="shared" si="120"/>
        <v/>
      </c>
      <c r="P105" s="750"/>
      <c r="Q105" s="751"/>
      <c r="R105" s="710" t="str">
        <f t="shared" si="121"/>
        <v/>
      </c>
      <c r="S105" s="711"/>
      <c r="T105" s="712"/>
      <c r="U105" s="719" t="str">
        <f t="shared" si="122"/>
        <v/>
      </c>
      <c r="V105" s="676"/>
      <c r="W105" s="676"/>
      <c r="X105" s="677"/>
      <c r="Y105" s="675" t="str">
        <f t="shared" si="123"/>
        <v/>
      </c>
      <c r="Z105" s="676"/>
      <c r="AA105" s="676"/>
      <c r="AB105" s="677"/>
      <c r="AC105" s="675" t="str">
        <f t="shared" si="124"/>
        <v/>
      </c>
      <c r="AD105" s="676"/>
      <c r="AE105" s="676"/>
      <c r="AF105" s="678"/>
      <c r="AG105" s="713" t="str">
        <f t="shared" si="125"/>
        <v/>
      </c>
      <c r="AH105" s="714"/>
      <c r="AI105" s="714"/>
      <c r="AJ105" s="715"/>
      <c r="AL105" s="48"/>
      <c r="AM105" s="47"/>
      <c r="AN105" s="45"/>
      <c r="AO105" s="72"/>
      <c r="AP105" s="682"/>
      <c r="AQ105" s="682"/>
      <c r="AR105" s="682"/>
      <c r="AS105" s="682"/>
      <c r="AT105" s="682"/>
      <c r="AU105" s="682"/>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569">
        <v>0</v>
      </c>
      <c r="F106" s="570"/>
      <c r="G106" s="706"/>
      <c r="H106" s="31" t="s">
        <v>17</v>
      </c>
      <c r="I106" s="707">
        <v>0</v>
      </c>
      <c r="J106" s="708"/>
      <c r="K106" s="708"/>
      <c r="L106" s="708"/>
      <c r="M106" s="709"/>
      <c r="N106" s="259"/>
      <c r="O106" s="724" t="s">
        <v>153</v>
      </c>
      <c r="P106" s="725"/>
      <c r="Q106" s="725"/>
      <c r="R106" s="725"/>
      <c r="S106" s="725"/>
      <c r="T106" s="726"/>
      <c r="U106" s="727">
        <f>DJ144</f>
        <v>0</v>
      </c>
      <c r="V106" s="727"/>
      <c r="W106" s="727"/>
      <c r="X106" s="728"/>
      <c r="Y106" s="729">
        <f>DK144</f>
        <v>0</v>
      </c>
      <c r="Z106" s="727"/>
      <c r="AA106" s="727"/>
      <c r="AB106" s="728"/>
      <c r="AC106" s="729">
        <f>DL144</f>
        <v>0</v>
      </c>
      <c r="AD106" s="727"/>
      <c r="AE106" s="727"/>
      <c r="AF106" s="730"/>
      <c r="AG106" s="731">
        <f>DM144</f>
        <v>0</v>
      </c>
      <c r="AH106" s="732"/>
      <c r="AI106" s="732"/>
      <c r="AJ106" s="733"/>
      <c r="AL106" s="48"/>
      <c r="AM106" s="47"/>
      <c r="AN106" s="45"/>
      <c r="AO106" s="144"/>
      <c r="AP106" s="682"/>
      <c r="AQ106" s="682"/>
      <c r="AR106" s="682"/>
      <c r="AS106" s="682"/>
      <c r="AT106" s="682"/>
      <c r="AU106" s="682"/>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569">
        <v>0</v>
      </c>
      <c r="F107" s="570"/>
      <c r="G107" s="706"/>
      <c r="H107" s="31" t="s">
        <v>17</v>
      </c>
      <c r="I107" s="707">
        <v>0</v>
      </c>
      <c r="J107" s="708"/>
      <c r="K107" s="708"/>
      <c r="L107" s="708"/>
      <c r="M107" s="709"/>
      <c r="N107" s="150"/>
      <c r="O107" s="734" t="s">
        <v>154</v>
      </c>
      <c r="P107" s="735"/>
      <c r="Q107" s="735"/>
      <c r="R107" s="735"/>
      <c r="S107" s="735"/>
      <c r="T107" s="736"/>
      <c r="U107" s="737">
        <f>DJ145</f>
        <v>0</v>
      </c>
      <c r="V107" s="738"/>
      <c r="W107" s="738"/>
      <c r="X107" s="739"/>
      <c r="Y107" s="740">
        <f>DK145</f>
        <v>0</v>
      </c>
      <c r="Z107" s="738"/>
      <c r="AA107" s="738"/>
      <c r="AB107" s="739"/>
      <c r="AC107" s="740">
        <f>DL145</f>
        <v>0</v>
      </c>
      <c r="AD107" s="738"/>
      <c r="AE107" s="738"/>
      <c r="AF107" s="741"/>
      <c r="AG107" s="737">
        <f>DM145</f>
        <v>0</v>
      </c>
      <c r="AH107" s="738"/>
      <c r="AI107" s="738"/>
      <c r="AJ107" s="741"/>
      <c r="AL107" s="48"/>
      <c r="AM107" s="47"/>
      <c r="AN107" s="45"/>
      <c r="AO107" s="144"/>
      <c r="AP107" s="682"/>
      <c r="AQ107" s="682"/>
      <c r="AR107" s="682"/>
      <c r="AS107" s="682"/>
      <c r="AT107" s="682"/>
      <c r="AU107" s="682"/>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742" t="s">
        <v>105</v>
      </c>
      <c r="P108" s="743"/>
      <c r="Q108" s="743"/>
      <c r="R108" s="743"/>
      <c r="S108" s="743"/>
      <c r="T108" s="744"/>
      <c r="U108" s="745">
        <f>DJ146</f>
        <v>18.615680000000001</v>
      </c>
      <c r="V108" s="745"/>
      <c r="W108" s="745"/>
      <c r="X108" s="746"/>
      <c r="Y108" s="747">
        <f>DK146</f>
        <v>0</v>
      </c>
      <c r="Z108" s="745"/>
      <c r="AA108" s="745"/>
      <c r="AB108" s="746"/>
      <c r="AC108" s="747">
        <f>DL146</f>
        <v>0</v>
      </c>
      <c r="AD108" s="745"/>
      <c r="AE108" s="745"/>
      <c r="AF108" s="748"/>
      <c r="AG108" s="665">
        <f>DM146</f>
        <v>18.615680000000001</v>
      </c>
      <c r="AH108" s="666"/>
      <c r="AI108" s="666"/>
      <c r="AJ108" s="667"/>
      <c r="AL108" s="5">
        <v>4022</v>
      </c>
      <c r="AM108" s="35">
        <f>AL94+AL90+AL86+AL78+AL74+AL70+AL62+AL58+AL54+AL46+AL42+AL38+AL30+AL26+AL22</f>
        <v>18.615680000000001</v>
      </c>
      <c r="AN108" s="45"/>
      <c r="AO108" s="144"/>
      <c r="AP108" s="682"/>
      <c r="AQ108" s="682"/>
      <c r="AR108" s="682"/>
      <c r="AS108" s="682"/>
      <c r="AT108" s="682"/>
      <c r="AU108" s="682"/>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721" t="s">
        <v>107</v>
      </c>
      <c r="Y109" s="722"/>
      <c r="Z109" s="722"/>
      <c r="AA109" s="722"/>
      <c r="AB109" s="722"/>
      <c r="AC109" s="722"/>
      <c r="AD109" s="722"/>
      <c r="AE109" s="722"/>
      <c r="AF109" s="723"/>
      <c r="AG109" s="683">
        <f>SUM(AG100:AJ108)</f>
        <v>127.41567999999999</v>
      </c>
      <c r="AH109" s="684"/>
      <c r="AI109" s="684"/>
      <c r="AJ109" s="684"/>
      <c r="AL109" s="48"/>
      <c r="AM109" s="47"/>
      <c r="AN109" s="45"/>
      <c r="AO109" s="144"/>
      <c r="AP109" s="682"/>
      <c r="AQ109" s="682"/>
      <c r="AR109" s="682"/>
      <c r="AS109" s="682"/>
      <c r="AT109" s="682"/>
      <c r="AU109" s="682"/>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682"/>
      <c r="AQ110" s="682"/>
      <c r="AR110" s="682"/>
      <c r="AS110" s="682"/>
      <c r="AT110" s="682"/>
      <c r="AU110" s="682"/>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155</v>
      </c>
      <c r="E111" s="560" t="s">
        <v>59</v>
      </c>
      <c r="F111" s="561"/>
      <c r="G111" s="561"/>
      <c r="H111" s="561"/>
      <c r="I111" s="561"/>
      <c r="J111" s="561"/>
      <c r="K111" s="561"/>
      <c r="L111" s="561"/>
      <c r="M111" s="562"/>
      <c r="N111" s="150"/>
      <c r="O111" s="475" t="s">
        <v>110</v>
      </c>
      <c r="P111" s="475"/>
      <c r="Q111" s="475"/>
      <c r="R111" s="475"/>
      <c r="S111" s="475"/>
      <c r="T111" s="475"/>
      <c r="U111" s="475"/>
      <c r="V111" s="475"/>
      <c r="W111" s="475"/>
      <c r="X111" s="475"/>
      <c r="Y111" s="685"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685"/>
      <c r="AA111" s="685"/>
      <c r="AB111" s="685"/>
      <c r="AC111" s="685"/>
      <c r="AD111" s="685"/>
      <c r="AE111" s="685"/>
      <c r="AF111" s="685"/>
      <c r="AG111" s="685"/>
      <c r="AH111" s="685"/>
      <c r="AI111" s="685"/>
      <c r="AJ111" s="685"/>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508" t="s">
        <v>112</v>
      </c>
      <c r="C113" s="509"/>
      <c r="D113" s="509"/>
      <c r="E113" s="509"/>
      <c r="F113" s="509"/>
      <c r="G113" s="509"/>
      <c r="H113" s="509"/>
      <c r="I113" s="509"/>
      <c r="J113" s="509"/>
      <c r="K113" s="509"/>
      <c r="L113" s="509"/>
      <c r="M113" s="509"/>
      <c r="N113" s="509"/>
      <c r="O113" s="509"/>
      <c r="P113" s="509"/>
      <c r="Q113" s="509"/>
      <c r="R113" s="509"/>
      <c r="S113" s="509"/>
      <c r="T113" s="509"/>
      <c r="U113" s="509"/>
      <c r="V113" s="509"/>
      <c r="W113" s="509"/>
      <c r="X113" s="509"/>
      <c r="Y113" s="509"/>
      <c r="Z113" s="509"/>
      <c r="AA113" s="509"/>
      <c r="AB113" s="509"/>
      <c r="AC113" s="509"/>
      <c r="AD113" s="509"/>
      <c r="AE113" s="509"/>
      <c r="AF113" s="509"/>
      <c r="AG113" s="509"/>
      <c r="AH113" s="509"/>
      <c r="AI113" s="509"/>
      <c r="AJ113" s="509"/>
      <c r="AK113" s="509"/>
      <c r="AL113" s="509"/>
      <c r="AM113" s="509"/>
      <c r="AN113" s="509"/>
      <c r="AO113" s="509"/>
      <c r="AP113" s="509"/>
      <c r="AQ113" s="509"/>
      <c r="AR113" s="509"/>
      <c r="AS113" s="509"/>
      <c r="AT113" s="509"/>
      <c r="AU113" s="509"/>
      <c r="AV113" s="510"/>
    </row>
    <row r="114" spans="2:79" ht="15" customHeight="1" x14ac:dyDescent="0.2">
      <c r="B114" s="511" t="s">
        <v>156</v>
      </c>
      <c r="C114" s="512"/>
      <c r="D114" s="512"/>
      <c r="E114" s="512"/>
      <c r="F114" s="512"/>
      <c r="G114" s="512"/>
      <c r="H114" s="512"/>
      <c r="I114" s="512"/>
      <c r="J114" s="512"/>
      <c r="K114" s="512"/>
      <c r="L114" s="512"/>
      <c r="M114" s="512"/>
      <c r="N114" s="512"/>
      <c r="O114" s="512"/>
      <c r="P114" s="512"/>
      <c r="Q114" s="512"/>
      <c r="R114" s="512"/>
      <c r="S114" s="512"/>
      <c r="T114" s="512"/>
      <c r="U114" s="512"/>
      <c r="V114" s="512"/>
      <c r="W114" s="512"/>
      <c r="X114" s="512"/>
      <c r="Y114" s="512"/>
      <c r="Z114" s="512"/>
      <c r="AA114" s="512"/>
      <c r="AB114" s="512"/>
      <c r="AC114" s="512"/>
      <c r="AD114" s="512"/>
      <c r="AE114" s="512"/>
      <c r="AF114" s="512"/>
      <c r="AG114" s="512"/>
      <c r="AH114" s="512"/>
      <c r="AI114" s="512"/>
      <c r="AJ114" s="512"/>
      <c r="AK114" s="512"/>
      <c r="AL114" s="512"/>
      <c r="AM114" s="512"/>
      <c r="AN114" s="512"/>
      <c r="AO114" s="512"/>
      <c r="AP114" s="512"/>
      <c r="AQ114" s="512"/>
      <c r="AR114" s="512"/>
      <c r="AS114" s="512"/>
      <c r="AT114" s="512"/>
      <c r="AU114" s="512"/>
      <c r="AV114" s="513"/>
    </row>
    <row r="115" spans="2:79" x14ac:dyDescent="0.2">
      <c r="B115" s="514"/>
      <c r="C115" s="514"/>
      <c r="D115" s="514"/>
      <c r="E115" s="514"/>
      <c r="F115" s="514"/>
      <c r="G115" s="514"/>
      <c r="H115" s="514"/>
      <c r="I115" s="514"/>
      <c r="J115" s="514"/>
      <c r="K115" s="514"/>
      <c r="L115" s="514"/>
      <c r="M115" s="514"/>
      <c r="N115" s="514"/>
      <c r="O115" s="514"/>
      <c r="P115" s="514"/>
      <c r="Q115" s="514"/>
      <c r="R115" s="514"/>
      <c r="S115" s="514"/>
      <c r="T115" s="514"/>
      <c r="U115" s="514"/>
      <c r="V115" s="514"/>
      <c r="W115" s="514"/>
      <c r="X115" s="514"/>
      <c r="Y115" s="514"/>
      <c r="Z115" s="514"/>
      <c r="AA115" s="514"/>
      <c r="AB115" s="514"/>
      <c r="AC115" s="514"/>
      <c r="AD115" s="514"/>
      <c r="AE115" s="514"/>
      <c r="AF115" s="514"/>
      <c r="AG115" s="514"/>
      <c r="AH115" s="514"/>
      <c r="AI115" s="514"/>
      <c r="AJ115" s="514"/>
      <c r="AK115" s="514"/>
      <c r="AL115" s="514"/>
      <c r="AM115" s="514"/>
      <c r="AN115" s="514"/>
    </row>
    <row r="117" spans="2:79" hidden="1"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hidden="1"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hidden="1" x14ac:dyDescent="0.2">
      <c r="AX119" s="198" t="s">
        <v>157</v>
      </c>
      <c r="AY119" s="198" t="s">
        <v>92</v>
      </c>
      <c r="AZ119" s="198" t="s">
        <v>158</v>
      </c>
      <c r="BA119" s="198" t="s">
        <v>159</v>
      </c>
      <c r="BB119" s="198" t="s">
        <v>92</v>
      </c>
      <c r="BD119" s="207" t="s">
        <v>157</v>
      </c>
      <c r="BE119" s="207" t="s">
        <v>92</v>
      </c>
      <c r="BF119" s="207" t="s">
        <v>158</v>
      </c>
      <c r="BG119" s="207" t="s">
        <v>159</v>
      </c>
      <c r="BH119" s="207" t="s">
        <v>92</v>
      </c>
      <c r="BJ119" s="216" t="s">
        <v>157</v>
      </c>
      <c r="BK119" s="216" t="s">
        <v>92</v>
      </c>
      <c r="BL119" s="216" t="s">
        <v>158</v>
      </c>
      <c r="BM119" s="216" t="s">
        <v>159</v>
      </c>
      <c r="BN119" s="216" t="s">
        <v>92</v>
      </c>
      <c r="BP119" s="225" t="s">
        <v>157</v>
      </c>
      <c r="BQ119" s="225" t="s">
        <v>92</v>
      </c>
      <c r="BR119" s="225" t="s">
        <v>158</v>
      </c>
      <c r="BS119" s="225" t="s">
        <v>159</v>
      </c>
      <c r="BT119" s="225" t="s">
        <v>92</v>
      </c>
      <c r="BV119" s="234" t="s">
        <v>157</v>
      </c>
      <c r="BW119" s="234" t="s">
        <v>92</v>
      </c>
      <c r="BX119" s="234" t="s">
        <v>158</v>
      </c>
      <c r="BY119" s="234" t="s">
        <v>159</v>
      </c>
      <c r="BZ119" s="234" t="s">
        <v>92</v>
      </c>
      <c r="CA119" s="234" t="s">
        <v>160</v>
      </c>
    </row>
    <row r="120" spans="2:79" hidden="1" x14ac:dyDescent="0.2">
      <c r="AX120" s="199">
        <v>1</v>
      </c>
      <c r="AY120" s="199">
        <v>1</v>
      </c>
      <c r="AZ120" s="199">
        <v>1</v>
      </c>
      <c r="BA120" s="195">
        <f>$E20</f>
        <v>0</v>
      </c>
      <c r="BB120" s="197">
        <f>$E22</f>
        <v>13.6</v>
      </c>
      <c r="BD120" s="208">
        <v>2</v>
      </c>
      <c r="BE120" s="208">
        <v>1</v>
      </c>
      <c r="BF120" s="208">
        <v>1</v>
      </c>
      <c r="BG120" s="204">
        <f>$E36</f>
        <v>1</v>
      </c>
      <c r="BH120" s="206">
        <f>$E38</f>
        <v>13.6</v>
      </c>
      <c r="BJ120" s="217">
        <v>3</v>
      </c>
      <c r="BK120" s="217">
        <v>1</v>
      </c>
      <c r="BL120" s="217">
        <v>1</v>
      </c>
      <c r="BM120" s="213">
        <f>$E52</f>
        <v>1</v>
      </c>
      <c r="BN120" s="215">
        <f>$E54</f>
        <v>13.6</v>
      </c>
      <c r="BP120" s="226">
        <v>4</v>
      </c>
      <c r="BQ120" s="226">
        <v>1</v>
      </c>
      <c r="BR120" s="226">
        <v>1</v>
      </c>
      <c r="BS120" s="222">
        <f>$E68</f>
        <v>1</v>
      </c>
      <c r="BT120" s="224">
        <f>$E70</f>
        <v>13.6</v>
      </c>
      <c r="BV120" s="235">
        <v>5</v>
      </c>
      <c r="BW120" s="235">
        <v>1</v>
      </c>
      <c r="BX120" s="235">
        <v>1</v>
      </c>
      <c r="BY120" s="231">
        <f>IF(AM17&lt;&gt;5,0,$E84)</f>
        <v>0</v>
      </c>
      <c r="BZ120" s="233">
        <f>IF(AM17&lt;&gt;5,0,$E86)</f>
        <v>0</v>
      </c>
      <c r="CA120" s="233">
        <f>$E86</f>
        <v>13.6</v>
      </c>
    </row>
    <row r="121" spans="2:79" hidden="1" x14ac:dyDescent="0.2">
      <c r="AX121" s="199">
        <v>1</v>
      </c>
      <c r="AY121" s="199">
        <v>1</v>
      </c>
      <c r="AZ121" s="199">
        <v>2</v>
      </c>
      <c r="BA121" s="195">
        <f>$I20</f>
        <v>0</v>
      </c>
      <c r="BB121" s="197">
        <f>$I22</f>
        <v>13.6</v>
      </c>
      <c r="BD121" s="208">
        <v>2</v>
      </c>
      <c r="BE121" s="208">
        <v>1</v>
      </c>
      <c r="BF121" s="208">
        <v>2</v>
      </c>
      <c r="BG121" s="204">
        <f>$I36</f>
        <v>1</v>
      </c>
      <c r="BH121" s="206">
        <f>$I38</f>
        <v>13.6</v>
      </c>
      <c r="BJ121" s="217">
        <v>3</v>
      </c>
      <c r="BK121" s="217">
        <v>1</v>
      </c>
      <c r="BL121" s="217">
        <v>2</v>
      </c>
      <c r="BM121" s="213">
        <f>$I52</f>
        <v>1</v>
      </c>
      <c r="BN121" s="215">
        <f>$I54</f>
        <v>13.6</v>
      </c>
      <c r="BP121" s="226">
        <v>4</v>
      </c>
      <c r="BQ121" s="226">
        <v>1</v>
      </c>
      <c r="BR121" s="226">
        <v>2</v>
      </c>
      <c r="BS121" s="222">
        <f>$I68</f>
        <v>0</v>
      </c>
      <c r="BT121" s="224">
        <f>$I70</f>
        <v>13.6</v>
      </c>
      <c r="BV121" s="235">
        <v>5</v>
      </c>
      <c r="BW121" s="235">
        <v>1</v>
      </c>
      <c r="BX121" s="235">
        <v>2</v>
      </c>
      <c r="BY121" s="231">
        <f>IF(AM17&lt;&gt;5,0,$I84)</f>
        <v>0</v>
      </c>
      <c r="BZ121" s="233">
        <f>IF(AM17&lt;&gt;5,0,$I86)</f>
        <v>0</v>
      </c>
      <c r="CA121" s="233">
        <f>$I86</f>
        <v>13.6</v>
      </c>
    </row>
    <row r="122" spans="2:79" hidden="1" x14ac:dyDescent="0.2">
      <c r="AX122" s="199">
        <v>1</v>
      </c>
      <c r="AY122" s="199">
        <v>1</v>
      </c>
      <c r="AZ122" s="199">
        <v>3</v>
      </c>
      <c r="BA122" s="195">
        <f>$M20</f>
        <v>0</v>
      </c>
      <c r="BB122" s="197">
        <f>$M22</f>
        <v>13.6</v>
      </c>
      <c r="BD122" s="208">
        <v>2</v>
      </c>
      <c r="BE122" s="208">
        <v>1</v>
      </c>
      <c r="BF122" s="208">
        <v>3</v>
      </c>
      <c r="BG122" s="204">
        <f>$M36</f>
        <v>1</v>
      </c>
      <c r="BH122" s="206">
        <f>$M38</f>
        <v>13.6</v>
      </c>
      <c r="BJ122" s="217">
        <v>3</v>
      </c>
      <c r="BK122" s="217">
        <v>1</v>
      </c>
      <c r="BL122" s="217">
        <v>3</v>
      </c>
      <c r="BM122" s="213">
        <f>$M52</f>
        <v>1</v>
      </c>
      <c r="BN122" s="215">
        <f>$M54</f>
        <v>13.6</v>
      </c>
      <c r="BP122" s="226">
        <v>4</v>
      </c>
      <c r="BQ122" s="226">
        <v>1</v>
      </c>
      <c r="BR122" s="226">
        <v>3</v>
      </c>
      <c r="BS122" s="222">
        <f>$M68</f>
        <v>1</v>
      </c>
      <c r="BT122" s="224">
        <f>$M70</f>
        <v>13.6</v>
      </c>
      <c r="BV122" s="235">
        <v>5</v>
      </c>
      <c r="BW122" s="235">
        <v>1</v>
      </c>
      <c r="BX122" s="235">
        <v>3</v>
      </c>
      <c r="BY122" s="231">
        <f>IF(AM17&lt;&gt;5,0,$M84)</f>
        <v>0</v>
      </c>
      <c r="BZ122" s="233">
        <f>IF(AM17&lt;&gt;5,0,$M86)</f>
        <v>0</v>
      </c>
      <c r="CA122" s="233">
        <f>$M86</f>
        <v>13.6</v>
      </c>
    </row>
    <row r="123" spans="2:79" hidden="1" x14ac:dyDescent="0.2">
      <c r="AX123" s="199">
        <v>1</v>
      </c>
      <c r="AY123" s="199">
        <v>1</v>
      </c>
      <c r="AZ123" s="199">
        <v>4</v>
      </c>
      <c r="BA123" s="195">
        <f>$Q20</f>
        <v>0</v>
      </c>
      <c r="BB123" s="197">
        <f>$Q22</f>
        <v>13.6</v>
      </c>
      <c r="BD123" s="208">
        <v>2</v>
      </c>
      <c r="BE123" s="208">
        <v>1</v>
      </c>
      <c r="BF123" s="208">
        <v>4</v>
      </c>
      <c r="BG123" s="204">
        <f>$Q36</f>
        <v>0</v>
      </c>
      <c r="BH123" s="206">
        <f>$Q38</f>
        <v>13.6</v>
      </c>
      <c r="BJ123" s="217">
        <v>3</v>
      </c>
      <c r="BK123" s="217">
        <v>1</v>
      </c>
      <c r="BL123" s="217">
        <v>4</v>
      </c>
      <c r="BM123" s="213">
        <f>$Q52</f>
        <v>0</v>
      </c>
      <c r="BN123" s="215">
        <f>$Q54</f>
        <v>13.6</v>
      </c>
      <c r="BP123" s="226">
        <v>4</v>
      </c>
      <c r="BQ123" s="226">
        <v>1</v>
      </c>
      <c r="BR123" s="226">
        <v>4</v>
      </c>
      <c r="BS123" s="222">
        <f>$Q68</f>
        <v>0</v>
      </c>
      <c r="BT123" s="224">
        <f>$Q70</f>
        <v>13.6</v>
      </c>
      <c r="BV123" s="235">
        <v>5</v>
      </c>
      <c r="BW123" s="235">
        <v>1</v>
      </c>
      <c r="BX123" s="235">
        <v>4</v>
      </c>
      <c r="BY123" s="231">
        <f>IF(AM17&lt;&gt;5,0,$Q84)</f>
        <v>0</v>
      </c>
      <c r="BZ123" s="233">
        <f>IF(AM17&lt;&gt;5,0,$Q86)</f>
        <v>0</v>
      </c>
      <c r="CA123" s="233">
        <f>$Q86</f>
        <v>13.6</v>
      </c>
    </row>
    <row r="124" spans="2:79" hidden="1" x14ac:dyDescent="0.2">
      <c r="AX124" s="199">
        <v>1</v>
      </c>
      <c r="AY124" s="199">
        <v>1</v>
      </c>
      <c r="AZ124" s="199">
        <v>5</v>
      </c>
      <c r="BA124" s="195">
        <f>$U20</f>
        <v>0</v>
      </c>
      <c r="BB124" s="197">
        <f>$U22</f>
        <v>13.6</v>
      </c>
      <c r="BD124" s="208">
        <v>2</v>
      </c>
      <c r="BE124" s="208">
        <v>1</v>
      </c>
      <c r="BF124" s="208">
        <v>5</v>
      </c>
      <c r="BG124" s="204">
        <f>$U36</f>
        <v>0</v>
      </c>
      <c r="BH124" s="206">
        <f>$U38</f>
        <v>13.6</v>
      </c>
      <c r="BJ124" s="217">
        <v>3</v>
      </c>
      <c r="BK124" s="217">
        <v>1</v>
      </c>
      <c r="BL124" s="217">
        <v>5</v>
      </c>
      <c r="BM124" s="213">
        <f>$U52</f>
        <v>0</v>
      </c>
      <c r="BN124" s="215">
        <f>$U54</f>
        <v>13.6</v>
      </c>
      <c r="BP124" s="226">
        <v>4</v>
      </c>
      <c r="BQ124" s="226">
        <v>1</v>
      </c>
      <c r="BR124" s="226">
        <v>5</v>
      </c>
      <c r="BS124" s="222">
        <f>$U68</f>
        <v>0</v>
      </c>
      <c r="BT124" s="224">
        <f>$U70</f>
        <v>13.6</v>
      </c>
      <c r="BV124" s="235">
        <v>5</v>
      </c>
      <c r="BW124" s="235">
        <v>1</v>
      </c>
      <c r="BX124" s="235">
        <v>5</v>
      </c>
      <c r="BY124" s="231">
        <f>IF(AM17&lt;&gt;5,0,$U84)</f>
        <v>0</v>
      </c>
      <c r="BZ124" s="233">
        <f>IF(AM17&lt;&gt;5,0,$U86)</f>
        <v>0</v>
      </c>
      <c r="CA124" s="233">
        <f>$U86</f>
        <v>13.6</v>
      </c>
    </row>
    <row r="125" spans="2:79" hidden="1" x14ac:dyDescent="0.2">
      <c r="AX125" s="199">
        <v>1</v>
      </c>
      <c r="AY125" s="199">
        <v>1</v>
      </c>
      <c r="AZ125" s="199">
        <v>6</v>
      </c>
      <c r="BA125" s="195">
        <f>$Y20</f>
        <v>0</v>
      </c>
      <c r="BB125" s="197">
        <f>$Y22</f>
        <v>13.6</v>
      </c>
      <c r="BD125" s="208">
        <v>2</v>
      </c>
      <c r="BE125" s="208">
        <v>1</v>
      </c>
      <c r="BF125" s="208">
        <v>6</v>
      </c>
      <c r="BG125" s="204">
        <f>$Y36</f>
        <v>0</v>
      </c>
      <c r="BH125" s="206">
        <f>$Y38</f>
        <v>13.6</v>
      </c>
      <c r="BJ125" s="217">
        <v>3</v>
      </c>
      <c r="BK125" s="217">
        <v>1</v>
      </c>
      <c r="BL125" s="217">
        <v>6</v>
      </c>
      <c r="BM125" s="213">
        <f>$Y52</f>
        <v>0</v>
      </c>
      <c r="BN125" s="215">
        <f>$Y54</f>
        <v>13.6</v>
      </c>
      <c r="BP125" s="226">
        <v>4</v>
      </c>
      <c r="BQ125" s="226">
        <v>1</v>
      </c>
      <c r="BR125" s="226">
        <v>6</v>
      </c>
      <c r="BS125" s="222">
        <f>$Y68</f>
        <v>0</v>
      </c>
      <c r="BT125" s="224">
        <f>$Y70</f>
        <v>13.6</v>
      </c>
      <c r="BV125" s="235">
        <v>5</v>
      </c>
      <c r="BW125" s="235">
        <v>1</v>
      </c>
      <c r="BX125" s="235">
        <v>6</v>
      </c>
      <c r="BY125" s="231">
        <f>IF(AM17&lt;&gt;5,0,$Y84)</f>
        <v>0</v>
      </c>
      <c r="BZ125" s="233">
        <f>IF(AM17&lt;&gt;5,0,$Y86)</f>
        <v>0</v>
      </c>
      <c r="CA125" s="233">
        <f>$Y86</f>
        <v>13.6</v>
      </c>
    </row>
    <row r="126" spans="2:79" hidden="1" x14ac:dyDescent="0.2">
      <c r="AX126" s="199">
        <v>1</v>
      </c>
      <c r="AY126" s="199">
        <v>1</v>
      </c>
      <c r="AZ126" s="199">
        <v>7</v>
      </c>
      <c r="BA126" s="195">
        <f>$AC20</f>
        <v>0</v>
      </c>
      <c r="BB126" s="197">
        <f>$AC22</f>
        <v>13.6</v>
      </c>
      <c r="BD126" s="208">
        <v>2</v>
      </c>
      <c r="BE126" s="208">
        <v>1</v>
      </c>
      <c r="BF126" s="208">
        <v>7</v>
      </c>
      <c r="BG126" s="204">
        <f>$AC36</f>
        <v>0</v>
      </c>
      <c r="BH126" s="206">
        <f>$AC38</f>
        <v>13.6</v>
      </c>
      <c r="BJ126" s="217">
        <v>3</v>
      </c>
      <c r="BK126" s="217">
        <v>1</v>
      </c>
      <c r="BL126" s="217">
        <v>7</v>
      </c>
      <c r="BM126" s="213">
        <f>$AC52</f>
        <v>0</v>
      </c>
      <c r="BN126" s="215">
        <f>$AC54</f>
        <v>13.6</v>
      </c>
      <c r="BP126" s="226">
        <v>4</v>
      </c>
      <c r="BQ126" s="226">
        <v>1</v>
      </c>
      <c r="BR126" s="226">
        <v>7</v>
      </c>
      <c r="BS126" s="222">
        <f>$AC68</f>
        <v>0</v>
      </c>
      <c r="BT126" s="224">
        <f>$AC70</f>
        <v>13.6</v>
      </c>
      <c r="BV126" s="235">
        <v>5</v>
      </c>
      <c r="BW126" s="235">
        <v>1</v>
      </c>
      <c r="BX126" s="235">
        <v>7</v>
      </c>
      <c r="BY126" s="231">
        <f>IF(AM17&lt;&gt;5,0,$AC84)</f>
        <v>0</v>
      </c>
      <c r="BZ126" s="233">
        <f>IF(AM17&lt;&gt;5,0,$AC86)</f>
        <v>0</v>
      </c>
      <c r="CA126" s="233">
        <f>$AC86</f>
        <v>13.6</v>
      </c>
    </row>
    <row r="127" spans="2:79" hidden="1"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0</v>
      </c>
      <c r="CA127" s="233">
        <f>$E90</f>
        <v>8.91</v>
      </c>
    </row>
    <row r="128" spans="2:79" hidden="1"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0</v>
      </c>
      <c r="CA128" s="233">
        <f>$I90</f>
        <v>8.91</v>
      </c>
    </row>
    <row r="129" spans="50:117" hidden="1"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0</v>
      </c>
      <c r="CA129" s="233">
        <f>$M90</f>
        <v>8.91</v>
      </c>
    </row>
    <row r="130" spans="50:117" hidden="1"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0</v>
      </c>
      <c r="CA130" s="233">
        <f>$Q90</f>
        <v>8.91</v>
      </c>
    </row>
    <row r="131" spans="50:117" hidden="1"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0</v>
      </c>
      <c r="CA131" s="233">
        <f>$U90</f>
        <v>8.91</v>
      </c>
    </row>
    <row r="132" spans="50:117" hidden="1"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0</v>
      </c>
      <c r="CA132" s="233">
        <f>$Y90</f>
        <v>8.91</v>
      </c>
    </row>
    <row r="133" spans="50:117" hidden="1"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0</v>
      </c>
      <c r="CA133" s="233">
        <f>$AC90</f>
        <v>8.91</v>
      </c>
    </row>
    <row r="134" spans="50:117" hidden="1"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0</v>
      </c>
      <c r="CA134" s="233">
        <f>$E94</f>
        <v>8.91</v>
      </c>
    </row>
    <row r="135" spans="50:117" hidden="1"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0</v>
      </c>
      <c r="CA135" s="233">
        <f>$I94</f>
        <v>8.91</v>
      </c>
    </row>
    <row r="136" spans="50:117" hidden="1"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0</v>
      </c>
      <c r="CA136" s="233">
        <f>$M94</f>
        <v>8.91</v>
      </c>
    </row>
    <row r="137" spans="50:117" hidden="1"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0</v>
      </c>
      <c r="CA137" s="233">
        <f>$Q94</f>
        <v>8.91</v>
      </c>
    </row>
    <row r="138" spans="50:117" hidden="1"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0</v>
      </c>
      <c r="CA138" s="233">
        <f>$U94</f>
        <v>8.91</v>
      </c>
    </row>
    <row r="139" spans="50:117" hidden="1"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0</v>
      </c>
      <c r="CA139" s="233">
        <f>$Y94</f>
        <v>8.91</v>
      </c>
    </row>
    <row r="140" spans="50:117" hidden="1"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0</v>
      </c>
      <c r="CA140" s="233">
        <f>$AC94</f>
        <v>8.91</v>
      </c>
    </row>
    <row r="141" spans="50:117" hidden="1"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hidden="1" x14ac:dyDescent="0.2">
      <c r="AX142" s="198" t="s">
        <v>161</v>
      </c>
      <c r="AY142" s="198" t="s">
        <v>162</v>
      </c>
      <c r="AZ142" s="198" t="s">
        <v>163</v>
      </c>
      <c r="BA142" s="198" t="s">
        <v>159</v>
      </c>
      <c r="BB142" s="198" t="s">
        <v>92</v>
      </c>
      <c r="BD142" s="207" t="s">
        <v>161</v>
      </c>
      <c r="BE142" s="207" t="s">
        <v>162</v>
      </c>
      <c r="BF142" s="207" t="s">
        <v>163</v>
      </c>
      <c r="BG142" s="207" t="s">
        <v>159</v>
      </c>
      <c r="BH142" s="207" t="s">
        <v>92</v>
      </c>
      <c r="BJ142" s="216" t="s">
        <v>161</v>
      </c>
      <c r="BK142" s="216" t="s">
        <v>162</v>
      </c>
      <c r="BL142" s="216" t="s">
        <v>163</v>
      </c>
      <c r="BM142" s="216" t="s">
        <v>159</v>
      </c>
      <c r="BN142" s="216" t="s">
        <v>92</v>
      </c>
      <c r="BP142" s="225" t="s">
        <v>161</v>
      </c>
      <c r="BQ142" s="225" t="s">
        <v>162</v>
      </c>
      <c r="BR142" s="225" t="s">
        <v>163</v>
      </c>
      <c r="BS142" s="225" t="s">
        <v>159</v>
      </c>
      <c r="BT142" s="225" t="s">
        <v>92</v>
      </c>
      <c r="BV142" s="234" t="s">
        <v>161</v>
      </c>
      <c r="BW142" s="234" t="s">
        <v>162</v>
      </c>
      <c r="BX142" s="234" t="s">
        <v>163</v>
      </c>
      <c r="BY142" s="234" t="s">
        <v>159</v>
      </c>
      <c r="BZ142" s="234" t="s">
        <v>92</v>
      </c>
      <c r="CA142" s="234" t="s">
        <v>160</v>
      </c>
    </row>
    <row r="143" spans="50:117" hidden="1" x14ac:dyDescent="0.2">
      <c r="AX143" s="199" t="str">
        <f t="shared" ref="AX143:AX160" si="126">IF(OR(BA143=0,AY143=0),"Ignore me","Claim")</f>
        <v>Ignore me</v>
      </c>
      <c r="AY143" s="200">
        <f>$I$105</f>
        <v>9</v>
      </c>
      <c r="AZ143" s="199">
        <f>$AL$100</f>
        <v>4000</v>
      </c>
      <c r="BA143" s="195">
        <f>(1-($E$106+$E$107))*SUMIF(BB$120:BB$126,BB143,BA$120:BA$126)</f>
        <v>0</v>
      </c>
      <c r="BB143" s="197">
        <f>MIN(BB$120:BB$126)</f>
        <v>13.6</v>
      </c>
      <c r="BD143" s="208" t="str">
        <f t="shared" ref="BD143:BD160" si="127">IF(OR(BG143=0,BE143=0),"Ignore me","Claim")</f>
        <v>Claim</v>
      </c>
      <c r="BE143" s="209">
        <f>$I$105</f>
        <v>9</v>
      </c>
      <c r="BF143" s="208">
        <f>$AL$100</f>
        <v>4000</v>
      </c>
      <c r="BG143" s="204">
        <f>(1-($E$106+$E$107))*SUMIF(BH$120:BH$126,BH143,BG$120:BG$126)</f>
        <v>3</v>
      </c>
      <c r="BH143" s="206">
        <f>MIN(BH$120:BH$126)</f>
        <v>13.6</v>
      </c>
      <c r="BJ143" s="217" t="str">
        <f t="shared" ref="BJ143:BJ160" si="128">IF(OR(BM143=0,BK143=0),"Ignore me","Claim")</f>
        <v>Claim</v>
      </c>
      <c r="BK143" s="218">
        <f>$I$105</f>
        <v>9</v>
      </c>
      <c r="BL143" s="217">
        <f>$AL$100</f>
        <v>4000</v>
      </c>
      <c r="BM143" s="213">
        <f>(1-($E$106+$E$107))*SUMIF(BN$120:BN$126,BN143,BM$120:BM$126)</f>
        <v>3</v>
      </c>
      <c r="BN143" s="215">
        <f>MIN(BN$120:BN$126)</f>
        <v>13.6</v>
      </c>
      <c r="BP143" s="226" t="str">
        <f t="shared" ref="BP143:BP160" si="129">IF(OR(BS143=0,BQ143=0),"Ignore me","Claim")</f>
        <v>Claim</v>
      </c>
      <c r="BQ143" s="227">
        <f>$I$105</f>
        <v>9</v>
      </c>
      <c r="BR143" s="226">
        <f>$AL$100</f>
        <v>4000</v>
      </c>
      <c r="BS143" s="222">
        <f>(1-($E$106+$E$107))*SUMIF(BT$120:BT$126,BT143,BS$120:BS$126)</f>
        <v>2</v>
      </c>
      <c r="BT143" s="224">
        <f>MIN(BT$120:BT$126)</f>
        <v>13.6</v>
      </c>
      <c r="BV143" s="235" t="str">
        <f t="shared" ref="BV143:BV160" si="130">IF(OR(BY143=0,BW143=0),"Ignore me","Claim")</f>
        <v>Ignore me</v>
      </c>
      <c r="BW143" s="236">
        <f>$I$105</f>
        <v>9</v>
      </c>
      <c r="BX143" s="235">
        <f>$AL$100</f>
        <v>4000</v>
      </c>
      <c r="BY143" s="231">
        <f>(1-($E$106+$E$107))*SUMIF(BZ$120:BZ$126,BZ143,BY$120:BY$126)</f>
        <v>0</v>
      </c>
      <c r="BZ143" s="233">
        <f t="shared" ref="BZ143:CA145" si="131">MIN(BZ$120:BZ$126)</f>
        <v>0</v>
      </c>
      <c r="CA143" s="233">
        <f t="shared" si="131"/>
        <v>13.6</v>
      </c>
      <c r="DA143" s="5" t="s">
        <v>161</v>
      </c>
      <c r="DB143" s="5" t="s">
        <v>162</v>
      </c>
      <c r="DC143" s="5" t="s">
        <v>163</v>
      </c>
      <c r="DD143" s="5" t="s">
        <v>159</v>
      </c>
      <c r="DE143" s="5" t="s">
        <v>92</v>
      </c>
      <c r="DF143" s="5"/>
      <c r="DH143" s="48" t="s">
        <v>163</v>
      </c>
      <c r="DI143" s="48" t="s">
        <v>92</v>
      </c>
      <c r="DJ143" s="48" t="s">
        <v>93</v>
      </c>
      <c r="DK143" s="48" t="s">
        <v>94</v>
      </c>
      <c r="DL143" s="48" t="s">
        <v>95</v>
      </c>
      <c r="DM143" s="48" t="s">
        <v>164</v>
      </c>
    </row>
    <row r="144" spans="50:117" hidden="1" x14ac:dyDescent="0.2">
      <c r="AX144" s="199" t="str">
        <f t="shared" si="126"/>
        <v>Ignore me</v>
      </c>
      <c r="AY144" s="200">
        <f>$I$106</f>
        <v>0</v>
      </c>
      <c r="AZ144" s="199">
        <f t="shared" ref="AZ144:AZ148" si="132">$AL$100</f>
        <v>4000</v>
      </c>
      <c r="BA144" s="195">
        <f>$E$106*SUMIF(BB$120:BB$126,BB143,BA$120:BA$126)</f>
        <v>0</v>
      </c>
      <c r="BB144" s="197">
        <f>MIN(BB$120:BB$126)</f>
        <v>13.6</v>
      </c>
      <c r="BD144" s="208" t="str">
        <f t="shared" si="127"/>
        <v>Ignore me</v>
      </c>
      <c r="BE144" s="209">
        <f>$I$106</f>
        <v>0</v>
      </c>
      <c r="BF144" s="208">
        <f t="shared" ref="BF144:BF148" si="133">$AL$100</f>
        <v>4000</v>
      </c>
      <c r="BG144" s="204">
        <f>$E$106*SUMIF(BH$120:BH$126,BH143,BG$120:BG$126)</f>
        <v>0</v>
      </c>
      <c r="BH144" s="206">
        <f>MIN(BH$120:BH$126)</f>
        <v>13.6</v>
      </c>
      <c r="BJ144" s="217" t="str">
        <f t="shared" si="128"/>
        <v>Ignore me</v>
      </c>
      <c r="BK144" s="218">
        <f>$I$106</f>
        <v>0</v>
      </c>
      <c r="BL144" s="217">
        <f t="shared" ref="BL144:BL148" si="134">$AL$100</f>
        <v>4000</v>
      </c>
      <c r="BM144" s="213">
        <f>$E$106*SUMIF(BN$120:BN$126,BN143,BM$120:BM$126)</f>
        <v>0</v>
      </c>
      <c r="BN144" s="215">
        <f>MIN(BN$120:BN$126)</f>
        <v>13.6</v>
      </c>
      <c r="BP144" s="226" t="str">
        <f t="shared" si="129"/>
        <v>Ignore me</v>
      </c>
      <c r="BQ144" s="227">
        <f>$I$106</f>
        <v>0</v>
      </c>
      <c r="BR144" s="226">
        <f t="shared" ref="BR144:BR148" si="135">$AL$100</f>
        <v>4000</v>
      </c>
      <c r="BS144" s="222">
        <f>$E$106*SUMIF(BT$120:BT$126,BT143,BS$120:BS$126)</f>
        <v>0</v>
      </c>
      <c r="BT144" s="224">
        <f>MIN(BT$120:BT$126)</f>
        <v>13.6</v>
      </c>
      <c r="BV144" s="235" t="str">
        <f t="shared" si="130"/>
        <v>Ignore me</v>
      </c>
      <c r="BW144" s="236">
        <f>$I$106</f>
        <v>0</v>
      </c>
      <c r="BX144" s="235">
        <f t="shared" ref="BX144:BX148" si="136">$AL$100</f>
        <v>4000</v>
      </c>
      <c r="BY144" s="231">
        <f>$E$106*SUMIF(BZ$120:BZ$126,BZ143,BY$120:BY$126)</f>
        <v>0</v>
      </c>
      <c r="BZ144" s="233">
        <f t="shared" si="131"/>
        <v>0</v>
      </c>
      <c r="CA144" s="233">
        <f t="shared" si="131"/>
        <v>13.6</v>
      </c>
      <c r="DA144" s="5" t="s">
        <v>165</v>
      </c>
      <c r="DB144" s="5" t="s">
        <v>93</v>
      </c>
      <c r="DC144" s="5">
        <f t="shared" ref="DC144:DE144" si="137">AZ143</f>
        <v>4000</v>
      </c>
      <c r="DD144" s="5">
        <f t="shared" si="137"/>
        <v>0</v>
      </c>
      <c r="DE144" s="35">
        <f t="shared" si="137"/>
        <v>13.6</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hidden="1" x14ac:dyDescent="0.2">
      <c r="AX145" s="199" t="str">
        <f t="shared" si="126"/>
        <v>Ignore me</v>
      </c>
      <c r="AY145" s="200">
        <f>$I$107</f>
        <v>0</v>
      </c>
      <c r="AZ145" s="199">
        <f t="shared" si="132"/>
        <v>4000</v>
      </c>
      <c r="BA145" s="195">
        <f>$E$107*SUMIF(BB$120:BB$126,BB143,BA$120:BA$126)</f>
        <v>0</v>
      </c>
      <c r="BB145" s="197">
        <f>MIN(BB$120:BB$126)</f>
        <v>13.6</v>
      </c>
      <c r="BD145" s="208" t="str">
        <f t="shared" si="127"/>
        <v>Ignore me</v>
      </c>
      <c r="BE145" s="209">
        <f>$I$107</f>
        <v>0</v>
      </c>
      <c r="BF145" s="208">
        <f t="shared" si="133"/>
        <v>4000</v>
      </c>
      <c r="BG145" s="204">
        <f>$E$107*SUMIF(BH$120:BH$126,BH143,BG$120:BG$126)</f>
        <v>0</v>
      </c>
      <c r="BH145" s="206">
        <f>MIN(BH$120:BH$126)</f>
        <v>13.6</v>
      </c>
      <c r="BJ145" s="217" t="str">
        <f t="shared" si="128"/>
        <v>Ignore me</v>
      </c>
      <c r="BK145" s="218">
        <f>$I$107</f>
        <v>0</v>
      </c>
      <c r="BL145" s="217">
        <f t="shared" si="134"/>
        <v>4000</v>
      </c>
      <c r="BM145" s="213">
        <f>$E$107*SUMIF(BN$120:BN$126,BN143,BM$120:BM$126)</f>
        <v>0</v>
      </c>
      <c r="BN145" s="215">
        <f>MIN(BN$120:BN$126)</f>
        <v>13.6</v>
      </c>
      <c r="BP145" s="226" t="str">
        <f t="shared" si="129"/>
        <v>Ignore me</v>
      </c>
      <c r="BQ145" s="227">
        <f>$I$107</f>
        <v>0</v>
      </c>
      <c r="BR145" s="226">
        <f t="shared" si="135"/>
        <v>4000</v>
      </c>
      <c r="BS145" s="222">
        <f>$E$107*SUMIF(BT$120:BT$126,BT143,BS$120:BS$126)</f>
        <v>0</v>
      </c>
      <c r="BT145" s="224">
        <f>MIN(BT$120:BT$126)</f>
        <v>13.6</v>
      </c>
      <c r="BV145" s="235" t="str">
        <f t="shared" si="130"/>
        <v>Ignore me</v>
      </c>
      <c r="BW145" s="236">
        <f>$I$107</f>
        <v>0</v>
      </c>
      <c r="BX145" s="235">
        <f t="shared" si="136"/>
        <v>4000</v>
      </c>
      <c r="BY145" s="231">
        <f>$E$107*SUMIF(BZ$120:BZ$126,BZ143,BY$120:BY$126)</f>
        <v>0</v>
      </c>
      <c r="BZ145" s="233">
        <f t="shared" si="131"/>
        <v>0</v>
      </c>
      <c r="CA145" s="233">
        <f t="shared" si="131"/>
        <v>13.6</v>
      </c>
      <c r="DA145" s="5" t="s">
        <v>165</v>
      </c>
      <c r="DB145" s="5" t="s">
        <v>94</v>
      </c>
      <c r="DC145" s="5">
        <f t="shared" ref="DC145:DC161" si="138">AZ144</f>
        <v>4000</v>
      </c>
      <c r="DD145" s="5">
        <f t="shared" ref="DD145:DD161" si="139">BA144</f>
        <v>0</v>
      </c>
      <c r="DE145" s="35">
        <f t="shared" ref="DE145:DE161" si="140">BB144</f>
        <v>13.6</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hidden="1" x14ac:dyDescent="0.2">
      <c r="AX146" s="199" t="str">
        <f t="shared" si="126"/>
        <v>Ignore me</v>
      </c>
      <c r="AY146" s="200">
        <f>$I$105</f>
        <v>9</v>
      </c>
      <c r="AZ146" s="199">
        <f t="shared" si="132"/>
        <v>4000</v>
      </c>
      <c r="BA146" s="195">
        <f>(1-($E$106+$E$107))*IF(BB143=BB146,0,SUMIF(BB$120:BB$126,BB146,BA$120:BA$126))</f>
        <v>0</v>
      </c>
      <c r="BB146" s="197">
        <f>MAX(BB$120:BB$126)</f>
        <v>13.6</v>
      </c>
      <c r="BD146" s="208" t="str">
        <f t="shared" si="127"/>
        <v>Ignore me</v>
      </c>
      <c r="BE146" s="209">
        <f>$I$105</f>
        <v>9</v>
      </c>
      <c r="BF146" s="208">
        <f t="shared" si="133"/>
        <v>4000</v>
      </c>
      <c r="BG146" s="204">
        <f>(1-($E$106+$E$107))*IF(BH143=BH146,0,SUMIF(BH$120:BH$126,BH146,BG$120:BG$126))</f>
        <v>0</v>
      </c>
      <c r="BH146" s="206">
        <f>MAX(BH$120:BH$126)</f>
        <v>13.6</v>
      </c>
      <c r="BJ146" s="217" t="str">
        <f t="shared" si="128"/>
        <v>Ignore me</v>
      </c>
      <c r="BK146" s="218">
        <f>$I$105</f>
        <v>9</v>
      </c>
      <c r="BL146" s="217">
        <f t="shared" si="134"/>
        <v>4000</v>
      </c>
      <c r="BM146" s="213">
        <f>(1-($E$106+$E$107))*IF(BN143=BN146,0,SUMIF(BN$120:BN$126,BN146,BM$120:BM$126))</f>
        <v>0</v>
      </c>
      <c r="BN146" s="215">
        <f>MAX(BN$120:BN$126)</f>
        <v>13.6</v>
      </c>
      <c r="BP146" s="226" t="str">
        <f t="shared" si="129"/>
        <v>Ignore me</v>
      </c>
      <c r="BQ146" s="227">
        <f>$I$105</f>
        <v>9</v>
      </c>
      <c r="BR146" s="226">
        <f t="shared" si="135"/>
        <v>4000</v>
      </c>
      <c r="BS146" s="222">
        <f>(1-($E$106+$E$107))*IF(BT143=BT146,0,SUMIF(BT$120:BT$126,BT146,BS$120:BS$126))</f>
        <v>0</v>
      </c>
      <c r="BT146" s="224">
        <f>MAX(BT$120:BT$126)</f>
        <v>13.6</v>
      </c>
      <c r="BV146" s="235" t="str">
        <f t="shared" si="130"/>
        <v>Ignore me</v>
      </c>
      <c r="BW146" s="236">
        <f>$I$105</f>
        <v>9</v>
      </c>
      <c r="BX146" s="235">
        <f t="shared" si="136"/>
        <v>4000</v>
      </c>
      <c r="BY146" s="231">
        <f>(1-($E$106+$E$107))*IF(BZ143=BZ146,0,SUMIF(BZ$120:BZ$126,BZ146,BY$120:BY$126))</f>
        <v>0</v>
      </c>
      <c r="BZ146" s="233">
        <f t="shared" ref="BZ146:CA148" si="141">MAX(BZ$120:BZ$126)</f>
        <v>0</v>
      </c>
      <c r="CA146" s="233">
        <f t="shared" si="141"/>
        <v>13.6</v>
      </c>
      <c r="DA146" s="5" t="s">
        <v>165</v>
      </c>
      <c r="DB146" s="5" t="s">
        <v>95</v>
      </c>
      <c r="DC146" s="5">
        <f t="shared" si="138"/>
        <v>4000</v>
      </c>
      <c r="DD146" s="5">
        <f t="shared" si="139"/>
        <v>0</v>
      </c>
      <c r="DE146" s="35">
        <f t="shared" si="140"/>
        <v>13.6</v>
      </c>
      <c r="DF146" s="35"/>
      <c r="DH146" s="48">
        <v>4022</v>
      </c>
      <c r="DI146" s="48" t="s">
        <v>100</v>
      </c>
      <c r="DJ146" s="35">
        <f>DM146*(1-($E$106+$E$107))</f>
        <v>18.615680000000001</v>
      </c>
      <c r="DK146" s="255">
        <f>DM146*$E$106</f>
        <v>0</v>
      </c>
      <c r="DL146" s="255">
        <f>DM146*$E$107</f>
        <v>0</v>
      </c>
      <c r="DM146" s="35">
        <f>AM108</f>
        <v>18.615680000000001</v>
      </c>
    </row>
    <row r="147" spans="50:117" hidden="1" x14ac:dyDescent="0.2">
      <c r="AX147" s="199" t="str">
        <f t="shared" si="126"/>
        <v>Ignore me</v>
      </c>
      <c r="AY147" s="200">
        <f>$I$106</f>
        <v>0</v>
      </c>
      <c r="AZ147" s="199">
        <f t="shared" si="132"/>
        <v>4000</v>
      </c>
      <c r="BA147" s="195">
        <f>$E$106*IF(BB143=BB146,0,SUMIF(BB$120:BB$126,BB146,BA$120:BA$126))</f>
        <v>0</v>
      </c>
      <c r="BB147" s="197">
        <f>MAX(BB$120:BB$126)</f>
        <v>13.6</v>
      </c>
      <c r="BD147" s="208" t="str">
        <f t="shared" si="127"/>
        <v>Ignore me</v>
      </c>
      <c r="BE147" s="209">
        <f>$I$106</f>
        <v>0</v>
      </c>
      <c r="BF147" s="208">
        <f t="shared" si="133"/>
        <v>4000</v>
      </c>
      <c r="BG147" s="204">
        <f>$E$106*IF(BH143=BH146,0,SUMIF(BH$120:BH$126,BH146,BG$120:BG$126))</f>
        <v>0</v>
      </c>
      <c r="BH147" s="206">
        <f>MAX(BH$120:BH$126)</f>
        <v>13.6</v>
      </c>
      <c r="BJ147" s="217" t="str">
        <f t="shared" si="128"/>
        <v>Ignore me</v>
      </c>
      <c r="BK147" s="218">
        <f>$I$106</f>
        <v>0</v>
      </c>
      <c r="BL147" s="217">
        <f t="shared" si="134"/>
        <v>4000</v>
      </c>
      <c r="BM147" s="213">
        <f>$E$106*IF(BN143=BN146,0,SUMIF(BN$120:BN$126,BN146,BM$120:BM$126))</f>
        <v>0</v>
      </c>
      <c r="BN147" s="215">
        <f>MAX(BN$120:BN$126)</f>
        <v>13.6</v>
      </c>
      <c r="BP147" s="226" t="str">
        <f t="shared" si="129"/>
        <v>Ignore me</v>
      </c>
      <c r="BQ147" s="227">
        <f>$I$106</f>
        <v>0</v>
      </c>
      <c r="BR147" s="226">
        <f t="shared" si="135"/>
        <v>4000</v>
      </c>
      <c r="BS147" s="222">
        <f>$E$106*IF(BT143=BT146,0,SUMIF(BT$120:BT$126,BT146,BS$120:BS$126))</f>
        <v>0</v>
      </c>
      <c r="BT147" s="224">
        <f>MAX(BT$120:BT$126)</f>
        <v>13.6</v>
      </c>
      <c r="BV147" s="235" t="str">
        <f t="shared" si="130"/>
        <v>Ignore me</v>
      </c>
      <c r="BW147" s="236">
        <f>$I$106</f>
        <v>0</v>
      </c>
      <c r="BX147" s="235">
        <f t="shared" si="136"/>
        <v>4000</v>
      </c>
      <c r="BY147" s="231">
        <f>$E$106*IF(BZ143=BZ146,0,SUMIF(BZ$120:BZ$126,BZ146,BY$120:BY$126))</f>
        <v>0</v>
      </c>
      <c r="BZ147" s="233">
        <f t="shared" si="141"/>
        <v>0</v>
      </c>
      <c r="CA147" s="233">
        <f t="shared" si="141"/>
        <v>13.6</v>
      </c>
      <c r="DA147" s="5" t="s">
        <v>165</v>
      </c>
      <c r="DB147" s="5" t="s">
        <v>93</v>
      </c>
      <c r="DC147" s="5">
        <f t="shared" si="138"/>
        <v>4000</v>
      </c>
      <c r="DD147" s="5">
        <f t="shared" si="139"/>
        <v>0</v>
      </c>
      <c r="DE147" s="35">
        <f t="shared" si="140"/>
        <v>13.6</v>
      </c>
      <c r="DF147" s="35"/>
      <c r="DG147" s="5" t="s">
        <v>165</v>
      </c>
      <c r="DH147" s="186">
        <f>VLOOKUP(E11,TypeFPE,2,FALSE)</f>
        <v>4000</v>
      </c>
      <c r="DI147" s="35">
        <f t="array" ref="DI147">MIN(IF(DA144:DA233="PE1",DE144:DE233))</f>
        <v>13.6</v>
      </c>
      <c r="DJ147" s="28">
        <f>SUMIFS($DD$144:$DD$233,$DC$144:$DC$233,$DH147,$DB$144:$DB$233,DJ$143,$DA$144:$DA$233,$DG147,$DE$144:$DE$233,$DI147)</f>
        <v>8</v>
      </c>
      <c r="DK147" s="28">
        <f>SUMIFS($DD$144:$DD$233,$DC$144:$DC$233,$DH147,$DB$144:$DB$233,DK$143,$DA$144:$DA$233,$DG147,$DE$144:$DE$233,$DI147)</f>
        <v>0</v>
      </c>
      <c r="DL147" s="28">
        <f>SUMIFS($DD$144:$DD$233,$DC$144:$DC$233,$DH147,$DB$144:$DB$233,DL$143,$DA$144:$DA$233,$DG147,$DE$144:$DE$233,$DI147)</f>
        <v>0</v>
      </c>
      <c r="DM147" s="35">
        <f>DI147*SUM(DJ147:DL147)</f>
        <v>108.8</v>
      </c>
    </row>
    <row r="148" spans="50:117" hidden="1" x14ac:dyDescent="0.2">
      <c r="AX148" s="199" t="str">
        <f t="shared" si="126"/>
        <v>Ignore me</v>
      </c>
      <c r="AY148" s="200">
        <f>$I$107</f>
        <v>0</v>
      </c>
      <c r="AZ148" s="199">
        <f t="shared" si="132"/>
        <v>4000</v>
      </c>
      <c r="BA148" s="195">
        <f>$E$107*IF(BB143=BB146,0,SUMIF(BB$120:BB$126,BB146,BA$120:BA$126))</f>
        <v>0</v>
      </c>
      <c r="BB148" s="197">
        <f>MAX(BB$120:BB$126)</f>
        <v>13.6</v>
      </c>
      <c r="BD148" s="208" t="str">
        <f t="shared" si="127"/>
        <v>Ignore me</v>
      </c>
      <c r="BE148" s="209">
        <f>$I$107</f>
        <v>0</v>
      </c>
      <c r="BF148" s="208">
        <f t="shared" si="133"/>
        <v>4000</v>
      </c>
      <c r="BG148" s="204">
        <f>$E$107*IF(BH143=BH146,0,SUMIF(BH$120:BH$126,BH146,BG$120:BG$126))</f>
        <v>0</v>
      </c>
      <c r="BH148" s="206">
        <f>MAX(BH$120:BH$126)</f>
        <v>13.6</v>
      </c>
      <c r="BJ148" s="217" t="str">
        <f t="shared" si="128"/>
        <v>Ignore me</v>
      </c>
      <c r="BK148" s="218">
        <f>$I$107</f>
        <v>0</v>
      </c>
      <c r="BL148" s="217">
        <f t="shared" si="134"/>
        <v>4000</v>
      </c>
      <c r="BM148" s="213">
        <f>$E$107*IF(BN143=BN146,0,SUMIF(BN$120:BN$126,BN146,BM$120:BM$126))</f>
        <v>0</v>
      </c>
      <c r="BN148" s="215">
        <f>MAX(BN$120:BN$126)</f>
        <v>13.6</v>
      </c>
      <c r="BP148" s="226" t="str">
        <f t="shared" si="129"/>
        <v>Ignore me</v>
      </c>
      <c r="BQ148" s="227">
        <f>$I$107</f>
        <v>0</v>
      </c>
      <c r="BR148" s="226">
        <f t="shared" si="135"/>
        <v>4000</v>
      </c>
      <c r="BS148" s="222">
        <f>$E$107*IF(BT143=BT146,0,SUMIF(BT$120:BT$126,BT146,BS$120:BS$126))</f>
        <v>0</v>
      </c>
      <c r="BT148" s="224">
        <f>MAX(BT$120:BT$126)</f>
        <v>13.6</v>
      </c>
      <c r="BV148" s="235" t="str">
        <f t="shared" si="130"/>
        <v>Ignore me</v>
      </c>
      <c r="BW148" s="236">
        <f>$I$107</f>
        <v>0</v>
      </c>
      <c r="BX148" s="235">
        <f t="shared" si="136"/>
        <v>4000</v>
      </c>
      <c r="BY148" s="231">
        <f>$E$107*IF(BZ143=BZ146,0,SUMIF(BZ$120:BZ$126,BZ146,BY$120:BY$126))</f>
        <v>0</v>
      </c>
      <c r="BZ148" s="233">
        <f t="shared" si="141"/>
        <v>0</v>
      </c>
      <c r="CA148" s="233">
        <f t="shared" si="141"/>
        <v>13.6</v>
      </c>
      <c r="DA148" s="5" t="s">
        <v>165</v>
      </c>
      <c r="DB148" s="5" t="s">
        <v>94</v>
      </c>
      <c r="DC148" s="5">
        <f t="shared" si="138"/>
        <v>4000</v>
      </c>
      <c r="DD148" s="5">
        <f t="shared" si="139"/>
        <v>0</v>
      </c>
      <c r="DE148" s="35">
        <f t="shared" si="140"/>
        <v>13.6</v>
      </c>
      <c r="DF148" s="35"/>
      <c r="DG148" s="5" t="s">
        <v>165</v>
      </c>
      <c r="DH148" s="186">
        <f>DH147</f>
        <v>4000</v>
      </c>
      <c r="DI148" s="35">
        <f t="array" ref="DI148">MAX(IF(DA144:DA233="PE1",DE144:DE233))</f>
        <v>13.6</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hidden="1"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0</v>
      </c>
      <c r="CA149" s="233">
        <f t="shared" si="142"/>
        <v>8.91</v>
      </c>
      <c r="DA149" s="5" t="s">
        <v>165</v>
      </c>
      <c r="DB149" s="5" t="s">
        <v>95</v>
      </c>
      <c r="DC149" s="5">
        <f t="shared" si="138"/>
        <v>4000</v>
      </c>
      <c r="DD149" s="5">
        <f t="shared" si="139"/>
        <v>0</v>
      </c>
      <c r="DE149" s="35">
        <f t="shared" si="140"/>
        <v>13.6</v>
      </c>
      <c r="DF149" s="35"/>
      <c r="DG149" s="5" t="s">
        <v>166</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hidden="1"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0</v>
      </c>
      <c r="CA150" s="233">
        <f t="shared" si="142"/>
        <v>8.91</v>
      </c>
      <c r="DA150" s="5" t="s">
        <v>166</v>
      </c>
      <c r="DB150" s="5" t="s">
        <v>93</v>
      </c>
      <c r="DC150" s="5" t="str">
        <f t="shared" si="138"/>
        <v>----</v>
      </c>
      <c r="DD150" s="5">
        <f t="shared" si="139"/>
        <v>0</v>
      </c>
      <c r="DE150" s="35">
        <f t="shared" si="140"/>
        <v>8.1999999999999993</v>
      </c>
      <c r="DF150" s="35"/>
      <c r="DG150" s="5" t="s">
        <v>166</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hidden="1"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0</v>
      </c>
      <c r="CA151" s="233">
        <f t="shared" si="142"/>
        <v>8.91</v>
      </c>
      <c r="DA151" s="5" t="s">
        <v>166</v>
      </c>
      <c r="DB151" s="5" t="s">
        <v>94</v>
      </c>
      <c r="DC151" s="5" t="str">
        <f t="shared" si="138"/>
        <v>----</v>
      </c>
      <c r="DD151" s="5">
        <f t="shared" si="139"/>
        <v>0</v>
      </c>
      <c r="DE151" s="35">
        <f t="shared" si="140"/>
        <v>8.1999999999999993</v>
      </c>
      <c r="DF151" s="35"/>
      <c r="DG151" s="5" t="s">
        <v>167</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hidden="1"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0</v>
      </c>
      <c r="CA152" s="233">
        <f t="shared" si="149"/>
        <v>8.91</v>
      </c>
      <c r="DA152" s="5" t="s">
        <v>166</v>
      </c>
      <c r="DB152" s="5" t="s">
        <v>95</v>
      </c>
      <c r="DC152" s="5" t="str">
        <f t="shared" si="138"/>
        <v>----</v>
      </c>
      <c r="DD152" s="5">
        <f t="shared" si="139"/>
        <v>0</v>
      </c>
      <c r="DE152" s="35">
        <f t="shared" si="140"/>
        <v>8.1999999999999993</v>
      </c>
      <c r="DF152" s="35"/>
      <c r="DG152" s="5" t="s">
        <v>167</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hidden="1"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0</v>
      </c>
      <c r="CA153" s="233">
        <f t="shared" si="149"/>
        <v>8.91</v>
      </c>
      <c r="DA153" s="5" t="s">
        <v>166</v>
      </c>
      <c r="DB153" s="5" t="s">
        <v>93</v>
      </c>
      <c r="DC153" s="5" t="str">
        <f t="shared" si="138"/>
        <v>----</v>
      </c>
      <c r="DD153" s="5">
        <f t="shared" si="139"/>
        <v>0</v>
      </c>
      <c r="DE153" s="35">
        <f t="shared" si="140"/>
        <v>8.91</v>
      </c>
      <c r="DF153" s="35"/>
      <c r="DH153" s="186"/>
      <c r="DI153" s="35"/>
      <c r="DJ153" s="28"/>
      <c r="DK153" s="28"/>
      <c r="DL153" s="28"/>
      <c r="DM153" s="35"/>
    </row>
    <row r="154" spans="50:117" hidden="1"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0</v>
      </c>
      <c r="CA154" s="233">
        <f t="shared" si="149"/>
        <v>8.91</v>
      </c>
      <c r="DA154" s="5" t="s">
        <v>166</v>
      </c>
      <c r="DB154" s="5" t="s">
        <v>94</v>
      </c>
      <c r="DC154" s="5" t="str">
        <f t="shared" si="138"/>
        <v>----</v>
      </c>
      <c r="DD154" s="5">
        <f t="shared" si="139"/>
        <v>0</v>
      </c>
      <c r="DE154" s="35">
        <f t="shared" si="140"/>
        <v>8.91</v>
      </c>
      <c r="DF154" s="35"/>
      <c r="DH154" s="48" t="s">
        <v>163</v>
      </c>
      <c r="DI154" s="48" t="s">
        <v>92</v>
      </c>
      <c r="DJ154" s="48" t="s">
        <v>93</v>
      </c>
      <c r="DK154" s="48" t="s">
        <v>94</v>
      </c>
      <c r="DL154" s="48" t="s">
        <v>95</v>
      </c>
      <c r="DM154" s="48" t="s">
        <v>164</v>
      </c>
    </row>
    <row r="155" spans="50:117" hidden="1"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0</v>
      </c>
      <c r="CA155" s="233">
        <f t="shared" si="155"/>
        <v>8.91</v>
      </c>
      <c r="DA155" s="5" t="s">
        <v>166</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4000</v>
      </c>
      <c r="DI155" s="48">
        <f t="array" ref="DI155">IFERROR(INDEX(DI$147:DI$152, SMALL(IF($DM$147:$DM$152&lt;&gt;0, ROW(DI$147:DI$152)-MIN(ROW(DI$147:DI$152))+1, ""), ROW(B1))), "")</f>
        <v>13.6</v>
      </c>
      <c r="DJ155" s="28">
        <f t="array" ref="DJ155">IFERROR(INDEX(DJ$147:DJ$152, SMALL(IF($DM$147:$DM$152&lt;&gt;0, ROW(DJ$147:DJ$152)-MIN(ROW(DJ$147:DJ$152))+1, ""), ROW(C1))), "")</f>
        <v>8</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108.8</v>
      </c>
    </row>
    <row r="156" spans="50:117" hidden="1"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0</v>
      </c>
      <c r="CA156" s="233">
        <f t="shared" si="155"/>
        <v>8.91</v>
      </c>
      <c r="DA156" s="5" t="s">
        <v>167</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hidden="1"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0</v>
      </c>
      <c r="CA157" s="233">
        <f t="shared" si="155"/>
        <v>8.91</v>
      </c>
      <c r="DA157" s="5" t="s">
        <v>167</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hidden="1"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0</v>
      </c>
      <c r="CA158" s="233">
        <f t="shared" si="156"/>
        <v>8.91</v>
      </c>
      <c r="DA158" s="5" t="s">
        <v>167</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hidden="1"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0</v>
      </c>
      <c r="CA159" s="233">
        <f t="shared" si="156"/>
        <v>8.91</v>
      </c>
      <c r="DA159" s="5" t="s">
        <v>167</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hidden="1"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0</v>
      </c>
      <c r="CA160" s="233">
        <f t="shared" si="156"/>
        <v>8.91</v>
      </c>
      <c r="DA160" s="5" t="s">
        <v>167</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hidden="1"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167</v>
      </c>
      <c r="DB161" s="5" t="s">
        <v>95</v>
      </c>
      <c r="DC161" s="5" t="str">
        <f t="shared" si="138"/>
        <v>----</v>
      </c>
      <c r="DD161" s="5">
        <f t="shared" si="139"/>
        <v>0</v>
      </c>
      <c r="DE161" s="35">
        <f t="shared" si="140"/>
        <v>8.91</v>
      </c>
      <c r="DF161" s="35"/>
      <c r="DH161" s="48"/>
      <c r="DI161" s="48"/>
      <c r="DJ161" s="35"/>
      <c r="DK161" s="255"/>
      <c r="DL161" s="255"/>
      <c r="DM161" s="35"/>
    </row>
    <row r="162" spans="3:117" hidden="1"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165</v>
      </c>
      <c r="DB162" s="5" t="s">
        <v>93</v>
      </c>
      <c r="DC162" s="5">
        <f t="shared" ref="DC162:DE162" si="157">BF143</f>
        <v>4000</v>
      </c>
      <c r="DD162" s="5">
        <f t="shared" si="157"/>
        <v>3</v>
      </c>
      <c r="DE162" s="35">
        <f t="shared" si="157"/>
        <v>13.6</v>
      </c>
      <c r="DF162" s="35"/>
      <c r="DH162" s="48"/>
      <c r="DI162" s="48"/>
      <c r="DJ162" s="35"/>
      <c r="DK162" s="255"/>
      <c r="DL162" s="255"/>
      <c r="DM162" s="35"/>
    </row>
    <row r="163" spans="3:117" hidden="1" x14ac:dyDescent="0.2">
      <c r="AX163" s="197">
        <f>MIN(BB120:BB126)</f>
        <v>13.6</v>
      </c>
      <c r="AY163" s="197">
        <f>SMALL(AX$163:AX$168,1)</f>
        <v>8.1999999999999993</v>
      </c>
      <c r="AZ163" s="197">
        <f t="array" ref="AZ163">IFERROR(INDEX($AY$163:$AY$168, MATCH(0, COUNTIF(AZ$162:$AZ162, $AY$163:$AY$168), 0),1),0)</f>
        <v>8.1999999999999993</v>
      </c>
      <c r="BA163" s="196"/>
      <c r="BB163" s="196"/>
      <c r="BD163" s="206">
        <f>MIN(BH120:BH126)</f>
        <v>13.6</v>
      </c>
      <c r="BE163" s="206">
        <f>SMALL(BD$163:BD$168,1)</f>
        <v>8.1999999999999993</v>
      </c>
      <c r="BF163" s="206">
        <f t="array" ref="BF163">IFERROR(INDEX($BE$163:$BE$168, MATCH(0, COUNTIF($BF$162:BF162, $BE$163:$BE$168), 0),1),0)</f>
        <v>8.1999999999999993</v>
      </c>
      <c r="BG163" s="205"/>
      <c r="BH163" s="205"/>
      <c r="BJ163" s="215">
        <f>MIN(BN120:BN126)</f>
        <v>13.6</v>
      </c>
      <c r="BK163" s="215">
        <f>SMALL(BJ$163:BJ$168,1)</f>
        <v>8.91</v>
      </c>
      <c r="BL163" s="215">
        <f t="array" ref="BL163">IFERROR(INDEX($BK$163:$BK$168, MATCH(0, COUNTIF($BL$162:BL162, $BK$163:$BK$168), 0),1),0)</f>
        <v>8.91</v>
      </c>
      <c r="BM163" s="214"/>
      <c r="BN163" s="214"/>
      <c r="BP163" s="224">
        <f>MIN(BT120:BT126)</f>
        <v>13.6</v>
      </c>
      <c r="BQ163" s="224">
        <f>SMALL(BP$163:BP$168,1)</f>
        <v>8.91</v>
      </c>
      <c r="BR163" s="224">
        <f t="array" ref="BR163">IFERROR(INDEX($BQ$163:$BQ$168, MATCH(0, COUNTIF($BR$162:BR162, $BQ$163:$BQ$168), 0),1),0)</f>
        <v>8.91</v>
      </c>
      <c r="BS163" s="223"/>
      <c r="BT163" s="223"/>
      <c r="BV163" s="233">
        <f>MIN(BZ120:BZ126)</f>
        <v>0</v>
      </c>
      <c r="BW163" s="233">
        <f>SMALL(BV$163:BV$168,1)</f>
        <v>0</v>
      </c>
      <c r="BX163" s="233">
        <f t="array" ref="BX163">IFERROR(INDEX($BW$163:$BW$168, MATCH(0, COUNTIF($BX$162:BX162, $BW$163:$BW$168), 0),1),0)</f>
        <v>0</v>
      </c>
      <c r="BY163" s="232"/>
      <c r="BZ163" s="232"/>
      <c r="DA163" s="5" t="s">
        <v>165</v>
      </c>
      <c r="DB163" s="5" t="s">
        <v>94</v>
      </c>
      <c r="DC163" s="5">
        <f t="shared" ref="DC163:DC169" si="158">BF144</f>
        <v>4000</v>
      </c>
      <c r="DD163" s="5">
        <f t="shared" ref="DD163:DD169" si="159">BG144</f>
        <v>0</v>
      </c>
      <c r="DE163" s="35">
        <f t="shared" ref="DE163:DE169" si="160">BH144</f>
        <v>13.6</v>
      </c>
      <c r="DF163" s="35"/>
      <c r="DH163" s="48"/>
      <c r="DI163" s="48"/>
      <c r="DJ163" s="35"/>
      <c r="DK163" s="255"/>
      <c r="DL163" s="255"/>
      <c r="DM163" s="35"/>
    </row>
    <row r="164" spans="3:117" hidden="1" x14ac:dyDescent="0.2">
      <c r="AX164" s="197">
        <f>MAX(BB120:BB126)</f>
        <v>13.6</v>
      </c>
      <c r="AY164" s="197">
        <f>SMALL(AX$163:AX$168,2)</f>
        <v>8.91</v>
      </c>
      <c r="AZ164" s="197">
        <f t="array" ref="AZ164">IFERROR(INDEX($AY$163:$AY$168, MATCH(0, COUNTIF(AZ$162:$AZ163, $AY$163:$AY$168), 0),1),0)</f>
        <v>8.91</v>
      </c>
      <c r="BA164" s="196"/>
      <c r="BB164" s="196"/>
      <c r="BD164" s="206">
        <f>MAX(BH120:BH126)</f>
        <v>13.6</v>
      </c>
      <c r="BE164" s="206">
        <f>SMALL(BD$163:BD$168,2)</f>
        <v>8.91</v>
      </c>
      <c r="BF164" s="206">
        <f t="array" ref="BF164">IFERROR(INDEX($BE$163:$BE$168, MATCH(0, COUNTIF($BF$162:BF163, $BE$163:$BE$168), 0),1),0)</f>
        <v>8.91</v>
      </c>
      <c r="BG164" s="205"/>
      <c r="BH164" s="205"/>
      <c r="BJ164" s="215">
        <f>MAX(BN120:BN126)</f>
        <v>13.6</v>
      </c>
      <c r="BK164" s="215">
        <f>SMALL(BJ$163:BJ$168,2)</f>
        <v>8.91</v>
      </c>
      <c r="BL164" s="215">
        <f t="array" ref="BL164">IFERROR(INDEX($BK$163:$BK$168, MATCH(0, COUNTIF($BL$162:BL163, $BK$163:$BK$168), 0),1),0)</f>
        <v>13.6</v>
      </c>
      <c r="BM164" s="214"/>
      <c r="BN164" s="214"/>
      <c r="BP164" s="224">
        <f>MAX(BT120:BT126)</f>
        <v>13.6</v>
      </c>
      <c r="BQ164" s="224">
        <f>SMALL(BP$163:BP$168,2)</f>
        <v>8.91</v>
      </c>
      <c r="BR164" s="224">
        <f t="array" ref="BR164">IFERROR(INDEX($BQ$163:$BQ$168, MATCH(0, COUNTIF($BR$162:BR163, $BQ$163:$BQ$168), 0),1),0)</f>
        <v>13.6</v>
      </c>
      <c r="BS164" s="223"/>
      <c r="BT164" s="223"/>
      <c r="BV164" s="233">
        <f>MAX(BZ120:BZ126)</f>
        <v>0</v>
      </c>
      <c r="BW164" s="233">
        <f>SMALL(BV$163:BV$168,2)</f>
        <v>0</v>
      </c>
      <c r="BX164" s="233">
        <f t="array" ref="BX164">IFERROR(INDEX($BW$163:$BW$168, MATCH(0, COUNTIF($BX$162:BX163, $BW$163:$BW$168), 0),1),0)</f>
        <v>0</v>
      </c>
      <c r="BY164" s="232"/>
      <c r="BZ164" s="232"/>
      <c r="DA164" s="5" t="s">
        <v>165</v>
      </c>
      <c r="DB164" s="5" t="s">
        <v>95</v>
      </c>
      <c r="DC164" s="5">
        <f t="shared" si="158"/>
        <v>4000</v>
      </c>
      <c r="DD164" s="5">
        <f t="shared" si="159"/>
        <v>0</v>
      </c>
      <c r="DE164" s="35">
        <f t="shared" si="160"/>
        <v>13.6</v>
      </c>
      <c r="DF164" s="35"/>
    </row>
    <row r="165" spans="3:117" hidden="1" x14ac:dyDescent="0.2">
      <c r="AX165" s="197">
        <f>MIN(BB127:BB133)</f>
        <v>8.1999999999999993</v>
      </c>
      <c r="AY165" s="197">
        <f>SMALL(AX$163:AX$168,3)</f>
        <v>8.91</v>
      </c>
      <c r="AZ165" s="197">
        <f t="array" ref="AZ165">IFERROR(INDEX($AY$163:$AY$168, MATCH(0, COUNTIF(AZ$162:$AZ164, $AY$163:$AY$168), 0),1),0)</f>
        <v>13.6</v>
      </c>
      <c r="BA165" s="196"/>
      <c r="BB165" s="196"/>
      <c r="BD165" s="206">
        <f>MIN(BH127:BH133)</f>
        <v>8.91</v>
      </c>
      <c r="BE165" s="206">
        <f>SMALL(BD$163:BD$168,3)</f>
        <v>8.91</v>
      </c>
      <c r="BF165" s="206">
        <f t="array" ref="BF165">IFERROR(INDEX($BE$163:$BE$168, MATCH(0, COUNTIF($BF$162:BF164, $BE$163:$BE$168), 0),1),0)</f>
        <v>13.6</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0</v>
      </c>
      <c r="BW165" s="233">
        <f>SMALL(BV$163:BV$168,3)</f>
        <v>0</v>
      </c>
      <c r="BX165" s="233">
        <f t="array" ref="BX165">IFERROR(INDEX($BW$163:$BW$168, MATCH(0, COUNTIF($BX$162:BX164, $BW$163:$BW$168), 0),1),0)</f>
        <v>0</v>
      </c>
      <c r="BY165" s="232"/>
      <c r="BZ165" s="232"/>
      <c r="DA165" s="5" t="s">
        <v>165</v>
      </c>
      <c r="DB165" s="5" t="s">
        <v>93</v>
      </c>
      <c r="DC165" s="5">
        <f t="shared" si="158"/>
        <v>4000</v>
      </c>
      <c r="DD165" s="5">
        <f t="shared" si="159"/>
        <v>0</v>
      </c>
      <c r="DE165" s="35">
        <f t="shared" si="160"/>
        <v>13.6</v>
      </c>
      <c r="DF165" s="35"/>
    </row>
    <row r="166" spans="3:117" hidden="1"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0</v>
      </c>
      <c r="BW166" s="233">
        <f>SMALL(BV$163:BV$168,4)</f>
        <v>0</v>
      </c>
      <c r="BX166" s="233">
        <f t="array" ref="BX166">IFERROR(INDEX($BW$163:$BW$168, MATCH(0, COUNTIF($BX$162:BX165, $BW$163:$BW$168), 0),1),0)</f>
        <v>0</v>
      </c>
      <c r="BY166" s="239"/>
      <c r="BZ166" s="232"/>
      <c r="DA166" s="5" t="s">
        <v>165</v>
      </c>
      <c r="DB166" s="5" t="s">
        <v>94</v>
      </c>
      <c r="DC166" s="5">
        <f t="shared" si="158"/>
        <v>4000</v>
      </c>
      <c r="DD166" s="5">
        <f t="shared" si="159"/>
        <v>0</v>
      </c>
      <c r="DE166" s="35">
        <f t="shared" si="160"/>
        <v>13.6</v>
      </c>
      <c r="DF166" s="35"/>
    </row>
    <row r="167" spans="3:117" hidden="1" x14ac:dyDescent="0.2">
      <c r="AX167" s="197">
        <f>MIN(BB134:BB140)</f>
        <v>8.91</v>
      </c>
      <c r="AY167" s="197">
        <f>SMALL(AX$163:AX$168,5)</f>
        <v>13.6</v>
      </c>
      <c r="AZ167" s="197">
        <f t="array" ref="AZ167">IFERROR(INDEX($AY$163:$AY$168, MATCH(0, COUNTIF(AZ$162:$AZ166, $AY$163:$AY$168), 0),1),0)</f>
        <v>0</v>
      </c>
      <c r="BA167" s="203"/>
      <c r="BB167" s="197"/>
      <c r="BD167" s="206">
        <f>MIN(BH134:BH140)</f>
        <v>8.1999999999999993</v>
      </c>
      <c r="BE167" s="206">
        <f>SMALL(BD$163:BD$168,5)</f>
        <v>13.6</v>
      </c>
      <c r="BF167" s="206">
        <f t="array" ref="BF167">IFERROR(INDEX($BE$163:$BE$168, MATCH(0, COUNTIF($BF$162:BF166, $BE$163:$BE$168), 0),1),0)</f>
        <v>0</v>
      </c>
      <c r="BG167" s="212"/>
      <c r="BH167" s="206"/>
      <c r="BJ167" s="215">
        <f>MIN(BN134:BN140)</f>
        <v>8.91</v>
      </c>
      <c r="BK167" s="215">
        <f>SMALL(BJ$163:BJ$168,5)</f>
        <v>13.6</v>
      </c>
      <c r="BL167" s="215">
        <f t="array" ref="BL167">IFERROR(INDEX($BK$163:$BK$168, MATCH(0, COUNTIF($BL$162:BL166, $BK$163:$BK$168), 0),1),0)</f>
        <v>0</v>
      </c>
      <c r="BM167" s="221"/>
      <c r="BN167" s="215"/>
      <c r="BP167" s="224">
        <f>MIN(BT134:BT140)</f>
        <v>8.91</v>
      </c>
      <c r="BQ167" s="224">
        <f>SMALL(BP$163:BP$168,5)</f>
        <v>13.6</v>
      </c>
      <c r="BR167" s="224">
        <f t="array" ref="BR167">IFERROR(INDEX($BQ$163:$BQ$168, MATCH(0, COUNTIF($BR$162:BR166, $BQ$163:$BQ$168), 0),1),0)</f>
        <v>0</v>
      </c>
      <c r="BS167" s="230"/>
      <c r="BT167" s="224"/>
      <c r="BV167" s="233">
        <f>MIN(BZ134:BZ140)</f>
        <v>0</v>
      </c>
      <c r="BW167" s="233">
        <f>SMALL(BV$163:BV$168,5)</f>
        <v>0</v>
      </c>
      <c r="BX167" s="233">
        <f t="array" ref="BX167">IFERROR(INDEX($BW$163:$BW$168, MATCH(0, COUNTIF($BX$162:BX166, $BW$163:$BW$168), 0),1),0)</f>
        <v>0</v>
      </c>
      <c r="BY167" s="239"/>
      <c r="BZ167" s="233"/>
      <c r="DA167" s="5" t="s">
        <v>165</v>
      </c>
      <c r="DB167" s="5" t="s">
        <v>95</v>
      </c>
      <c r="DC167" s="5">
        <f t="shared" si="158"/>
        <v>4000</v>
      </c>
      <c r="DD167" s="5">
        <f t="shared" si="159"/>
        <v>0</v>
      </c>
      <c r="DE167" s="35">
        <f t="shared" si="160"/>
        <v>13.6</v>
      </c>
      <c r="DF167" s="35"/>
    </row>
    <row r="168" spans="3:117" hidden="1" x14ac:dyDescent="0.2">
      <c r="AX168" s="197">
        <f>MAX(BB134:BB140)</f>
        <v>8.91</v>
      </c>
      <c r="AY168" s="197">
        <f>SMALL(AX$163:AX$168,6)</f>
        <v>13.6</v>
      </c>
      <c r="AZ168" s="197">
        <f t="array" ref="AZ168">IFERROR(INDEX($AY$163:$AY$168, MATCH(0, COUNTIF(AZ$162:$AZ167, $AY$163:$AY$168), 0),1),0)</f>
        <v>0</v>
      </c>
      <c r="BA168" s="203"/>
      <c r="BB168" s="197"/>
      <c r="BD168" s="206">
        <f>MAX(BH134:BH140)</f>
        <v>8.91</v>
      </c>
      <c r="BE168" s="206">
        <f>SMALL(BD$163:BD$168,6)</f>
        <v>13.6</v>
      </c>
      <c r="BF168" s="206">
        <f t="array" ref="BF168">IFERROR(INDEX($BE$163:$BE$168, MATCH(0, COUNTIF($BF$162:BF167, $BE$163:$BE$168), 0),1),0)</f>
        <v>0</v>
      </c>
      <c r="BG168" s="212"/>
      <c r="BH168" s="206"/>
      <c r="BJ168" s="215">
        <f>MAX(BN134:BN140)</f>
        <v>8.91</v>
      </c>
      <c r="BK168" s="215">
        <f>SMALL(BJ$163:BJ$168,6)</f>
        <v>13.6</v>
      </c>
      <c r="BL168" s="215">
        <f t="array" ref="BL168">IFERROR(INDEX($BK$163:$BK$168, MATCH(0, COUNTIF($BL$162:BL167, $BK$163:$BK$168), 0),1),0)</f>
        <v>0</v>
      </c>
      <c r="BM168" s="221"/>
      <c r="BN168" s="215"/>
      <c r="BP168" s="224">
        <f>MAX(BT134:BT140)</f>
        <v>8.91</v>
      </c>
      <c r="BQ168" s="224">
        <f>SMALL(BP$163:BP$168,6)</f>
        <v>13.6</v>
      </c>
      <c r="BR168" s="224">
        <f t="array" ref="BR168">IFERROR(INDEX($BQ$163:$BQ$168, MATCH(0, COUNTIF($BR$162:BR167, $BQ$163:$BQ$168), 0),1),0)</f>
        <v>0</v>
      </c>
      <c r="BS168" s="230"/>
      <c r="BT168" s="224"/>
      <c r="BV168" s="233">
        <f>MAX(BZ134:BZ140)</f>
        <v>0</v>
      </c>
      <c r="BW168" s="233">
        <f>SMALL(BV$163:BV$168,6)</f>
        <v>0</v>
      </c>
      <c r="BX168" s="233">
        <f t="array" ref="BX168">IFERROR(INDEX($BW$163:$BW$168, MATCH(0, COUNTIF($BX$162:BX167, $BW$163:$BW$168), 0),1),0)</f>
        <v>0</v>
      </c>
      <c r="BY168" s="239"/>
      <c r="BZ168" s="233"/>
      <c r="DA168" s="5" t="s">
        <v>166</v>
      </c>
      <c r="DB168" s="5" t="s">
        <v>93</v>
      </c>
      <c r="DC168" s="5" t="str">
        <f t="shared" si="158"/>
        <v>----</v>
      </c>
      <c r="DD168" s="5">
        <f t="shared" si="159"/>
        <v>0</v>
      </c>
      <c r="DE168" s="35">
        <f t="shared" si="160"/>
        <v>8.91</v>
      </c>
      <c r="DF168" s="35"/>
    </row>
    <row r="169" spans="3:117" hidden="1"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166</v>
      </c>
      <c r="DB169" s="5" t="s">
        <v>94</v>
      </c>
      <c r="DC169" s="5" t="str">
        <f t="shared" si="158"/>
        <v>----</v>
      </c>
      <c r="DD169" s="5">
        <f t="shared" si="159"/>
        <v>0</v>
      </c>
      <c r="DE169" s="35">
        <f t="shared" si="160"/>
        <v>8.91</v>
      </c>
      <c r="DF169" s="35"/>
    </row>
    <row r="170" spans="3:117" hidden="1" x14ac:dyDescent="0.2">
      <c r="AW170" s="5"/>
      <c r="AX170" s="5" t="s">
        <v>161</v>
      </c>
      <c r="AY170" s="191" t="s">
        <v>168</v>
      </c>
      <c r="AZ170" s="191" t="s">
        <v>169</v>
      </c>
      <c r="BA170" s="191" t="s">
        <v>170</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171</v>
      </c>
      <c r="CE170" s="334"/>
      <c r="CF170" s="334" t="s">
        <v>171</v>
      </c>
      <c r="CG170" s="333"/>
      <c r="DA170" s="5" t="s">
        <v>166</v>
      </c>
      <c r="DB170" s="5" t="s">
        <v>95</v>
      </c>
      <c r="DC170" s="5" t="str">
        <f t="shared" ref="DC170:DC179" si="161">BF151</f>
        <v>----</v>
      </c>
      <c r="DD170" s="5">
        <f t="shared" ref="DD170:DD179" si="162">BG151</f>
        <v>0</v>
      </c>
      <c r="DE170" s="35">
        <f t="shared" ref="DE170:DE179" si="163">BH151</f>
        <v>8.91</v>
      </c>
      <c r="DF170" s="35"/>
    </row>
    <row r="171" spans="3:117" hidden="1"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172</v>
      </c>
      <c r="CJ171" s="377" t="s">
        <v>172</v>
      </c>
      <c r="DA171" s="5" t="s">
        <v>166</v>
      </c>
      <c r="DB171" s="5" t="s">
        <v>93</v>
      </c>
      <c r="DC171" s="5" t="str">
        <f t="shared" si="161"/>
        <v>----</v>
      </c>
      <c r="DD171" s="5">
        <f t="shared" si="162"/>
        <v>0</v>
      </c>
      <c r="DE171" s="35">
        <f t="shared" si="163"/>
        <v>8.91</v>
      </c>
      <c r="DF171" s="35"/>
    </row>
    <row r="172" spans="3:117" hidden="1" x14ac:dyDescent="0.2">
      <c r="AW172" s="5"/>
      <c r="AX172" s="5"/>
      <c r="AY172" s="5" t="s">
        <v>173</v>
      </c>
      <c r="AZ172" s="5" t="s">
        <v>174</v>
      </c>
      <c r="BA172" s="5" t="s">
        <v>175</v>
      </c>
      <c r="BB172" s="5" t="s">
        <v>176</v>
      </c>
      <c r="BC172" s="5" t="s">
        <v>177</v>
      </c>
      <c r="BD172" s="5" t="s">
        <v>178</v>
      </c>
      <c r="BE172" s="5" t="s">
        <v>179</v>
      </c>
      <c r="BF172" s="5" t="s">
        <v>180</v>
      </c>
      <c r="BG172" s="5" t="s">
        <v>181</v>
      </c>
      <c r="BH172" s="5" t="s">
        <v>182</v>
      </c>
      <c r="BI172" s="5" t="s">
        <v>183</v>
      </c>
      <c r="BJ172" s="5" t="s">
        <v>184</v>
      </c>
      <c r="BK172" s="5" t="s">
        <v>185</v>
      </c>
      <c r="BL172" s="5" t="s">
        <v>186</v>
      </c>
      <c r="BM172" s="5" t="s">
        <v>187</v>
      </c>
      <c r="BN172" s="5" t="s">
        <v>188</v>
      </c>
      <c r="BO172" s="5" t="s">
        <v>189</v>
      </c>
      <c r="BP172" s="5" t="s">
        <v>190</v>
      </c>
      <c r="BQ172" s="5" t="s">
        <v>191</v>
      </c>
      <c r="BR172" s="5" t="s">
        <v>192</v>
      </c>
      <c r="BS172" s="5" t="s">
        <v>193</v>
      </c>
      <c r="BT172" s="5" t="s">
        <v>194</v>
      </c>
      <c r="BU172" s="5" t="s">
        <v>195</v>
      </c>
      <c r="BV172" s="5" t="s">
        <v>196</v>
      </c>
      <c r="BW172" s="5" t="s">
        <v>197</v>
      </c>
      <c r="BX172" s="5" t="s">
        <v>198</v>
      </c>
      <c r="BY172" s="5" t="s">
        <v>199</v>
      </c>
      <c r="BZ172" s="5" t="s">
        <v>200</v>
      </c>
      <c r="CA172" s="5" t="s">
        <v>201</v>
      </c>
      <c r="CB172" s="337" t="s">
        <v>202</v>
      </c>
      <c r="CC172" s="337" t="s">
        <v>203</v>
      </c>
      <c r="CD172" s="333" t="s">
        <v>204</v>
      </c>
      <c r="CE172" s="333" t="s">
        <v>205</v>
      </c>
      <c r="CF172" s="333" t="s">
        <v>204</v>
      </c>
      <c r="CG172" s="333" t="s">
        <v>205</v>
      </c>
      <c r="CH172" s="5" t="s">
        <v>206</v>
      </c>
      <c r="CI172" s="1" t="s">
        <v>207</v>
      </c>
      <c r="CJ172" s="1" t="s">
        <v>208</v>
      </c>
      <c r="DA172" s="5" t="s">
        <v>166</v>
      </c>
      <c r="DB172" s="5" t="s">
        <v>94</v>
      </c>
      <c r="DC172" s="5" t="str">
        <f t="shared" si="161"/>
        <v>----</v>
      </c>
      <c r="DD172" s="5">
        <f t="shared" si="162"/>
        <v>0</v>
      </c>
      <c r="DE172" s="35">
        <f t="shared" si="163"/>
        <v>8.91</v>
      </c>
      <c r="DF172" s="35"/>
    </row>
    <row r="173" spans="3:117" hidden="1" x14ac:dyDescent="0.2">
      <c r="C173" s="379">
        <f>E$18</f>
        <v>44592</v>
      </c>
      <c r="D173" s="384">
        <f>E$31</f>
        <v>0</v>
      </c>
      <c r="E173" s="378"/>
      <c r="F173" s="378"/>
      <c r="G173" s="378"/>
      <c r="H173" s="378"/>
      <c r="I173" s="378"/>
      <c r="J173" s="378"/>
      <c r="K173" s="378"/>
      <c r="L173" s="378"/>
      <c r="M173" s="378"/>
      <c r="N173" s="378"/>
      <c r="O173" s="603"/>
      <c r="P173" s="603"/>
      <c r="Q173" s="603"/>
      <c r="R173" s="603"/>
      <c r="S173" s="603"/>
      <c r="AR173" s="377"/>
      <c r="AS173" s="328">
        <v>0</v>
      </c>
      <c r="AT173" s="1" t="str">
        <f>BA173&amp;(ROUND((AY173*AZ173)*(SUM(BB173:CJ173)/1000000),0))</f>
        <v>9260919</v>
      </c>
      <c r="AV173" s="328" t="str">
        <f>BA173&amp;(ROUND((AY173*AZ173)*(SUM(BB173:CJ173)/1000000),0))</f>
        <v>9260919</v>
      </c>
      <c r="AW173" s="328">
        <v>0</v>
      </c>
      <c r="AX173" s="201" t="str">
        <f>IF((BB173+BD173+BF173+BH173+BJ173+BL173+BN173+BP173+BR173+BT173+BV173+BX173+BZ173+CB173+CD173+CF173+CH173)=0,"Ignore me","Claim")</f>
        <v>Ignore me</v>
      </c>
      <c r="AY173" s="243">
        <f t="array" ref="AY173">IF(SUM($D$173:$D$179)=0,$E$18,MIN(IF($D$173:$D$179&gt;0,$C$173:$C$179)))</f>
        <v>44592</v>
      </c>
      <c r="AZ173" s="243">
        <f t="array" ref="AZ173">IF(SUM($D$173:$D$179)=0,$AC$18,MAX(IF($D$173:$D$179&gt;0,$C$173:$C$179)))</f>
        <v>44598</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166</v>
      </c>
      <c r="DB173" s="5" t="s">
        <v>95</v>
      </c>
      <c r="DC173" s="5" t="str">
        <f t="shared" si="161"/>
        <v>----</v>
      </c>
      <c r="DD173" s="5">
        <f t="shared" si="162"/>
        <v>0</v>
      </c>
      <c r="DE173" s="35">
        <f t="shared" si="163"/>
        <v>8.91</v>
      </c>
      <c r="DF173" s="35"/>
    </row>
    <row r="174" spans="3:117" hidden="1" x14ac:dyDescent="0.2">
      <c r="C174" s="379">
        <f>I$18</f>
        <v>44593</v>
      </c>
      <c r="D174" s="384">
        <f>I$31</f>
        <v>0</v>
      </c>
      <c r="AR174" s="377"/>
      <c r="AS174" s="328">
        <f>COUNTIF($AT$173:$AT173,$AT174)</f>
        <v>0</v>
      </c>
      <c r="AT174" s="1" t="str">
        <f t="shared" ref="AT174:AT237" si="181">BA174&amp;(ROUND((AY174*AZ174)*(SUM(BB174:CJ174)/1000000),0))</f>
        <v>9283511</v>
      </c>
      <c r="AV174" s="328" t="str">
        <f t="shared" ref="AV174:AV237" si="182">BA174&amp;(ROUND((AY174*AZ174)*(SUM(BB174:CJ174)/1000000),0))</f>
        <v>9283511</v>
      </c>
      <c r="AW174" s="328">
        <f>COUNTIF($AT$173:$AT173,$AT174)</f>
        <v>0</v>
      </c>
      <c r="AX174" s="201" t="str">
        <f>IF(OR((BB174+BD174+BF174+BH174+BJ174+BL174+BN174+BP174+BR174+BT174+BV174+BX174+BZ174+CB174+CD174+CF174+CH174)=0,AW174&lt;&gt;0),"Ignore me","Claim")</f>
        <v>Ignore me</v>
      </c>
      <c r="AY174" s="243">
        <f t="array" ref="AY174">IF(SUM($D$173:$D$179)=0,$E$18,MIN(IF($D$173:$D$179&gt;0,$C$173:$C$179)))</f>
        <v>44592</v>
      </c>
      <c r="AZ174" s="243">
        <f t="array" ref="AZ174">IF(SUM($D$173:$D$179)=0,$AC$18,MAX(IF($D$173:$D$179&gt;0,$C$173:$C$179)))</f>
        <v>44598</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167</v>
      </c>
      <c r="DB174" s="5" t="s">
        <v>93</v>
      </c>
      <c r="DC174" s="5" t="str">
        <f t="shared" si="161"/>
        <v>----</v>
      </c>
      <c r="DD174" s="5">
        <f t="shared" si="162"/>
        <v>0</v>
      </c>
      <c r="DE174" s="35">
        <f t="shared" si="163"/>
        <v>8.1999999999999993</v>
      </c>
      <c r="DF174" s="35"/>
    </row>
    <row r="175" spans="3:117" hidden="1" x14ac:dyDescent="0.2">
      <c r="C175" s="379">
        <f>M$18</f>
        <v>44594</v>
      </c>
      <c r="D175" s="384">
        <f>M$31</f>
        <v>0</v>
      </c>
      <c r="AR175" s="377"/>
      <c r="AS175" s="328">
        <f>COUNTIF($AT$173:$AT174,$AT175)</f>
        <v>0</v>
      </c>
      <c r="AT175" s="1" t="str">
        <f t="shared" si="181"/>
        <v>9432744</v>
      </c>
      <c r="AV175" s="328" t="str">
        <f t="shared" si="182"/>
        <v>9432744</v>
      </c>
      <c r="AW175" s="328">
        <f>COUNTIF($AT$173:$AT174,$AT175)</f>
        <v>0</v>
      </c>
      <c r="AX175" s="201" t="str">
        <f t="shared" ref="AX175:AX238" si="183">IF(OR((BB175+BD175+BF175+BH175+BJ175+BL175+BN175+BP175+BR175+BT175+BV175+BX175+BZ175+CB175+CD175+CF175+CH175)=0,AW175&lt;&gt;0),"Ignore me","Claim")</f>
        <v>Ignore me</v>
      </c>
      <c r="AY175" s="243">
        <f t="array" ref="AY175">IF(SUM($D$173:$D$179)=0,$E$18,MIN(IF($D$173:$D$179&gt;0,$C$173:$C$179)))</f>
        <v>44592</v>
      </c>
      <c r="AZ175" s="243">
        <f t="array" ref="AZ175">IF(SUM($D$173:$D$179)=0,$AC$18,MAX(IF($D$173:$D$179&gt;0,$C$173:$C$179)))</f>
        <v>44598</v>
      </c>
      <c r="BA175" s="244">
        <f t="shared" si="164"/>
        <v>9</v>
      </c>
      <c r="BB175" s="195">
        <f t="shared" si="165"/>
        <v>0</v>
      </c>
      <c r="BC175" s="245">
        <f>$AZ$165</f>
        <v>13.6</v>
      </c>
      <c r="BD175" s="195">
        <f t="shared" si="166"/>
        <v>0</v>
      </c>
      <c r="BE175" s="245">
        <f>$AZ$165</f>
        <v>13.6</v>
      </c>
      <c r="BF175" s="195">
        <f t="shared" si="167"/>
        <v>0</v>
      </c>
      <c r="BG175" s="245">
        <f>$AZ$165</f>
        <v>13.6</v>
      </c>
      <c r="BH175" s="195">
        <f t="shared" si="168"/>
        <v>0</v>
      </c>
      <c r="BI175" s="245">
        <f>$AZ$165</f>
        <v>13.6</v>
      </c>
      <c r="BJ175" s="195">
        <f t="shared" si="169"/>
        <v>0</v>
      </c>
      <c r="BK175" s="245">
        <f>$AZ$165</f>
        <v>13.6</v>
      </c>
      <c r="BL175" s="195">
        <f t="shared" si="170"/>
        <v>0</v>
      </c>
      <c r="BM175" s="245">
        <f>$AZ$165</f>
        <v>13.6</v>
      </c>
      <c r="BN175" s="195">
        <f t="shared" si="171"/>
        <v>0</v>
      </c>
      <c r="BO175" s="245">
        <f>$AZ$165</f>
        <v>13.6</v>
      </c>
      <c r="BP175" s="195">
        <f t="shared" si="172"/>
        <v>0</v>
      </c>
      <c r="BQ175" s="245">
        <f>$AZ$165</f>
        <v>13.6</v>
      </c>
      <c r="BR175" s="195">
        <f t="shared" si="173"/>
        <v>0</v>
      </c>
      <c r="BS175" s="245">
        <f>$AZ$165</f>
        <v>13.6</v>
      </c>
      <c r="BT175" s="195">
        <f t="shared" si="174"/>
        <v>0</v>
      </c>
      <c r="BU175" s="245">
        <f>$AZ$165</f>
        <v>13.6</v>
      </c>
      <c r="BV175" s="195">
        <f t="shared" si="175"/>
        <v>0</v>
      </c>
      <c r="BW175" s="245">
        <f>$AZ$165</f>
        <v>13.6</v>
      </c>
      <c r="BX175" s="195">
        <f t="shared" si="176"/>
        <v>0</v>
      </c>
      <c r="BY175" s="245">
        <f>$AZ$165</f>
        <v>13.6</v>
      </c>
      <c r="BZ175" s="195">
        <f t="shared" si="177"/>
        <v>0</v>
      </c>
      <c r="CA175" s="245">
        <f>$AZ$165</f>
        <v>13.6</v>
      </c>
      <c r="CB175" s="195">
        <f t="shared" si="178"/>
        <v>0</v>
      </c>
      <c r="CC175" s="245">
        <f>$AZ$165</f>
        <v>13.6</v>
      </c>
      <c r="CD175" s="195">
        <f t="shared" si="179"/>
        <v>0</v>
      </c>
      <c r="CE175" s="245">
        <f>$AZ$165</f>
        <v>13.6</v>
      </c>
      <c r="CF175" s="195">
        <f t="shared" si="180"/>
        <v>0</v>
      </c>
      <c r="CG175" s="245">
        <f>$AZ$165</f>
        <v>13.6</v>
      </c>
      <c r="CH175" s="35">
        <v>0</v>
      </c>
      <c r="CI175" s="35">
        <v>0</v>
      </c>
      <c r="CJ175" s="35">
        <v>0</v>
      </c>
      <c r="DA175" s="5" t="s">
        <v>167</v>
      </c>
      <c r="DB175" s="5" t="s">
        <v>94</v>
      </c>
      <c r="DC175" s="5" t="str">
        <f t="shared" si="161"/>
        <v>----</v>
      </c>
      <c r="DD175" s="5">
        <f t="shared" si="162"/>
        <v>0</v>
      </c>
      <c r="DE175" s="35">
        <f t="shared" si="163"/>
        <v>8.1999999999999993</v>
      </c>
      <c r="DF175" s="35"/>
    </row>
    <row r="176" spans="3:117" hidden="1" x14ac:dyDescent="0.2">
      <c r="C176" s="379">
        <f>Q$18</f>
        <v>44595</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44592</v>
      </c>
      <c r="AZ176" s="243">
        <f t="array" ref="AZ176">IF(SUM($D$173:$D$179)=0,$AC$18,MAX(IF($D$173:$D$179&gt;0,$C$173:$C$179)))</f>
        <v>44598</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167</v>
      </c>
      <c r="DB176" s="5" t="s">
        <v>95</v>
      </c>
      <c r="DC176" s="5" t="str">
        <f t="shared" si="161"/>
        <v>----</v>
      </c>
      <c r="DD176" s="5">
        <f t="shared" si="162"/>
        <v>0</v>
      </c>
      <c r="DE176" s="35">
        <f t="shared" si="163"/>
        <v>8.1999999999999993</v>
      </c>
      <c r="DF176" s="35"/>
    </row>
    <row r="177" spans="3:110" hidden="1" x14ac:dyDescent="0.2">
      <c r="C177" s="379">
        <f>U$18</f>
        <v>44596</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44592</v>
      </c>
      <c r="AZ177" s="243">
        <f t="array" ref="AZ177">IF(SUM($D$173:$D$179)=0,$AC$18,MAX(IF($D$173:$D$179&gt;0,$C$173:$C$179)))</f>
        <v>44598</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167</v>
      </c>
      <c r="DB177" s="5" t="s">
        <v>93</v>
      </c>
      <c r="DC177" s="5" t="str">
        <f t="shared" si="161"/>
        <v>----</v>
      </c>
      <c r="DD177" s="5">
        <f t="shared" si="162"/>
        <v>0</v>
      </c>
      <c r="DE177" s="35">
        <f t="shared" si="163"/>
        <v>8.91</v>
      </c>
      <c r="DF177" s="35"/>
    </row>
    <row r="178" spans="3:110" hidden="1" x14ac:dyDescent="0.2">
      <c r="C178" s="379">
        <f>Y$18</f>
        <v>44597</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44592</v>
      </c>
      <c r="AZ178" s="243">
        <f t="array" ref="AZ178">IF(SUM($D$173:$D$179)=0,$AC$18,MAX(IF($D$173:$D$179&gt;0,$C$173:$C$179)))</f>
        <v>44598</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167</v>
      </c>
      <c r="DB178" s="5" t="s">
        <v>94</v>
      </c>
      <c r="DC178" s="5" t="str">
        <f t="shared" si="161"/>
        <v>----</v>
      </c>
      <c r="DD178" s="5">
        <f t="shared" si="162"/>
        <v>0</v>
      </c>
      <c r="DE178" s="35">
        <f t="shared" si="163"/>
        <v>8.91</v>
      </c>
      <c r="DF178" s="35"/>
    </row>
    <row r="179" spans="3:110" hidden="1" x14ac:dyDescent="0.2">
      <c r="C179" s="379">
        <f>AC$18</f>
        <v>44598</v>
      </c>
      <c r="D179" s="384">
        <f>AC$31</f>
        <v>0</v>
      </c>
      <c r="AR179" s="377"/>
      <c r="AS179" s="328">
        <f>COUNTIF($AT$173:$AT178,$AT179)</f>
        <v>0</v>
      </c>
      <c r="AT179" s="1" t="str">
        <f t="shared" si="181"/>
        <v>0260919</v>
      </c>
      <c r="AV179" s="328" t="str">
        <f t="shared" si="182"/>
        <v>0260919</v>
      </c>
      <c r="AW179" s="328">
        <f>COUNTIF($AT$173:$AT178,$AT179)</f>
        <v>0</v>
      </c>
      <c r="AX179" s="201" t="str">
        <f t="shared" si="183"/>
        <v>Ignore me</v>
      </c>
      <c r="AY179" s="243">
        <f t="array" ref="AY179">IF(SUM($D$173:$D$179)=0,$E$18,MIN(IF($D$173:$D$179&gt;0,$C$173:$C$179)))</f>
        <v>44592</v>
      </c>
      <c r="AZ179" s="243">
        <f t="array" ref="AZ179">IF(SUM($D$173:$D$179)=0,$AC$18,MAX(IF($D$173:$D$179&gt;0,$C$173:$C$179)))</f>
        <v>44598</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167</v>
      </c>
      <c r="DB179" s="5" t="s">
        <v>95</v>
      </c>
      <c r="DC179" s="5" t="str">
        <f t="shared" si="161"/>
        <v>----</v>
      </c>
      <c r="DD179" s="5">
        <f t="shared" si="162"/>
        <v>0</v>
      </c>
      <c r="DE179" s="35">
        <f t="shared" si="163"/>
        <v>8.91</v>
      </c>
      <c r="DF179" s="35"/>
    </row>
    <row r="180" spans="3:110" hidden="1" x14ac:dyDescent="0.2">
      <c r="C180" s="380">
        <f>E$34</f>
        <v>44599</v>
      </c>
      <c r="D180" s="385">
        <f>E$47</f>
        <v>13.6</v>
      </c>
      <c r="AR180" s="377"/>
      <c r="AS180" s="328">
        <f>COUNTIF($AT$173:$AT179,$AT180)</f>
        <v>0</v>
      </c>
      <c r="AT180" s="1" t="str">
        <f t="shared" si="181"/>
        <v>0283511</v>
      </c>
      <c r="AV180" s="328" t="str">
        <f t="shared" si="182"/>
        <v>0283511</v>
      </c>
      <c r="AW180" s="328">
        <f>COUNTIF($AT$173:$AT179,$AT180)</f>
        <v>0</v>
      </c>
      <c r="AX180" s="201" t="str">
        <f t="shared" si="183"/>
        <v>Ignore me</v>
      </c>
      <c r="AY180" s="243">
        <f t="array" ref="AY180">IF(SUM($D$173:$D$179)=0,$E$18,MIN(IF($D$173:$D$179&gt;0,$C$173:$C$179)))</f>
        <v>44592</v>
      </c>
      <c r="AZ180" s="243">
        <f t="array" ref="AZ180">IF(SUM($D$173:$D$179)=0,$AC$18,MAX(IF($D$173:$D$179&gt;0,$C$173:$C$179)))</f>
        <v>44598</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165</v>
      </c>
      <c r="DB180" s="5" t="s">
        <v>93</v>
      </c>
      <c r="DC180" s="5">
        <f t="shared" ref="DC180:DC197" si="185">BL143</f>
        <v>4000</v>
      </c>
      <c r="DD180" s="5">
        <f t="shared" ref="DD180:DD197" si="186">BM143</f>
        <v>3</v>
      </c>
      <c r="DE180" s="35">
        <f t="shared" ref="DE180:DE197" si="187">BN143</f>
        <v>13.6</v>
      </c>
      <c r="DF180" s="35"/>
    </row>
    <row r="181" spans="3:110" hidden="1" x14ac:dyDescent="0.2">
      <c r="C181" s="380">
        <f>I$34</f>
        <v>44600</v>
      </c>
      <c r="D181" s="385">
        <f>I$47</f>
        <v>13.6</v>
      </c>
      <c r="AR181" s="377"/>
      <c r="AS181" s="328">
        <f>COUNTIF($AT$173:$AT180,$AT181)</f>
        <v>0</v>
      </c>
      <c r="AT181" s="1" t="str">
        <f t="shared" si="181"/>
        <v>0432744</v>
      </c>
      <c r="AV181" s="328" t="str">
        <f t="shared" si="182"/>
        <v>0432744</v>
      </c>
      <c r="AW181" s="328">
        <f>COUNTIF($AT$173:$AT180,$AT181)</f>
        <v>0</v>
      </c>
      <c r="AX181" s="201" t="str">
        <f t="shared" si="183"/>
        <v>Ignore me</v>
      </c>
      <c r="AY181" s="243">
        <f t="array" ref="AY181">IF(SUM($D$173:$D$179)=0,$E$18,MIN(IF($D$173:$D$179&gt;0,$C$173:$C$179)))</f>
        <v>44592</v>
      </c>
      <c r="AZ181" s="243">
        <f t="array" ref="AZ181">IF(SUM($D$173:$D$179)=0,$AC$18,MAX(IF($D$173:$D$179&gt;0,$C$173:$C$179)))</f>
        <v>44598</v>
      </c>
      <c r="BA181" s="244">
        <f t="shared" si="184"/>
        <v>0</v>
      </c>
      <c r="BB181" s="195">
        <f t="shared" si="165"/>
        <v>0</v>
      </c>
      <c r="BC181" s="245">
        <f>$AZ$165</f>
        <v>13.6</v>
      </c>
      <c r="BD181" s="195">
        <f t="shared" si="166"/>
        <v>0</v>
      </c>
      <c r="BE181" s="245">
        <f>$AZ$165</f>
        <v>13.6</v>
      </c>
      <c r="BF181" s="195">
        <f t="shared" si="167"/>
        <v>0</v>
      </c>
      <c r="BG181" s="245">
        <f>$AZ$165</f>
        <v>13.6</v>
      </c>
      <c r="BH181" s="195">
        <f t="shared" si="168"/>
        <v>0</v>
      </c>
      <c r="BI181" s="245">
        <f>$AZ$165</f>
        <v>13.6</v>
      </c>
      <c r="BJ181" s="195">
        <f t="shared" si="169"/>
        <v>0</v>
      </c>
      <c r="BK181" s="245">
        <f>$AZ$165</f>
        <v>13.6</v>
      </c>
      <c r="BL181" s="195">
        <f t="shared" si="170"/>
        <v>0</v>
      </c>
      <c r="BM181" s="245">
        <f>$AZ$165</f>
        <v>13.6</v>
      </c>
      <c r="BN181" s="195">
        <f t="shared" si="171"/>
        <v>0</v>
      </c>
      <c r="BO181" s="245">
        <f>$AZ$165</f>
        <v>13.6</v>
      </c>
      <c r="BP181" s="195">
        <f t="shared" si="172"/>
        <v>0</v>
      </c>
      <c r="BQ181" s="245">
        <f>$AZ$165</f>
        <v>13.6</v>
      </c>
      <c r="BR181" s="195">
        <f t="shared" si="173"/>
        <v>0</v>
      </c>
      <c r="BS181" s="245">
        <f>$AZ$165</f>
        <v>13.6</v>
      </c>
      <c r="BT181" s="195">
        <f t="shared" si="174"/>
        <v>0</v>
      </c>
      <c r="BU181" s="245">
        <f>$AZ$165</f>
        <v>13.6</v>
      </c>
      <c r="BV181" s="195">
        <f t="shared" si="175"/>
        <v>0</v>
      </c>
      <c r="BW181" s="245">
        <f>$AZ$165</f>
        <v>13.6</v>
      </c>
      <c r="BX181" s="195">
        <f t="shared" si="176"/>
        <v>0</v>
      </c>
      <c r="BY181" s="245">
        <f>$AZ$165</f>
        <v>13.6</v>
      </c>
      <c r="BZ181" s="195">
        <f t="shared" si="177"/>
        <v>0</v>
      </c>
      <c r="CA181" s="245">
        <f>$AZ$165</f>
        <v>13.6</v>
      </c>
      <c r="CB181" s="195">
        <f t="shared" si="178"/>
        <v>0</v>
      </c>
      <c r="CC181" s="245">
        <f>$AZ$165</f>
        <v>13.6</v>
      </c>
      <c r="CD181" s="195">
        <f t="shared" si="179"/>
        <v>0</v>
      </c>
      <c r="CE181" s="245">
        <f>$AZ$165</f>
        <v>13.6</v>
      </c>
      <c r="CF181" s="195">
        <f t="shared" si="180"/>
        <v>0</v>
      </c>
      <c r="CG181" s="245">
        <f>$AZ$165</f>
        <v>13.6</v>
      </c>
      <c r="CH181" s="35">
        <v>0</v>
      </c>
      <c r="CI181" s="35">
        <v>0</v>
      </c>
      <c r="CJ181" s="35">
        <v>0</v>
      </c>
      <c r="DA181" s="5" t="s">
        <v>165</v>
      </c>
      <c r="DB181" s="5" t="s">
        <v>94</v>
      </c>
      <c r="DC181" s="5">
        <f t="shared" si="185"/>
        <v>4000</v>
      </c>
      <c r="DD181" s="5">
        <f t="shared" si="186"/>
        <v>0</v>
      </c>
      <c r="DE181" s="35">
        <f t="shared" si="187"/>
        <v>13.6</v>
      </c>
      <c r="DF181" s="35"/>
    </row>
    <row r="182" spans="3:110" hidden="1" x14ac:dyDescent="0.2">
      <c r="C182" s="380">
        <f>M$34</f>
        <v>44601</v>
      </c>
      <c r="D182" s="385">
        <f>M$47</f>
        <v>13.6</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44592</v>
      </c>
      <c r="AZ182" s="243">
        <f t="array" ref="AZ182">IF(SUM($D$173:$D$179)=0,$AC$18,MAX(IF($D$173:$D$179&gt;0,$C$173:$C$179)))</f>
        <v>44598</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165</v>
      </c>
      <c r="DB182" s="5" t="s">
        <v>95</v>
      </c>
      <c r="DC182" s="5">
        <f t="shared" si="185"/>
        <v>4000</v>
      </c>
      <c r="DD182" s="5">
        <f t="shared" si="186"/>
        <v>0</v>
      </c>
      <c r="DE182" s="35">
        <f t="shared" si="187"/>
        <v>13.6</v>
      </c>
      <c r="DF182" s="35"/>
    </row>
    <row r="183" spans="3:110" hidden="1" x14ac:dyDescent="0.2">
      <c r="C183" s="380">
        <f>Q$34</f>
        <v>44602</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44592</v>
      </c>
      <c r="AZ183" s="243">
        <f t="array" ref="AZ183">IF(SUM($D$173:$D$179)=0,$AC$18,MAX(IF($D$173:$D$179&gt;0,$C$173:$C$179)))</f>
        <v>44598</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165</v>
      </c>
      <c r="DB183" s="5" t="s">
        <v>93</v>
      </c>
      <c r="DC183" s="5">
        <f t="shared" si="185"/>
        <v>4000</v>
      </c>
      <c r="DD183" s="5">
        <f t="shared" si="186"/>
        <v>0</v>
      </c>
      <c r="DE183" s="35">
        <f t="shared" si="187"/>
        <v>13.6</v>
      </c>
      <c r="DF183" s="35"/>
    </row>
    <row r="184" spans="3:110" hidden="1" x14ac:dyDescent="0.2">
      <c r="C184" s="380">
        <f>U$34</f>
        <v>44603</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44592</v>
      </c>
      <c r="AZ184" s="243">
        <f t="array" ref="AZ184">IF(SUM($D$173:$D$179)=0,$AC$18,MAX(IF($D$173:$D$179&gt;0,$C$173:$C$179)))</f>
        <v>44598</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165</v>
      </c>
      <c r="DB184" s="5" t="s">
        <v>94</v>
      </c>
      <c r="DC184" s="5">
        <f t="shared" si="185"/>
        <v>4000</v>
      </c>
      <c r="DD184" s="5">
        <f t="shared" si="186"/>
        <v>0</v>
      </c>
      <c r="DE184" s="35">
        <f t="shared" si="187"/>
        <v>13.6</v>
      </c>
      <c r="DF184" s="35"/>
    </row>
    <row r="185" spans="3:110" hidden="1" x14ac:dyDescent="0.2">
      <c r="C185" s="380">
        <f>Y$34</f>
        <v>44604</v>
      </c>
      <c r="D185" s="385">
        <f>Y$47</f>
        <v>0</v>
      </c>
      <c r="AR185" s="377"/>
      <c r="AS185" s="328">
        <f>COUNTIF($AT$173:$AT184,$AT185)</f>
        <v>1</v>
      </c>
      <c r="AT185" s="1" t="str">
        <f t="shared" si="181"/>
        <v>0260919</v>
      </c>
      <c r="AV185" s="328" t="str">
        <f t="shared" si="182"/>
        <v>0260919</v>
      </c>
      <c r="AW185" s="328">
        <f>COUNTIF($AT$173:$AT184,$AT185)</f>
        <v>1</v>
      </c>
      <c r="AX185" s="201" t="str">
        <f t="shared" si="183"/>
        <v>Ignore me</v>
      </c>
      <c r="AY185" s="243">
        <f t="array" ref="AY185">IF(SUM($D$173:$D$179)=0,$E$18,MIN(IF($D$173:$D$179&gt;0,$C$173:$C$179)))</f>
        <v>44592</v>
      </c>
      <c r="AZ185" s="243">
        <f t="array" ref="AZ185">IF(SUM($D$173:$D$179)=0,$AC$18,MAX(IF($D$173:$D$179&gt;0,$C$173:$C$179)))</f>
        <v>44598</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165</v>
      </c>
      <c r="DB185" s="5" t="s">
        <v>95</v>
      </c>
      <c r="DC185" s="5">
        <f t="shared" si="185"/>
        <v>4000</v>
      </c>
      <c r="DD185" s="5">
        <f t="shared" si="186"/>
        <v>0</v>
      </c>
      <c r="DE185" s="35">
        <f t="shared" si="187"/>
        <v>13.6</v>
      </c>
      <c r="DF185" s="35"/>
    </row>
    <row r="186" spans="3:110" hidden="1" x14ac:dyDescent="0.2">
      <c r="C186" s="380">
        <f>AC$34</f>
        <v>44605</v>
      </c>
      <c r="D186" s="385">
        <f>AC$47</f>
        <v>0</v>
      </c>
      <c r="AR186" s="377"/>
      <c r="AS186" s="328">
        <f>COUNTIF($AT$173:$AT185,$AT186)</f>
        <v>1</v>
      </c>
      <c r="AT186" s="1" t="str">
        <f t="shared" si="181"/>
        <v>0283511</v>
      </c>
      <c r="AV186" s="328" t="str">
        <f t="shared" si="182"/>
        <v>0283511</v>
      </c>
      <c r="AW186" s="328">
        <f>COUNTIF($AT$173:$AT185,$AT186)</f>
        <v>1</v>
      </c>
      <c r="AX186" s="201" t="str">
        <f t="shared" si="183"/>
        <v>Ignore me</v>
      </c>
      <c r="AY186" s="243">
        <f t="array" ref="AY186">IF(SUM($D$173:$D$179)=0,$E$18,MIN(IF($D$173:$D$179&gt;0,$C$173:$C$179)))</f>
        <v>44592</v>
      </c>
      <c r="AZ186" s="243">
        <f t="array" ref="AZ186">IF(SUM($D$173:$D$179)=0,$AC$18,MAX(IF($D$173:$D$179&gt;0,$C$173:$C$179)))</f>
        <v>44598</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166</v>
      </c>
      <c r="DB186" s="5" t="s">
        <v>93</v>
      </c>
      <c r="DC186" s="5" t="str">
        <f t="shared" si="185"/>
        <v>----</v>
      </c>
      <c r="DD186" s="5">
        <f t="shared" si="186"/>
        <v>0</v>
      </c>
      <c r="DE186" s="35">
        <f t="shared" si="187"/>
        <v>8.91</v>
      </c>
      <c r="DF186" s="35"/>
    </row>
    <row r="187" spans="3:110" hidden="1" x14ac:dyDescent="0.2">
      <c r="C187" s="381">
        <f>E$50</f>
        <v>44606</v>
      </c>
      <c r="D187" s="386">
        <f>E$63</f>
        <v>13.6</v>
      </c>
      <c r="AR187" s="377"/>
      <c r="AS187" s="328">
        <f>COUNTIF($AT$173:$AT186,$AT187)</f>
        <v>1</v>
      </c>
      <c r="AT187" s="1" t="str">
        <f t="shared" si="181"/>
        <v>0432744</v>
      </c>
      <c r="AV187" s="328" t="str">
        <f t="shared" si="182"/>
        <v>0432744</v>
      </c>
      <c r="AW187" s="328">
        <f>COUNTIF($AT$173:$AT186,$AT187)</f>
        <v>1</v>
      </c>
      <c r="AX187" s="201" t="str">
        <f t="shared" si="183"/>
        <v>Ignore me</v>
      </c>
      <c r="AY187" s="243">
        <f t="array" ref="AY187">IF(SUM($D$173:$D$179)=0,$E$18,MIN(IF($D$173:$D$179&gt;0,$C$173:$C$179)))</f>
        <v>44592</v>
      </c>
      <c r="AZ187" s="243">
        <f t="array" ref="AZ187">IF(SUM($D$173:$D$179)=0,$AC$18,MAX(IF($D$173:$D$179&gt;0,$C$173:$C$179)))</f>
        <v>44598</v>
      </c>
      <c r="BA187" s="244">
        <f t="shared" si="188"/>
        <v>0</v>
      </c>
      <c r="BB187" s="195">
        <f t="shared" si="165"/>
        <v>0</v>
      </c>
      <c r="BC187" s="245">
        <f>$AZ$165</f>
        <v>13.6</v>
      </c>
      <c r="BD187" s="195">
        <f t="shared" si="166"/>
        <v>0</v>
      </c>
      <c r="BE187" s="245">
        <f>$AZ$165</f>
        <v>13.6</v>
      </c>
      <c r="BF187" s="195">
        <f t="shared" si="167"/>
        <v>0</v>
      </c>
      <c r="BG187" s="245">
        <f>$AZ$165</f>
        <v>13.6</v>
      </c>
      <c r="BH187" s="195">
        <f t="shared" si="168"/>
        <v>0</v>
      </c>
      <c r="BI187" s="245">
        <f>$AZ$165</f>
        <v>13.6</v>
      </c>
      <c r="BJ187" s="195">
        <f t="shared" si="169"/>
        <v>0</v>
      </c>
      <c r="BK187" s="245">
        <f>$AZ$165</f>
        <v>13.6</v>
      </c>
      <c r="BL187" s="195">
        <f t="shared" si="170"/>
        <v>0</v>
      </c>
      <c r="BM187" s="245">
        <f>$AZ$165</f>
        <v>13.6</v>
      </c>
      <c r="BN187" s="195">
        <f t="shared" si="171"/>
        <v>0</v>
      </c>
      <c r="BO187" s="245">
        <f>$AZ$165</f>
        <v>13.6</v>
      </c>
      <c r="BP187" s="195">
        <f t="shared" si="172"/>
        <v>0</v>
      </c>
      <c r="BQ187" s="245">
        <f>$AZ$165</f>
        <v>13.6</v>
      </c>
      <c r="BR187" s="195">
        <f t="shared" si="173"/>
        <v>0</v>
      </c>
      <c r="BS187" s="245">
        <f>$AZ$165</f>
        <v>13.6</v>
      </c>
      <c r="BT187" s="195">
        <f t="shared" si="174"/>
        <v>0</v>
      </c>
      <c r="BU187" s="245">
        <f>$AZ$165</f>
        <v>13.6</v>
      </c>
      <c r="BV187" s="195">
        <f t="shared" si="175"/>
        <v>0</v>
      </c>
      <c r="BW187" s="245">
        <f>$AZ$165</f>
        <v>13.6</v>
      </c>
      <c r="BX187" s="195">
        <f t="shared" si="176"/>
        <v>0</v>
      </c>
      <c r="BY187" s="245">
        <f>$AZ$165</f>
        <v>13.6</v>
      </c>
      <c r="BZ187" s="195">
        <f t="shared" si="177"/>
        <v>0</v>
      </c>
      <c r="CA187" s="245">
        <f>$AZ$165</f>
        <v>13.6</v>
      </c>
      <c r="CB187" s="195">
        <f t="shared" si="178"/>
        <v>0</v>
      </c>
      <c r="CC187" s="245">
        <f>$AZ$165</f>
        <v>13.6</v>
      </c>
      <c r="CD187" s="195">
        <f t="shared" si="179"/>
        <v>0</v>
      </c>
      <c r="CE187" s="245">
        <f>$AZ$165</f>
        <v>13.6</v>
      </c>
      <c r="CF187" s="195">
        <f t="shared" si="180"/>
        <v>0</v>
      </c>
      <c r="CG187" s="245">
        <f>$AZ$165</f>
        <v>13.6</v>
      </c>
      <c r="CH187" s="35">
        <v>0</v>
      </c>
      <c r="CI187" s="35">
        <v>0</v>
      </c>
      <c r="CJ187" s="35">
        <v>0</v>
      </c>
      <c r="DA187" s="5" t="s">
        <v>166</v>
      </c>
      <c r="DB187" s="5" t="s">
        <v>94</v>
      </c>
      <c r="DC187" s="5" t="str">
        <f t="shared" si="185"/>
        <v>----</v>
      </c>
      <c r="DD187" s="5">
        <f t="shared" si="186"/>
        <v>0</v>
      </c>
      <c r="DE187" s="35">
        <f t="shared" si="187"/>
        <v>8.91</v>
      </c>
      <c r="DF187" s="35"/>
    </row>
    <row r="188" spans="3:110" hidden="1" x14ac:dyDescent="0.2">
      <c r="C188" s="381">
        <f>I$50</f>
        <v>44607</v>
      </c>
      <c r="D188" s="386">
        <f>I$63</f>
        <v>13.6</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44592</v>
      </c>
      <c r="AZ188" s="243">
        <f t="array" ref="AZ188">IF(SUM($D$173:$D$179)=0,$AC$18,MAX(IF($D$173:$D$179&gt;0,$C$173:$C$179)))</f>
        <v>44598</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166</v>
      </c>
      <c r="DB188" s="5" t="s">
        <v>95</v>
      </c>
      <c r="DC188" s="5" t="str">
        <f t="shared" si="185"/>
        <v>----</v>
      </c>
      <c r="DD188" s="5">
        <f t="shared" si="186"/>
        <v>0</v>
      </c>
      <c r="DE188" s="35">
        <f t="shared" si="187"/>
        <v>8.91</v>
      </c>
      <c r="DF188" s="35"/>
    </row>
    <row r="189" spans="3:110" hidden="1" x14ac:dyDescent="0.2">
      <c r="C189" s="381">
        <f>M$50</f>
        <v>44608</v>
      </c>
      <c r="D189" s="386">
        <f>M$63</f>
        <v>13.6</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44592</v>
      </c>
      <c r="AZ189" s="243">
        <f t="array" ref="AZ189">IF(SUM($D$173:$D$179)=0,$AC$18,MAX(IF($D$173:$D$179&gt;0,$C$173:$C$179)))</f>
        <v>44598</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166</v>
      </c>
      <c r="DB189" s="5" t="s">
        <v>93</v>
      </c>
      <c r="DC189" s="5" t="str">
        <f t="shared" si="185"/>
        <v>----</v>
      </c>
      <c r="DD189" s="5">
        <f t="shared" si="186"/>
        <v>0</v>
      </c>
      <c r="DE189" s="35">
        <f t="shared" si="187"/>
        <v>8.91</v>
      </c>
      <c r="DF189" s="35"/>
    </row>
    <row r="190" spans="3:110" hidden="1" x14ac:dyDescent="0.2">
      <c r="C190" s="381">
        <f>Q$50</f>
        <v>44609</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44592</v>
      </c>
      <c r="AZ190" s="243">
        <f t="array" ref="AZ190">IF(SUM($D$173:$D$179)=0,$AC$18,MAX(IF($D$173:$D$179&gt;0,$C$173:$C$179)))</f>
        <v>44598</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166</v>
      </c>
      <c r="DB190" s="5" t="s">
        <v>94</v>
      </c>
      <c r="DC190" s="5" t="str">
        <f t="shared" si="185"/>
        <v>----</v>
      </c>
      <c r="DD190" s="5">
        <f t="shared" si="186"/>
        <v>0</v>
      </c>
      <c r="DE190" s="35">
        <f t="shared" si="187"/>
        <v>8.91</v>
      </c>
      <c r="DF190" s="35"/>
    </row>
    <row r="191" spans="3:110" hidden="1" x14ac:dyDescent="0.2">
      <c r="C191" s="381">
        <f>U$50</f>
        <v>44610</v>
      </c>
      <c r="D191" s="386">
        <f>U$63</f>
        <v>0</v>
      </c>
      <c r="AR191" s="377"/>
      <c r="AS191" s="328">
        <f>COUNTIF($AT$173:$AT190,$AT191)</f>
        <v>0</v>
      </c>
      <c r="AT191" s="1" t="str">
        <f t="shared" si="181"/>
        <v>9260978</v>
      </c>
      <c r="AV191" s="328" t="str">
        <f t="shared" si="182"/>
        <v>9260978</v>
      </c>
      <c r="AW191" s="328">
        <f>COUNTIF($AT$173:$AT190,$AT191)</f>
        <v>0</v>
      </c>
      <c r="AX191" s="201" t="str">
        <f t="shared" si="183"/>
        <v>Ignore me</v>
      </c>
      <c r="AY191" s="240">
        <f t="array" ref="AY191">IF(SUM($D$180:$D$186)=0,$E$34,MIN(IF($D$180:$D$186&gt;0,$C$180:$C$186)))</f>
        <v>44599</v>
      </c>
      <c r="AZ191" s="240">
        <f t="array" ref="AZ191">IF(SUM($D$180:$D$186)=0,$AC$34,MAX(IF($D$180:$D$186&gt;0,$C$180:$C$186)))</f>
        <v>44601</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166</v>
      </c>
      <c r="DB191" s="5" t="s">
        <v>95</v>
      </c>
      <c r="DC191" s="5" t="str">
        <f t="shared" si="185"/>
        <v>----</v>
      </c>
      <c r="DD191" s="5">
        <f t="shared" si="186"/>
        <v>0</v>
      </c>
      <c r="DE191" s="35">
        <f t="shared" si="187"/>
        <v>8.91</v>
      </c>
      <c r="DF191" s="35"/>
    </row>
    <row r="192" spans="3:110" hidden="1" x14ac:dyDescent="0.2">
      <c r="C192" s="381">
        <f>Y$50</f>
        <v>44611</v>
      </c>
      <c r="D192" s="386">
        <f>Y$63</f>
        <v>0</v>
      </c>
      <c r="AR192" s="377"/>
      <c r="AS192" s="328">
        <f>COUNTIF($AT$173:$AT191,$AT192)</f>
        <v>0</v>
      </c>
      <c r="AT192" s="1" t="str">
        <f t="shared" si="181"/>
        <v>9283575</v>
      </c>
      <c r="AV192" s="328" t="str">
        <f t="shared" si="182"/>
        <v>9283575</v>
      </c>
      <c r="AW192" s="328">
        <f>COUNTIF($AT$173:$AT191,$AT192)</f>
        <v>0</v>
      </c>
      <c r="AX192" s="201" t="str">
        <f t="shared" si="183"/>
        <v>Ignore me</v>
      </c>
      <c r="AY192" s="240">
        <f t="array" ref="AY192">IF(SUM($D$180:$D$186)=0,$E$34,MIN(IF($D$180:$D$186&gt;0,$C$180:$C$186)))</f>
        <v>44599</v>
      </c>
      <c r="AZ192" s="240">
        <f t="array" ref="AZ192">IF(SUM($D$180:$D$186)=0,$AC$34,MAX(IF($D$180:$D$186&gt;0,$C$180:$C$186)))</f>
        <v>44601</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167</v>
      </c>
      <c r="DB192" s="5" t="s">
        <v>93</v>
      </c>
      <c r="DC192" s="5" t="str">
        <f t="shared" si="185"/>
        <v>----</v>
      </c>
      <c r="DD192" s="5">
        <f t="shared" si="186"/>
        <v>0</v>
      </c>
      <c r="DE192" s="35">
        <f t="shared" si="187"/>
        <v>8.91</v>
      </c>
      <c r="DF192" s="35"/>
    </row>
    <row r="193" spans="3:110" hidden="1" x14ac:dyDescent="0.2">
      <c r="C193" s="381">
        <f>AC$50</f>
        <v>44612</v>
      </c>
      <c r="D193" s="386">
        <f>AC$63</f>
        <v>0</v>
      </c>
      <c r="AR193" s="377"/>
      <c r="AS193" s="328">
        <f>COUNTIF($AT$173:$AT192,$AT193)</f>
        <v>0</v>
      </c>
      <c r="AT193" s="1" t="str">
        <f t="shared" si="181"/>
        <v>9438809</v>
      </c>
      <c r="AV193" s="328" t="str">
        <f t="shared" si="182"/>
        <v>9438809</v>
      </c>
      <c r="AW193" s="328">
        <f>COUNTIF($AT$173:$AT192,$AT193)</f>
        <v>0</v>
      </c>
      <c r="AX193" s="201" t="str">
        <f t="shared" si="183"/>
        <v>Claim</v>
      </c>
      <c r="AY193" s="240">
        <f t="array" ref="AY193">IF(SUM($D$180:$D$186)=0,$E$34,MIN(IF($D$180:$D$186&gt;0,$C$180:$C$186)))</f>
        <v>44599</v>
      </c>
      <c r="AZ193" s="240">
        <f t="array" ref="AZ193">IF(SUM($D$180:$D$186)=0,$AC$34,MAX(IF($D$180:$D$186&gt;0,$C$180:$C$186)))</f>
        <v>44601</v>
      </c>
      <c r="BA193" s="241">
        <f t="shared" si="189"/>
        <v>9</v>
      </c>
      <c r="BB193" s="204">
        <f t="shared" si="191"/>
        <v>3</v>
      </c>
      <c r="BC193" s="242">
        <f>$BF$165</f>
        <v>13.6</v>
      </c>
      <c r="BD193" s="204">
        <f t="shared" si="190"/>
        <v>0</v>
      </c>
      <c r="BE193" s="242">
        <f>$BF$165</f>
        <v>13.6</v>
      </c>
      <c r="BF193" s="204">
        <f t="shared" si="190"/>
        <v>0</v>
      </c>
      <c r="BG193" s="242">
        <f>$BF$165</f>
        <v>13.6</v>
      </c>
      <c r="BH193" s="204">
        <f t="shared" si="190"/>
        <v>0</v>
      </c>
      <c r="BI193" s="242">
        <f>$BF$165</f>
        <v>13.6</v>
      </c>
      <c r="BJ193" s="204">
        <f t="shared" si="190"/>
        <v>0</v>
      </c>
      <c r="BK193" s="242">
        <f>$BF$165</f>
        <v>13.6</v>
      </c>
      <c r="BL193" s="204">
        <f t="shared" si="190"/>
        <v>0</v>
      </c>
      <c r="BM193" s="242">
        <f>$BF$165</f>
        <v>13.6</v>
      </c>
      <c r="BN193" s="204">
        <f t="shared" si="190"/>
        <v>0</v>
      </c>
      <c r="BO193" s="242">
        <f>$BF$165</f>
        <v>13.6</v>
      </c>
      <c r="BP193" s="204">
        <f t="shared" si="190"/>
        <v>0</v>
      </c>
      <c r="BQ193" s="242">
        <f>$BF$165</f>
        <v>13.6</v>
      </c>
      <c r="BR193" s="204">
        <f t="shared" si="190"/>
        <v>0</v>
      </c>
      <c r="BS193" s="242">
        <f>$BF$165</f>
        <v>13.6</v>
      </c>
      <c r="BT193" s="204">
        <f t="shared" si="190"/>
        <v>0</v>
      </c>
      <c r="BU193" s="242">
        <f>$BF$165</f>
        <v>13.6</v>
      </c>
      <c r="BV193" s="204">
        <f t="shared" si="190"/>
        <v>0</v>
      </c>
      <c r="BW193" s="242">
        <f>$BF$165</f>
        <v>13.6</v>
      </c>
      <c r="BX193" s="204">
        <f t="shared" si="190"/>
        <v>0</v>
      </c>
      <c r="BY193" s="242">
        <f>$BF$165</f>
        <v>13.6</v>
      </c>
      <c r="BZ193" s="204">
        <f t="shared" si="190"/>
        <v>0</v>
      </c>
      <c r="CA193" s="242">
        <f>$BF$165</f>
        <v>13.6</v>
      </c>
      <c r="CB193" s="204">
        <f t="shared" si="190"/>
        <v>0</v>
      </c>
      <c r="CC193" s="242">
        <f>$BF$165</f>
        <v>13.6</v>
      </c>
      <c r="CD193" s="204">
        <f t="shared" si="190"/>
        <v>0</v>
      </c>
      <c r="CE193" s="242">
        <f>$BF$165</f>
        <v>13.6</v>
      </c>
      <c r="CF193" s="204">
        <f t="shared" si="190"/>
        <v>0</v>
      </c>
      <c r="CG193" s="242">
        <f>$BF$165</f>
        <v>13.6</v>
      </c>
      <c r="CH193" s="35">
        <v>0</v>
      </c>
      <c r="CI193" s="35">
        <v>0</v>
      </c>
      <c r="CJ193" s="35">
        <v>0</v>
      </c>
      <c r="DA193" s="5" t="s">
        <v>167</v>
      </c>
      <c r="DB193" s="5" t="s">
        <v>94</v>
      </c>
      <c r="DC193" s="5" t="str">
        <f t="shared" si="185"/>
        <v>----</v>
      </c>
      <c r="DD193" s="5">
        <f t="shared" si="186"/>
        <v>0</v>
      </c>
      <c r="DE193" s="35">
        <f t="shared" si="187"/>
        <v>8.91</v>
      </c>
      <c r="DF193" s="35"/>
    </row>
    <row r="194" spans="3:110" hidden="1" x14ac:dyDescent="0.2">
      <c r="C194" s="382">
        <f>E$66</f>
        <v>44613</v>
      </c>
      <c r="D194" s="387">
        <f>E$79</f>
        <v>13.6</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44599</v>
      </c>
      <c r="AZ194" s="240">
        <f t="array" ref="AZ194">IF(SUM($D$180:$D$186)=0,$AC$34,MAX(IF($D$180:$D$186&gt;0,$C$180:$C$186)))</f>
        <v>44601</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167</v>
      </c>
      <c r="DB194" s="5" t="s">
        <v>95</v>
      </c>
      <c r="DC194" s="5" t="str">
        <f t="shared" si="185"/>
        <v>----</v>
      </c>
      <c r="DD194" s="5">
        <f t="shared" si="186"/>
        <v>0</v>
      </c>
      <c r="DE194" s="35">
        <f t="shared" si="187"/>
        <v>8.91</v>
      </c>
      <c r="DF194" s="35"/>
    </row>
    <row r="195" spans="3:110" hidden="1" x14ac:dyDescent="0.2">
      <c r="C195" s="382">
        <f>I$66</f>
        <v>44614</v>
      </c>
      <c r="D195" s="387">
        <f>I$79</f>
        <v>0</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44599</v>
      </c>
      <c r="AZ195" s="240">
        <f t="array" ref="AZ195">IF(SUM($D$180:$D$186)=0,$AC$34,MAX(IF($D$180:$D$186&gt;0,$C$180:$C$186)))</f>
        <v>44601</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167</v>
      </c>
      <c r="DB195" s="5" t="s">
        <v>93</v>
      </c>
      <c r="DC195" s="5" t="str">
        <f t="shared" si="185"/>
        <v>----</v>
      </c>
      <c r="DD195" s="5">
        <f t="shared" si="186"/>
        <v>0</v>
      </c>
      <c r="DE195" s="35">
        <f t="shared" si="187"/>
        <v>8.91</v>
      </c>
      <c r="DF195" s="35"/>
    </row>
    <row r="196" spans="3:110" hidden="1" x14ac:dyDescent="0.2">
      <c r="C196" s="382">
        <f>M$66</f>
        <v>44615</v>
      </c>
      <c r="D196" s="387">
        <f>M$79</f>
        <v>13.6</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44599</v>
      </c>
      <c r="AZ196" s="240">
        <f t="array" ref="AZ196">IF(SUM($D$180:$D$186)=0,$AC$34,MAX(IF($D$180:$D$186&gt;0,$C$180:$C$186)))</f>
        <v>44601</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167</v>
      </c>
      <c r="DB196" s="5" t="s">
        <v>94</v>
      </c>
      <c r="DC196" s="5" t="str">
        <f t="shared" si="185"/>
        <v>----</v>
      </c>
      <c r="DD196" s="5">
        <f t="shared" si="186"/>
        <v>0</v>
      </c>
      <c r="DE196" s="35">
        <f t="shared" si="187"/>
        <v>8.91</v>
      </c>
      <c r="DF196" s="35"/>
    </row>
    <row r="197" spans="3:110" hidden="1" x14ac:dyDescent="0.2">
      <c r="C197" s="382">
        <f>Q$66</f>
        <v>44616</v>
      </c>
      <c r="D197" s="387">
        <f>Q$79</f>
        <v>0</v>
      </c>
      <c r="AR197" s="377"/>
      <c r="AS197" s="328">
        <f>COUNTIF($AT$173:$AT196,$AT197)</f>
        <v>0</v>
      </c>
      <c r="AT197" s="1" t="str">
        <f t="shared" si="181"/>
        <v>0260978</v>
      </c>
      <c r="AV197" s="328" t="str">
        <f t="shared" si="182"/>
        <v>0260978</v>
      </c>
      <c r="AW197" s="328">
        <f>COUNTIF($AT$173:$AT196,$AT197)</f>
        <v>0</v>
      </c>
      <c r="AX197" s="201" t="str">
        <f t="shared" si="183"/>
        <v>Ignore me</v>
      </c>
      <c r="AY197" s="240">
        <f t="array" ref="AY197">IF(SUM($D$180:$D$186)=0,$E$34,MIN(IF($D$180:$D$186&gt;0,$C$180:$C$186)))</f>
        <v>44599</v>
      </c>
      <c r="AZ197" s="240">
        <f t="array" ref="AZ197">IF(SUM($D$180:$D$186)=0,$AC$34,MAX(IF($D$180:$D$186&gt;0,$C$180:$C$186)))</f>
        <v>44601</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167</v>
      </c>
      <c r="DB197" s="5" t="s">
        <v>95</v>
      </c>
      <c r="DC197" s="5" t="str">
        <f t="shared" si="185"/>
        <v>----</v>
      </c>
      <c r="DD197" s="5">
        <f t="shared" si="186"/>
        <v>0</v>
      </c>
      <c r="DE197" s="35">
        <f t="shared" si="187"/>
        <v>8.91</v>
      </c>
      <c r="DF197" s="35"/>
    </row>
    <row r="198" spans="3:110" hidden="1" x14ac:dyDescent="0.2">
      <c r="C198" s="382">
        <f>U$66</f>
        <v>44617</v>
      </c>
      <c r="D198" s="387">
        <f>U$79</f>
        <v>0</v>
      </c>
      <c r="AR198" s="377"/>
      <c r="AS198" s="328">
        <f>COUNTIF($AT$173:$AT197,$AT198)</f>
        <v>0</v>
      </c>
      <c r="AT198" s="1" t="str">
        <f t="shared" si="181"/>
        <v>0283575</v>
      </c>
      <c r="AV198" s="328" t="str">
        <f t="shared" si="182"/>
        <v>0283575</v>
      </c>
      <c r="AW198" s="328">
        <f>COUNTIF($AT$173:$AT197,$AT198)</f>
        <v>0</v>
      </c>
      <c r="AX198" s="201" t="str">
        <f t="shared" si="183"/>
        <v>Ignore me</v>
      </c>
      <c r="AY198" s="240">
        <f t="array" ref="AY198">IF(SUM($D$180:$D$186)=0,$E$34,MIN(IF($D$180:$D$186&gt;0,$C$180:$C$186)))</f>
        <v>44599</v>
      </c>
      <c r="AZ198" s="240">
        <f t="array" ref="AZ198">IF(SUM($D$180:$D$186)=0,$AC$34,MAX(IF($D$180:$D$186&gt;0,$C$180:$C$186)))</f>
        <v>44601</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165</v>
      </c>
      <c r="DB198" s="5" t="s">
        <v>93</v>
      </c>
      <c r="DC198" s="5">
        <f t="shared" ref="DC198:DC215" si="193">BR143</f>
        <v>4000</v>
      </c>
      <c r="DD198" s="5">
        <f t="shared" ref="DD198:DD215" si="194">BS143</f>
        <v>2</v>
      </c>
      <c r="DE198" s="35">
        <f t="shared" ref="DE198:DE215" si="195">BT143</f>
        <v>13.6</v>
      </c>
      <c r="DF198" s="35"/>
    </row>
    <row r="199" spans="3:110" hidden="1" x14ac:dyDescent="0.2">
      <c r="C199" s="382">
        <f>Y$66</f>
        <v>44618</v>
      </c>
      <c r="D199" s="387">
        <f>Y$79</f>
        <v>0</v>
      </c>
      <c r="AR199" s="377"/>
      <c r="AS199" s="328">
        <f>COUNTIF($AT$173:$AT198,$AT199)</f>
        <v>0</v>
      </c>
      <c r="AT199" s="1" t="str">
        <f t="shared" si="181"/>
        <v>0432841</v>
      </c>
      <c r="AV199" s="328" t="str">
        <f t="shared" si="182"/>
        <v>0432841</v>
      </c>
      <c r="AW199" s="328">
        <f>COUNTIF($AT$173:$AT198,$AT199)</f>
        <v>0</v>
      </c>
      <c r="AX199" s="201" t="str">
        <f t="shared" si="183"/>
        <v>Ignore me</v>
      </c>
      <c r="AY199" s="240">
        <f t="array" ref="AY199">IF(SUM($D$180:$D$186)=0,$E$34,MIN(IF($D$180:$D$186&gt;0,$C$180:$C$186)))</f>
        <v>44599</v>
      </c>
      <c r="AZ199" s="240">
        <f t="array" ref="AZ199">IF(SUM($D$180:$D$186)=0,$AC$34,MAX(IF($D$180:$D$186&gt;0,$C$180:$C$186)))</f>
        <v>44601</v>
      </c>
      <c r="BA199" s="241">
        <f t="shared" si="192"/>
        <v>0</v>
      </c>
      <c r="BB199" s="204">
        <f t="shared" si="191"/>
        <v>0</v>
      </c>
      <c r="BC199" s="242">
        <f>$BF$165</f>
        <v>13.6</v>
      </c>
      <c r="BD199" s="204">
        <f t="shared" si="190"/>
        <v>0</v>
      </c>
      <c r="BE199" s="242">
        <f>$BF$165</f>
        <v>13.6</v>
      </c>
      <c r="BF199" s="204">
        <f t="shared" si="190"/>
        <v>0</v>
      </c>
      <c r="BG199" s="242">
        <f>$BF$165</f>
        <v>13.6</v>
      </c>
      <c r="BH199" s="204">
        <f t="shared" si="190"/>
        <v>0</v>
      </c>
      <c r="BI199" s="242">
        <f>$BF$165</f>
        <v>13.6</v>
      </c>
      <c r="BJ199" s="204">
        <f t="shared" si="190"/>
        <v>0</v>
      </c>
      <c r="BK199" s="242">
        <f>$BF$165</f>
        <v>13.6</v>
      </c>
      <c r="BL199" s="204">
        <f t="shared" si="190"/>
        <v>0</v>
      </c>
      <c r="BM199" s="242">
        <f>$BF$165</f>
        <v>13.6</v>
      </c>
      <c r="BN199" s="204">
        <f t="shared" si="190"/>
        <v>0</v>
      </c>
      <c r="BO199" s="242">
        <f>$BF$165</f>
        <v>13.6</v>
      </c>
      <c r="BP199" s="204">
        <f t="shared" si="190"/>
        <v>0</v>
      </c>
      <c r="BQ199" s="242">
        <f>$BF$165</f>
        <v>13.6</v>
      </c>
      <c r="BR199" s="204">
        <f t="shared" si="190"/>
        <v>0</v>
      </c>
      <c r="BS199" s="242">
        <f>$BF$165</f>
        <v>13.6</v>
      </c>
      <c r="BT199" s="204">
        <f t="shared" si="190"/>
        <v>0</v>
      </c>
      <c r="BU199" s="242">
        <f>$BF$165</f>
        <v>13.6</v>
      </c>
      <c r="BV199" s="204">
        <f t="shared" si="190"/>
        <v>0</v>
      </c>
      <c r="BW199" s="242">
        <f>$BF$165</f>
        <v>13.6</v>
      </c>
      <c r="BX199" s="204">
        <f t="shared" si="190"/>
        <v>0</v>
      </c>
      <c r="BY199" s="242">
        <f>$BF$165</f>
        <v>13.6</v>
      </c>
      <c r="BZ199" s="204">
        <f t="shared" ref="BD199:CF207" si="196">SUMPRODUCT(($BE$143:$BE$160=$BA199)*($BF$143:$BF$160=BZ$170)*($BH$143:$BH$160=CA199)*$BG$143:$BG$160)</f>
        <v>0</v>
      </c>
      <c r="CA199" s="242">
        <f>$BF$165</f>
        <v>13.6</v>
      </c>
      <c r="CB199" s="204">
        <f t="shared" si="196"/>
        <v>0</v>
      </c>
      <c r="CC199" s="242">
        <f>$BF$165</f>
        <v>13.6</v>
      </c>
      <c r="CD199" s="204">
        <f t="shared" si="196"/>
        <v>0</v>
      </c>
      <c r="CE199" s="242">
        <f>$BF$165</f>
        <v>13.6</v>
      </c>
      <c r="CF199" s="204">
        <f t="shared" si="196"/>
        <v>0</v>
      </c>
      <c r="CG199" s="242">
        <f>$BF$165</f>
        <v>13.6</v>
      </c>
      <c r="CH199" s="35">
        <v>0</v>
      </c>
      <c r="CI199" s="35">
        <v>0</v>
      </c>
      <c r="CJ199" s="35">
        <v>0</v>
      </c>
      <c r="DA199" s="5" t="s">
        <v>165</v>
      </c>
      <c r="DB199" s="5" t="s">
        <v>94</v>
      </c>
      <c r="DC199" s="5">
        <f t="shared" si="193"/>
        <v>4000</v>
      </c>
      <c r="DD199" s="5">
        <f t="shared" si="194"/>
        <v>0</v>
      </c>
      <c r="DE199" s="35">
        <f t="shared" si="195"/>
        <v>13.6</v>
      </c>
      <c r="DF199" s="35"/>
    </row>
    <row r="200" spans="3:110" hidden="1" x14ac:dyDescent="0.2">
      <c r="C200" s="382">
        <f>AC$66</f>
        <v>44619</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44599</v>
      </c>
      <c r="AZ200" s="240">
        <f t="array" ref="AZ200">IF(SUM($D$180:$D$186)=0,$AC$34,MAX(IF($D$180:$D$186&gt;0,$C$180:$C$186)))</f>
        <v>44601</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165</v>
      </c>
      <c r="DB200" s="5" t="s">
        <v>95</v>
      </c>
      <c r="DC200" s="5">
        <f t="shared" si="193"/>
        <v>4000</v>
      </c>
      <c r="DD200" s="5">
        <f t="shared" si="194"/>
        <v>0</v>
      </c>
      <c r="DE200" s="35">
        <f t="shared" si="195"/>
        <v>13.6</v>
      </c>
      <c r="DF200" s="35"/>
    </row>
    <row r="201" spans="3:110" hidden="1" x14ac:dyDescent="0.2">
      <c r="C201" s="383">
        <f>E$82</f>
        <v>44620</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44599</v>
      </c>
      <c r="AZ201" s="240">
        <f t="array" ref="AZ201">IF(SUM($D$180:$D$186)=0,$AC$34,MAX(IF($D$180:$D$186&gt;0,$C$180:$C$186)))</f>
        <v>44601</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165</v>
      </c>
      <c r="DB201" s="5" t="s">
        <v>93</v>
      </c>
      <c r="DC201" s="5">
        <f t="shared" si="193"/>
        <v>4000</v>
      </c>
      <c r="DD201" s="5">
        <f t="shared" si="194"/>
        <v>0</v>
      </c>
      <c r="DE201" s="35">
        <f t="shared" si="195"/>
        <v>13.6</v>
      </c>
      <c r="DF201" s="35"/>
    </row>
    <row r="202" spans="3:110" hidden="1" x14ac:dyDescent="0.2">
      <c r="C202" s="383">
        <f>I$82</f>
        <v>44621</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44599</v>
      </c>
      <c r="AZ202" s="240">
        <f t="array" ref="AZ202">IF(SUM($D$180:$D$186)=0,$AC$34,MAX(IF($D$180:$D$186&gt;0,$C$180:$C$186)))</f>
        <v>44601</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165</v>
      </c>
      <c r="DB202" s="5" t="s">
        <v>94</v>
      </c>
      <c r="DC202" s="5">
        <f t="shared" si="193"/>
        <v>4000</v>
      </c>
      <c r="DD202" s="5">
        <f t="shared" si="194"/>
        <v>0</v>
      </c>
      <c r="DE202" s="35">
        <f t="shared" si="195"/>
        <v>13.6</v>
      </c>
      <c r="DF202" s="35"/>
    </row>
    <row r="203" spans="3:110" hidden="1" x14ac:dyDescent="0.2">
      <c r="C203" s="383">
        <f>M$82</f>
        <v>44622</v>
      </c>
      <c r="D203" s="388">
        <f>M$95</f>
        <v>0</v>
      </c>
      <c r="AR203" s="377"/>
      <c r="AS203" s="328">
        <f>COUNTIF($AT$173:$AT202,$AT203)</f>
        <v>1</v>
      </c>
      <c r="AT203" s="1" t="str">
        <f t="shared" si="181"/>
        <v>0260978</v>
      </c>
      <c r="AV203" s="328" t="str">
        <f t="shared" si="182"/>
        <v>0260978</v>
      </c>
      <c r="AW203" s="328">
        <f>COUNTIF($AT$173:$AT202,$AT203)</f>
        <v>1</v>
      </c>
      <c r="AX203" s="201" t="str">
        <f t="shared" si="183"/>
        <v>Ignore me</v>
      </c>
      <c r="AY203" s="240">
        <f t="array" ref="AY203">IF(SUM($D$180:$D$186)=0,$E$34,MIN(IF($D$180:$D$186&gt;0,$C$180:$C$186)))</f>
        <v>44599</v>
      </c>
      <c r="AZ203" s="240">
        <f t="array" ref="AZ203">IF(SUM($D$180:$D$186)=0,$AC$34,MAX(IF($D$180:$D$186&gt;0,$C$180:$C$186)))</f>
        <v>44601</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165</v>
      </c>
      <c r="DB203" s="5" t="s">
        <v>95</v>
      </c>
      <c r="DC203" s="5">
        <f t="shared" si="193"/>
        <v>4000</v>
      </c>
      <c r="DD203" s="5">
        <f t="shared" si="194"/>
        <v>0</v>
      </c>
      <c r="DE203" s="35">
        <f t="shared" si="195"/>
        <v>13.6</v>
      </c>
      <c r="DF203" s="35"/>
    </row>
    <row r="204" spans="3:110" hidden="1" x14ac:dyDescent="0.2">
      <c r="C204" s="383">
        <f>Q$82</f>
        <v>44623</v>
      </c>
      <c r="D204" s="388">
        <f>Q$95</f>
        <v>0</v>
      </c>
      <c r="AR204" s="377"/>
      <c r="AS204" s="328">
        <f>COUNTIF($AT$173:$AT203,$AT204)</f>
        <v>1</v>
      </c>
      <c r="AT204" s="1" t="str">
        <f t="shared" si="181"/>
        <v>0283575</v>
      </c>
      <c r="AV204" s="328" t="str">
        <f t="shared" si="182"/>
        <v>0283575</v>
      </c>
      <c r="AW204" s="328">
        <f>COUNTIF($AT$173:$AT203,$AT204)</f>
        <v>1</v>
      </c>
      <c r="AX204" s="201" t="str">
        <f t="shared" si="183"/>
        <v>Ignore me</v>
      </c>
      <c r="AY204" s="240">
        <f t="array" ref="AY204">IF(SUM($D$180:$D$186)=0,$E$34,MIN(IF($D$180:$D$186&gt;0,$C$180:$C$186)))</f>
        <v>44599</v>
      </c>
      <c r="AZ204" s="240">
        <f t="array" ref="AZ204">IF(SUM($D$180:$D$186)=0,$AC$34,MAX(IF($D$180:$D$186&gt;0,$C$180:$C$186)))</f>
        <v>44601</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166</v>
      </c>
      <c r="DB204" s="5" t="s">
        <v>93</v>
      </c>
      <c r="DC204" s="5" t="str">
        <f t="shared" si="193"/>
        <v>----</v>
      </c>
      <c r="DD204" s="5">
        <f t="shared" si="194"/>
        <v>0</v>
      </c>
      <c r="DE204" s="35">
        <f t="shared" si="195"/>
        <v>8.91</v>
      </c>
      <c r="DF204" s="35"/>
    </row>
    <row r="205" spans="3:110" hidden="1" x14ac:dyDescent="0.2">
      <c r="C205" s="383">
        <f>U$82</f>
        <v>44624</v>
      </c>
      <c r="D205" s="388">
        <f>U$95</f>
        <v>0</v>
      </c>
      <c r="AR205" s="377"/>
      <c r="AS205" s="328">
        <f>COUNTIF($AT$173:$AT204,$AT205)</f>
        <v>1</v>
      </c>
      <c r="AT205" s="1" t="str">
        <f t="shared" si="181"/>
        <v>0432841</v>
      </c>
      <c r="AV205" s="328" t="str">
        <f t="shared" si="182"/>
        <v>0432841</v>
      </c>
      <c r="AW205" s="328">
        <f>COUNTIF($AT$173:$AT204,$AT205)</f>
        <v>1</v>
      </c>
      <c r="AX205" s="201" t="str">
        <f t="shared" si="183"/>
        <v>Ignore me</v>
      </c>
      <c r="AY205" s="240">
        <f t="array" ref="AY205">IF(SUM($D$180:$D$186)=0,$E$34,MIN(IF($D$180:$D$186&gt;0,$C$180:$C$186)))</f>
        <v>44599</v>
      </c>
      <c r="AZ205" s="240">
        <f t="array" ref="AZ205">IF(SUM($D$180:$D$186)=0,$AC$34,MAX(IF($D$180:$D$186&gt;0,$C$180:$C$186)))</f>
        <v>44601</v>
      </c>
      <c r="BA205" s="241">
        <f t="shared" si="197"/>
        <v>0</v>
      </c>
      <c r="BB205" s="204">
        <f t="shared" si="191"/>
        <v>0</v>
      </c>
      <c r="BC205" s="242">
        <f>$BF$165</f>
        <v>13.6</v>
      </c>
      <c r="BD205" s="204">
        <f t="shared" si="196"/>
        <v>0</v>
      </c>
      <c r="BE205" s="242">
        <f>$BF$165</f>
        <v>13.6</v>
      </c>
      <c r="BF205" s="204">
        <f t="shared" si="196"/>
        <v>0</v>
      </c>
      <c r="BG205" s="242">
        <f>$BF$165</f>
        <v>13.6</v>
      </c>
      <c r="BH205" s="204">
        <f t="shared" si="196"/>
        <v>0</v>
      </c>
      <c r="BI205" s="242">
        <f>$BF$165</f>
        <v>13.6</v>
      </c>
      <c r="BJ205" s="204">
        <f t="shared" si="196"/>
        <v>0</v>
      </c>
      <c r="BK205" s="242">
        <f>$BF$165</f>
        <v>13.6</v>
      </c>
      <c r="BL205" s="204">
        <f t="shared" si="196"/>
        <v>0</v>
      </c>
      <c r="BM205" s="242">
        <f>$BF$165</f>
        <v>13.6</v>
      </c>
      <c r="BN205" s="204">
        <f t="shared" si="196"/>
        <v>0</v>
      </c>
      <c r="BO205" s="242">
        <f>$BF$165</f>
        <v>13.6</v>
      </c>
      <c r="BP205" s="204">
        <f t="shared" si="196"/>
        <v>0</v>
      </c>
      <c r="BQ205" s="242">
        <f>$BF$165</f>
        <v>13.6</v>
      </c>
      <c r="BR205" s="204">
        <f t="shared" si="196"/>
        <v>0</v>
      </c>
      <c r="BS205" s="242">
        <f>$BF$165</f>
        <v>13.6</v>
      </c>
      <c r="BT205" s="204">
        <f t="shared" si="196"/>
        <v>0</v>
      </c>
      <c r="BU205" s="242">
        <f>$BF$165</f>
        <v>13.6</v>
      </c>
      <c r="BV205" s="204">
        <f t="shared" si="196"/>
        <v>0</v>
      </c>
      <c r="BW205" s="242">
        <f>$BF$165</f>
        <v>13.6</v>
      </c>
      <c r="BX205" s="204">
        <f t="shared" si="196"/>
        <v>0</v>
      </c>
      <c r="BY205" s="242">
        <f>$BF$165</f>
        <v>13.6</v>
      </c>
      <c r="BZ205" s="204">
        <f t="shared" si="196"/>
        <v>0</v>
      </c>
      <c r="CA205" s="242">
        <f>$BF$165</f>
        <v>13.6</v>
      </c>
      <c r="CB205" s="204">
        <f t="shared" si="196"/>
        <v>0</v>
      </c>
      <c r="CC205" s="242">
        <f>$BF$165</f>
        <v>13.6</v>
      </c>
      <c r="CD205" s="204">
        <f t="shared" si="196"/>
        <v>0</v>
      </c>
      <c r="CE205" s="242">
        <f>$BF$165</f>
        <v>13.6</v>
      </c>
      <c r="CF205" s="204">
        <f t="shared" si="196"/>
        <v>0</v>
      </c>
      <c r="CG205" s="242">
        <f>$BF$165</f>
        <v>13.6</v>
      </c>
      <c r="CH205" s="35">
        <v>0</v>
      </c>
      <c r="CI205" s="35">
        <v>0</v>
      </c>
      <c r="CJ205" s="35">
        <v>0</v>
      </c>
      <c r="DA205" s="5" t="s">
        <v>166</v>
      </c>
      <c r="DB205" s="5" t="s">
        <v>94</v>
      </c>
      <c r="DC205" s="5" t="str">
        <f t="shared" si="193"/>
        <v>----</v>
      </c>
      <c r="DD205" s="5">
        <f t="shared" si="194"/>
        <v>0</v>
      </c>
      <c r="DE205" s="35">
        <f t="shared" si="195"/>
        <v>8.91</v>
      </c>
      <c r="DF205" s="35"/>
    </row>
    <row r="206" spans="3:110" hidden="1" x14ac:dyDescent="0.2">
      <c r="C206" s="383">
        <f>Y$82</f>
        <v>44625</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44599</v>
      </c>
      <c r="AZ206" s="240">
        <f t="array" ref="AZ206">IF(SUM($D$180:$D$186)=0,$AC$34,MAX(IF($D$180:$D$186&gt;0,$C$180:$C$186)))</f>
        <v>44601</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166</v>
      </c>
      <c r="DB206" s="5" t="s">
        <v>95</v>
      </c>
      <c r="DC206" s="5" t="str">
        <f t="shared" si="193"/>
        <v>----</v>
      </c>
      <c r="DD206" s="5">
        <f t="shared" si="194"/>
        <v>0</v>
      </c>
      <c r="DE206" s="35">
        <f t="shared" si="195"/>
        <v>8.91</v>
      </c>
      <c r="DF206" s="35"/>
    </row>
    <row r="207" spans="3:110" hidden="1" x14ac:dyDescent="0.2">
      <c r="C207" s="383">
        <f>AC$82</f>
        <v>44626</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44599</v>
      </c>
      <c r="AZ207" s="240">
        <f t="array" ref="AZ207">IF(SUM($D$180:$D$186)=0,$AC$34,MAX(IF($D$180:$D$186&gt;0,$C$180:$C$186)))</f>
        <v>44601</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166</v>
      </c>
      <c r="DB207" s="5" t="s">
        <v>93</v>
      </c>
      <c r="DC207" s="5" t="str">
        <f t="shared" si="193"/>
        <v>----</v>
      </c>
      <c r="DD207" s="5">
        <f t="shared" si="194"/>
        <v>0</v>
      </c>
      <c r="DE207" s="35">
        <f t="shared" si="195"/>
        <v>8.91</v>
      </c>
      <c r="DF207" s="35"/>
    </row>
    <row r="208" spans="3:110" hidden="1"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44599</v>
      </c>
      <c r="AZ208" s="240">
        <f t="array" ref="AZ208">IF(SUM($D$180:$D$186)=0,$AC$34,MAX(IF($D$180:$D$186&gt;0,$C$180:$C$186)))</f>
        <v>44601</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166</v>
      </c>
      <c r="DB208" s="5" t="s">
        <v>94</v>
      </c>
      <c r="DC208" s="5" t="str">
        <f t="shared" si="193"/>
        <v>----</v>
      </c>
      <c r="DD208" s="5">
        <f t="shared" si="194"/>
        <v>0</v>
      </c>
      <c r="DE208" s="35">
        <f t="shared" si="195"/>
        <v>8.91</v>
      </c>
      <c r="DF208" s="35"/>
    </row>
    <row r="209" spans="44:110" hidden="1" x14ac:dyDescent="0.2">
      <c r="AR209" s="377"/>
      <c r="AS209" s="328">
        <f>COUNTIF($AT$173:$AT208,$AT209)</f>
        <v>0</v>
      </c>
      <c r="AT209" s="1" t="str">
        <f t="shared" si="181"/>
        <v>9283664</v>
      </c>
      <c r="AV209" s="328" t="str">
        <f t="shared" si="182"/>
        <v>9283664</v>
      </c>
      <c r="AW209" s="328">
        <f>COUNTIF($AT$173:$AT208,$AT209)</f>
        <v>0</v>
      </c>
      <c r="AX209" s="201" t="str">
        <f t="shared" si="183"/>
        <v>Ignore me</v>
      </c>
      <c r="AY209" s="246">
        <f t="array" ref="AY209">IF(SUM($D$187:$D$193)=0,$E$50,MIN(IF($D$187:$D$193&gt;0,$C$187:$C$193)))</f>
        <v>44606</v>
      </c>
      <c r="AZ209" s="246">
        <f t="array" ref="AZ209">IF(SUM($D$187:$D$193)=0,$AC$50,MAX(IF($D$187:$D$193&gt;0,$C$187:$C$193)))</f>
        <v>44608</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166</v>
      </c>
      <c r="DB209" s="5" t="s">
        <v>95</v>
      </c>
      <c r="DC209" s="5" t="str">
        <f t="shared" si="193"/>
        <v>----</v>
      </c>
      <c r="DD209" s="5">
        <f t="shared" si="194"/>
        <v>0</v>
      </c>
      <c r="DE209" s="35">
        <f t="shared" si="195"/>
        <v>8.91</v>
      </c>
      <c r="DF209" s="35"/>
    </row>
    <row r="210" spans="44:110" hidden="1" x14ac:dyDescent="0.2">
      <c r="AR210" s="377"/>
      <c r="AS210" s="328">
        <f>COUNTIF($AT$173:$AT209,$AT210)</f>
        <v>0</v>
      </c>
      <c r="AT210" s="1" t="str">
        <f t="shared" si="181"/>
        <v>9438946</v>
      </c>
      <c r="AV210" s="328" t="str">
        <f t="shared" si="182"/>
        <v>9438946</v>
      </c>
      <c r="AW210" s="328">
        <f>COUNTIF($AT$173:$AT209,$AT210)</f>
        <v>0</v>
      </c>
      <c r="AX210" s="201" t="str">
        <f t="shared" si="183"/>
        <v>Claim</v>
      </c>
      <c r="AY210" s="246">
        <f t="array" ref="AY210">IF(SUM($D$187:$D$193)=0,$E$50,MIN(IF($D$187:$D$193&gt;0,$C$187:$C$193)))</f>
        <v>44606</v>
      </c>
      <c r="AZ210" s="246">
        <f t="array" ref="AZ210">IF(SUM($D$187:$D$193)=0,$AC$50,MAX(IF($D$187:$D$193&gt;0,$C$187:$C$193)))</f>
        <v>44608</v>
      </c>
      <c r="BA210" s="247">
        <f t="shared" si="200"/>
        <v>9</v>
      </c>
      <c r="BB210" s="213">
        <f t="shared" ref="BB210:BP226" si="202">SUMPRODUCT(($BK$143:$BK$160=$BA210)*($BL$143:$BL$160=BB$170)*($BN$143:$BN$160=BC210)*$BM$143:$BM$160)</f>
        <v>3</v>
      </c>
      <c r="BC210" s="248">
        <f>$BL$164</f>
        <v>13.6</v>
      </c>
      <c r="BD210" s="213">
        <f t="shared" si="202"/>
        <v>0</v>
      </c>
      <c r="BE210" s="248">
        <f>$BL$164</f>
        <v>13.6</v>
      </c>
      <c r="BF210" s="213">
        <f t="shared" si="202"/>
        <v>0</v>
      </c>
      <c r="BG210" s="248">
        <f>$BL$164</f>
        <v>13.6</v>
      </c>
      <c r="BH210" s="213">
        <f t="shared" si="202"/>
        <v>0</v>
      </c>
      <c r="BI210" s="248">
        <f>$BL$164</f>
        <v>13.6</v>
      </c>
      <c r="BJ210" s="213">
        <f t="shared" si="202"/>
        <v>0</v>
      </c>
      <c r="BK210" s="248">
        <f>$BL$164</f>
        <v>13.6</v>
      </c>
      <c r="BL210" s="213">
        <f t="shared" si="202"/>
        <v>0</v>
      </c>
      <c r="BM210" s="248">
        <f>$BL$164</f>
        <v>13.6</v>
      </c>
      <c r="BN210" s="213">
        <f t="shared" si="202"/>
        <v>0</v>
      </c>
      <c r="BO210" s="248">
        <f>$BL$164</f>
        <v>13.6</v>
      </c>
      <c r="BP210" s="213">
        <f t="shared" si="202"/>
        <v>0</v>
      </c>
      <c r="BQ210" s="248">
        <f>$BL$164</f>
        <v>13.6</v>
      </c>
      <c r="BR210" s="213">
        <f t="shared" si="201"/>
        <v>0</v>
      </c>
      <c r="BS210" s="248">
        <f>$BL$164</f>
        <v>13.6</v>
      </c>
      <c r="BT210" s="213">
        <f t="shared" si="201"/>
        <v>0</v>
      </c>
      <c r="BU210" s="248">
        <f>$BL$164</f>
        <v>13.6</v>
      </c>
      <c r="BV210" s="213">
        <f t="shared" si="201"/>
        <v>0</v>
      </c>
      <c r="BW210" s="248">
        <f>$BL$164</f>
        <v>13.6</v>
      </c>
      <c r="BX210" s="213">
        <f t="shared" si="201"/>
        <v>0</v>
      </c>
      <c r="BY210" s="248">
        <f>$BL$164</f>
        <v>13.6</v>
      </c>
      <c r="BZ210" s="213">
        <f t="shared" si="201"/>
        <v>0</v>
      </c>
      <c r="CA210" s="248">
        <f>$BL$164</f>
        <v>13.6</v>
      </c>
      <c r="CB210" s="213">
        <f t="shared" si="201"/>
        <v>0</v>
      </c>
      <c r="CC210" s="248">
        <f>$BL$164</f>
        <v>13.6</v>
      </c>
      <c r="CD210" s="213">
        <f t="shared" si="201"/>
        <v>0</v>
      </c>
      <c r="CE210" s="248">
        <f>$BL$164</f>
        <v>13.6</v>
      </c>
      <c r="CF210" s="213">
        <f t="shared" si="201"/>
        <v>0</v>
      </c>
      <c r="CG210" s="248">
        <f>$BL$164</f>
        <v>13.6</v>
      </c>
      <c r="CH210" s="35">
        <v>0</v>
      </c>
      <c r="CI210" s="35">
        <v>0</v>
      </c>
      <c r="CJ210" s="35">
        <v>0</v>
      </c>
      <c r="DA210" s="5" t="s">
        <v>167</v>
      </c>
      <c r="DB210" s="5" t="s">
        <v>93</v>
      </c>
      <c r="DC210" s="5" t="str">
        <f t="shared" si="193"/>
        <v>----</v>
      </c>
      <c r="DD210" s="5">
        <f t="shared" si="194"/>
        <v>0</v>
      </c>
      <c r="DE210" s="35">
        <f t="shared" si="195"/>
        <v>8.91</v>
      </c>
      <c r="DF210" s="35"/>
    </row>
    <row r="211" spans="44:110" hidden="1"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44606</v>
      </c>
      <c r="AZ211" s="246">
        <f t="array" ref="AZ211">IF(SUM($D$187:$D$193)=0,$AC$50,MAX(IF($D$187:$D$193&gt;0,$C$187:$C$193)))</f>
        <v>44608</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167</v>
      </c>
      <c r="DB211" s="5" t="s">
        <v>94</v>
      </c>
      <c r="DC211" s="5" t="str">
        <f t="shared" si="193"/>
        <v>----</v>
      </c>
      <c r="DD211" s="5">
        <f t="shared" si="194"/>
        <v>0</v>
      </c>
      <c r="DE211" s="35">
        <f t="shared" si="195"/>
        <v>8.91</v>
      </c>
      <c r="DF211" s="35"/>
    </row>
    <row r="212" spans="44:110" hidden="1"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44606</v>
      </c>
      <c r="AZ212" s="246">
        <f t="array" ref="AZ212">IF(SUM($D$187:$D$193)=0,$AC$50,MAX(IF($D$187:$D$193&gt;0,$C$187:$C$193)))</f>
        <v>44608</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167</v>
      </c>
      <c r="DB212" s="5" t="s">
        <v>95</v>
      </c>
      <c r="DC212" s="5" t="str">
        <f t="shared" si="193"/>
        <v>----</v>
      </c>
      <c r="DD212" s="5">
        <f t="shared" si="194"/>
        <v>0</v>
      </c>
      <c r="DE212" s="35">
        <f t="shared" si="195"/>
        <v>8.91</v>
      </c>
      <c r="DF212" s="35"/>
    </row>
    <row r="213" spans="44:110" hidden="1"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44606</v>
      </c>
      <c r="AZ213" s="246">
        <f t="array" ref="AZ213">IF(SUM($D$187:$D$193)=0,$AC$50,MAX(IF($D$187:$D$193&gt;0,$C$187:$C$193)))</f>
        <v>44608</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167</v>
      </c>
      <c r="DB213" s="5" t="s">
        <v>93</v>
      </c>
      <c r="DC213" s="5" t="str">
        <f t="shared" si="193"/>
        <v>----</v>
      </c>
      <c r="DD213" s="5">
        <f t="shared" si="194"/>
        <v>0</v>
      </c>
      <c r="DE213" s="35">
        <f t="shared" si="195"/>
        <v>8.91</v>
      </c>
      <c r="DF213" s="35"/>
    </row>
    <row r="214" spans="44:110" hidden="1"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44606</v>
      </c>
      <c r="AZ214" s="246">
        <f t="array" ref="AZ214">IF(SUM($D$187:$D$193)=0,$AC$50,MAX(IF($D$187:$D$193&gt;0,$C$187:$C$193)))</f>
        <v>44608</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167</v>
      </c>
      <c r="DB214" s="5" t="s">
        <v>94</v>
      </c>
      <c r="DC214" s="5" t="str">
        <f t="shared" si="193"/>
        <v>----</v>
      </c>
      <c r="DD214" s="5">
        <f t="shared" si="194"/>
        <v>0</v>
      </c>
      <c r="DE214" s="35">
        <f t="shared" si="195"/>
        <v>8.91</v>
      </c>
      <c r="DF214" s="35"/>
    </row>
    <row r="215" spans="44:110" hidden="1" x14ac:dyDescent="0.2">
      <c r="AR215" s="377"/>
      <c r="AS215" s="328">
        <f>COUNTIF($AT$173:$AT214,$AT215)</f>
        <v>0</v>
      </c>
      <c r="AT215" s="1" t="str">
        <f t="shared" si="181"/>
        <v>0283664</v>
      </c>
      <c r="AV215" s="328" t="str">
        <f t="shared" si="182"/>
        <v>0283664</v>
      </c>
      <c r="AW215" s="328">
        <f>COUNTIF($AT$173:$AT214,$AT215)</f>
        <v>0</v>
      </c>
      <c r="AX215" s="201" t="str">
        <f t="shared" si="183"/>
        <v>Ignore me</v>
      </c>
      <c r="AY215" s="246">
        <f t="array" ref="AY215">IF(SUM($D$187:$D$193)=0,$E$50,MIN(IF($D$187:$D$193&gt;0,$C$187:$C$193)))</f>
        <v>44606</v>
      </c>
      <c r="AZ215" s="246">
        <f t="array" ref="AZ215">IF(SUM($D$187:$D$193)=0,$AC$50,MAX(IF($D$187:$D$193&gt;0,$C$187:$C$193)))</f>
        <v>44608</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167</v>
      </c>
      <c r="DB215" s="5" t="s">
        <v>95</v>
      </c>
      <c r="DC215" s="5" t="str">
        <f t="shared" si="193"/>
        <v>----</v>
      </c>
      <c r="DD215" s="5">
        <f t="shared" si="194"/>
        <v>0</v>
      </c>
      <c r="DE215" s="35">
        <f t="shared" si="195"/>
        <v>8.91</v>
      </c>
      <c r="DF215" s="35"/>
    </row>
    <row r="216" spans="44:110" hidden="1" x14ac:dyDescent="0.2">
      <c r="AR216" s="377"/>
      <c r="AS216" s="328">
        <f>COUNTIF($AT$173:$AT215,$AT216)</f>
        <v>0</v>
      </c>
      <c r="AT216" s="1" t="str">
        <f t="shared" si="181"/>
        <v>0432977</v>
      </c>
      <c r="AV216" s="328" t="str">
        <f t="shared" si="182"/>
        <v>0432977</v>
      </c>
      <c r="AW216" s="328">
        <f>COUNTIF($AT$173:$AT215,$AT216)</f>
        <v>0</v>
      </c>
      <c r="AX216" s="201" t="str">
        <f t="shared" si="183"/>
        <v>Ignore me</v>
      </c>
      <c r="AY216" s="246">
        <f t="array" ref="AY216">IF(SUM($D$187:$D$193)=0,$E$50,MIN(IF($D$187:$D$193&gt;0,$C$187:$C$193)))</f>
        <v>44606</v>
      </c>
      <c r="AZ216" s="246">
        <f t="array" ref="AZ216">IF(SUM($D$187:$D$193)=0,$AC$50,MAX(IF($D$187:$D$193&gt;0,$C$187:$C$193)))</f>
        <v>44608</v>
      </c>
      <c r="BA216" s="247">
        <f t="shared" si="203"/>
        <v>0</v>
      </c>
      <c r="BB216" s="213">
        <f t="shared" si="202"/>
        <v>0</v>
      </c>
      <c r="BC216" s="248">
        <f>$BL$164</f>
        <v>13.6</v>
      </c>
      <c r="BD216" s="213">
        <f t="shared" si="201"/>
        <v>0</v>
      </c>
      <c r="BE216" s="248">
        <f>$BL$164</f>
        <v>13.6</v>
      </c>
      <c r="BF216" s="213">
        <f t="shared" si="201"/>
        <v>0</v>
      </c>
      <c r="BG216" s="248">
        <f>$BL$164</f>
        <v>13.6</v>
      </c>
      <c r="BH216" s="213">
        <f t="shared" si="201"/>
        <v>0</v>
      </c>
      <c r="BI216" s="248">
        <f>$BL$164</f>
        <v>13.6</v>
      </c>
      <c r="BJ216" s="213">
        <f t="shared" si="201"/>
        <v>0</v>
      </c>
      <c r="BK216" s="248">
        <f>$BL$164</f>
        <v>13.6</v>
      </c>
      <c r="BL216" s="213">
        <f t="shared" si="201"/>
        <v>0</v>
      </c>
      <c r="BM216" s="248">
        <f>$BL$164</f>
        <v>13.6</v>
      </c>
      <c r="BN216" s="213">
        <f t="shared" si="201"/>
        <v>0</v>
      </c>
      <c r="BO216" s="248">
        <f>$BL$164</f>
        <v>13.6</v>
      </c>
      <c r="BP216" s="213">
        <f t="shared" si="201"/>
        <v>0</v>
      </c>
      <c r="BQ216" s="248">
        <f>$BL$164</f>
        <v>13.6</v>
      </c>
      <c r="BR216" s="213">
        <f t="shared" si="201"/>
        <v>0</v>
      </c>
      <c r="BS216" s="248">
        <f>$BL$164</f>
        <v>13.6</v>
      </c>
      <c r="BT216" s="213">
        <f t="shared" si="201"/>
        <v>0</v>
      </c>
      <c r="BU216" s="248">
        <f>$BL$164</f>
        <v>13.6</v>
      </c>
      <c r="BV216" s="213">
        <f t="shared" si="201"/>
        <v>0</v>
      </c>
      <c r="BW216" s="248">
        <f>$BL$164</f>
        <v>13.6</v>
      </c>
      <c r="BX216" s="213">
        <f t="shared" si="201"/>
        <v>0</v>
      </c>
      <c r="BY216" s="248">
        <f>$BL$164</f>
        <v>13.6</v>
      </c>
      <c r="BZ216" s="213">
        <f t="shared" si="201"/>
        <v>0</v>
      </c>
      <c r="CA216" s="248">
        <f>$BL$164</f>
        <v>13.6</v>
      </c>
      <c r="CB216" s="213">
        <f t="shared" si="201"/>
        <v>0</v>
      </c>
      <c r="CC216" s="248">
        <f>$BL$164</f>
        <v>13.6</v>
      </c>
      <c r="CD216" s="213">
        <f t="shared" si="201"/>
        <v>0</v>
      </c>
      <c r="CE216" s="248">
        <f>$BL$164</f>
        <v>13.6</v>
      </c>
      <c r="CF216" s="213">
        <f t="shared" si="201"/>
        <v>0</v>
      </c>
      <c r="CG216" s="248">
        <f>$BL$164</f>
        <v>13.6</v>
      </c>
      <c r="CH216" s="35">
        <v>0</v>
      </c>
      <c r="CI216" s="35">
        <v>0</v>
      </c>
      <c r="CJ216" s="35">
        <v>0</v>
      </c>
      <c r="DA216" s="5" t="s">
        <v>165</v>
      </c>
      <c r="DB216" s="5" t="s">
        <v>93</v>
      </c>
      <c r="DC216" s="5">
        <f t="shared" ref="DC216:DC233" si="204">BX143</f>
        <v>4000</v>
      </c>
      <c r="DD216" s="5">
        <f t="shared" ref="DD216:DD233" si="205">BY143</f>
        <v>0</v>
      </c>
      <c r="DE216" s="35">
        <f t="shared" ref="DE216:DE233" si="206">CA143</f>
        <v>13.6</v>
      </c>
      <c r="DF216" s="35"/>
    </row>
    <row r="217" spans="44:110" hidden="1"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44606</v>
      </c>
      <c r="AZ217" s="246">
        <f t="array" ref="AZ217">IF(SUM($D$187:$D$193)=0,$AC$50,MAX(IF($D$187:$D$193&gt;0,$C$187:$C$193)))</f>
        <v>44608</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165</v>
      </c>
      <c r="DB217" s="5" t="s">
        <v>94</v>
      </c>
      <c r="DC217" s="5">
        <f t="shared" si="204"/>
        <v>4000</v>
      </c>
      <c r="DD217" s="5">
        <f t="shared" si="205"/>
        <v>0</v>
      </c>
      <c r="DE217" s="35">
        <f t="shared" si="206"/>
        <v>13.6</v>
      </c>
      <c r="DF217" s="35"/>
    </row>
    <row r="218" spans="44:110" hidden="1"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44606</v>
      </c>
      <c r="AZ218" s="246">
        <f t="array" ref="AZ218">IF(SUM($D$187:$D$193)=0,$AC$50,MAX(IF($D$187:$D$193&gt;0,$C$187:$C$193)))</f>
        <v>44608</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165</v>
      </c>
      <c r="DB218" s="5" t="s">
        <v>95</v>
      </c>
      <c r="DC218" s="5">
        <f t="shared" si="204"/>
        <v>4000</v>
      </c>
      <c r="DD218" s="5">
        <f t="shared" si="205"/>
        <v>0</v>
      </c>
      <c r="DE218" s="35">
        <f t="shared" si="206"/>
        <v>13.6</v>
      </c>
      <c r="DF218" s="35"/>
    </row>
    <row r="219" spans="44:110" hidden="1"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44606</v>
      </c>
      <c r="AZ219" s="246">
        <f t="array" ref="AZ219">IF(SUM($D$187:$D$193)=0,$AC$50,MAX(IF($D$187:$D$193&gt;0,$C$187:$C$193)))</f>
        <v>44608</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165</v>
      </c>
      <c r="DB219" s="5" t="s">
        <v>93</v>
      </c>
      <c r="DC219" s="5">
        <f t="shared" si="204"/>
        <v>4000</v>
      </c>
      <c r="DD219" s="5">
        <f t="shared" si="205"/>
        <v>0</v>
      </c>
      <c r="DE219" s="35">
        <f t="shared" si="206"/>
        <v>13.6</v>
      </c>
      <c r="DF219" s="35"/>
    </row>
    <row r="220" spans="44:110" hidden="1"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44606</v>
      </c>
      <c r="AZ220" s="246">
        <f t="array" ref="AZ220">IF(SUM($D$187:$D$193)=0,$AC$50,MAX(IF($D$187:$D$193&gt;0,$C$187:$C$193)))</f>
        <v>44608</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165</v>
      </c>
      <c r="DB220" s="5" t="s">
        <v>94</v>
      </c>
      <c r="DC220" s="5">
        <f t="shared" si="204"/>
        <v>4000</v>
      </c>
      <c r="DD220" s="5">
        <f t="shared" si="205"/>
        <v>0</v>
      </c>
      <c r="DE220" s="35">
        <f t="shared" si="206"/>
        <v>13.6</v>
      </c>
      <c r="DF220" s="35"/>
    </row>
    <row r="221" spans="44:110" hidden="1" x14ac:dyDescent="0.2">
      <c r="AR221" s="377"/>
      <c r="AS221" s="328">
        <f>COUNTIF($AT$173:$AT220,$AT221)</f>
        <v>1</v>
      </c>
      <c r="AT221" s="1" t="str">
        <f t="shared" si="181"/>
        <v>0283664</v>
      </c>
      <c r="AV221" s="328" t="str">
        <f t="shared" si="182"/>
        <v>0283664</v>
      </c>
      <c r="AW221" s="328">
        <f>COUNTIF($AT$173:$AT220,$AT221)</f>
        <v>1</v>
      </c>
      <c r="AX221" s="201" t="str">
        <f t="shared" si="183"/>
        <v>Ignore me</v>
      </c>
      <c r="AY221" s="246">
        <f t="array" ref="AY221">IF(SUM($D$187:$D$193)=0,$E$50,MIN(IF($D$187:$D$193&gt;0,$C$187:$C$193)))</f>
        <v>44606</v>
      </c>
      <c r="AZ221" s="246">
        <f t="array" ref="AZ221">IF(SUM($D$187:$D$193)=0,$AC$50,MAX(IF($D$187:$D$193&gt;0,$C$187:$C$193)))</f>
        <v>44608</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165</v>
      </c>
      <c r="DB221" s="5" t="s">
        <v>95</v>
      </c>
      <c r="DC221" s="5">
        <f t="shared" si="204"/>
        <v>4000</v>
      </c>
      <c r="DD221" s="5">
        <f t="shared" si="205"/>
        <v>0</v>
      </c>
      <c r="DE221" s="35">
        <f t="shared" si="206"/>
        <v>13.6</v>
      </c>
      <c r="DF221" s="35"/>
    </row>
    <row r="222" spans="44:110" hidden="1" x14ac:dyDescent="0.2">
      <c r="AR222" s="377"/>
      <c r="AS222" s="328">
        <f>COUNTIF($AT$173:$AT221,$AT222)</f>
        <v>1</v>
      </c>
      <c r="AT222" s="1" t="str">
        <f t="shared" si="181"/>
        <v>0432977</v>
      </c>
      <c r="AV222" s="328" t="str">
        <f t="shared" si="182"/>
        <v>0432977</v>
      </c>
      <c r="AW222" s="328">
        <f>COUNTIF($AT$173:$AT221,$AT222)</f>
        <v>1</v>
      </c>
      <c r="AX222" s="201" t="str">
        <f t="shared" si="183"/>
        <v>Ignore me</v>
      </c>
      <c r="AY222" s="246">
        <f t="array" ref="AY222">IF(SUM($D$187:$D$193)=0,$E$50,MIN(IF($D$187:$D$193&gt;0,$C$187:$C$193)))</f>
        <v>44606</v>
      </c>
      <c r="AZ222" s="246">
        <f t="array" ref="AZ222">IF(SUM($D$187:$D$193)=0,$AC$50,MAX(IF($D$187:$D$193&gt;0,$C$187:$C$193)))</f>
        <v>44608</v>
      </c>
      <c r="BA222" s="247">
        <f t="shared" si="208"/>
        <v>0</v>
      </c>
      <c r="BB222" s="213">
        <f t="shared" si="202"/>
        <v>0</v>
      </c>
      <c r="BC222" s="248">
        <f>$BL$164</f>
        <v>13.6</v>
      </c>
      <c r="BD222" s="213">
        <f t="shared" si="207"/>
        <v>0</v>
      </c>
      <c r="BE222" s="248">
        <f>$BL$164</f>
        <v>13.6</v>
      </c>
      <c r="BF222" s="213">
        <f t="shared" si="207"/>
        <v>0</v>
      </c>
      <c r="BG222" s="248">
        <f>$BL$164</f>
        <v>13.6</v>
      </c>
      <c r="BH222" s="213">
        <f t="shared" si="207"/>
        <v>0</v>
      </c>
      <c r="BI222" s="248">
        <f>$BL$164</f>
        <v>13.6</v>
      </c>
      <c r="BJ222" s="213">
        <f t="shared" si="207"/>
        <v>0</v>
      </c>
      <c r="BK222" s="248">
        <f>$BL$164</f>
        <v>13.6</v>
      </c>
      <c r="BL222" s="213">
        <f t="shared" si="207"/>
        <v>0</v>
      </c>
      <c r="BM222" s="248">
        <f>$BL$164</f>
        <v>13.6</v>
      </c>
      <c r="BN222" s="213">
        <f t="shared" si="207"/>
        <v>0</v>
      </c>
      <c r="BO222" s="248">
        <f>$BL$164</f>
        <v>13.6</v>
      </c>
      <c r="BP222" s="213">
        <f t="shared" si="207"/>
        <v>0</v>
      </c>
      <c r="BQ222" s="248">
        <f>$BL$164</f>
        <v>13.6</v>
      </c>
      <c r="BR222" s="213">
        <f t="shared" si="207"/>
        <v>0</v>
      </c>
      <c r="BS222" s="248">
        <f>$BL$164</f>
        <v>13.6</v>
      </c>
      <c r="BT222" s="213">
        <f t="shared" si="207"/>
        <v>0</v>
      </c>
      <c r="BU222" s="248">
        <f>$BL$164</f>
        <v>13.6</v>
      </c>
      <c r="BV222" s="213">
        <f t="shared" si="207"/>
        <v>0</v>
      </c>
      <c r="BW222" s="248">
        <f>$BL$164</f>
        <v>13.6</v>
      </c>
      <c r="BX222" s="213">
        <f t="shared" si="207"/>
        <v>0</v>
      </c>
      <c r="BY222" s="248">
        <f>$BL$164</f>
        <v>13.6</v>
      </c>
      <c r="BZ222" s="213">
        <f t="shared" si="207"/>
        <v>0</v>
      </c>
      <c r="CA222" s="248">
        <f>$BL$164</f>
        <v>13.6</v>
      </c>
      <c r="CB222" s="213">
        <f t="shared" si="207"/>
        <v>0</v>
      </c>
      <c r="CC222" s="248">
        <f>$BL$164</f>
        <v>13.6</v>
      </c>
      <c r="CD222" s="213">
        <f t="shared" si="207"/>
        <v>0</v>
      </c>
      <c r="CE222" s="248">
        <f>$BL$164</f>
        <v>13.6</v>
      </c>
      <c r="CF222" s="213">
        <f t="shared" si="207"/>
        <v>0</v>
      </c>
      <c r="CG222" s="248">
        <f>$BL$164</f>
        <v>13.6</v>
      </c>
      <c r="CH222" s="35">
        <v>0</v>
      </c>
      <c r="CI222" s="35">
        <v>0</v>
      </c>
      <c r="CJ222" s="35">
        <v>0</v>
      </c>
      <c r="DA222" s="5" t="s">
        <v>166</v>
      </c>
      <c r="DB222" s="5" t="s">
        <v>93</v>
      </c>
      <c r="DC222" s="5" t="str">
        <f t="shared" si="204"/>
        <v>----</v>
      </c>
      <c r="DD222" s="5">
        <f t="shared" si="205"/>
        <v>0</v>
      </c>
      <c r="DE222" s="35">
        <f t="shared" si="206"/>
        <v>8.91</v>
      </c>
      <c r="DF222" s="35"/>
    </row>
    <row r="223" spans="44:110" hidden="1"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44606</v>
      </c>
      <c r="AZ223" s="246">
        <f t="array" ref="AZ223">IF(SUM($D$187:$D$193)=0,$AC$50,MAX(IF($D$187:$D$193&gt;0,$C$187:$C$193)))</f>
        <v>44608</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166</v>
      </c>
      <c r="DB223" s="5" t="s">
        <v>94</v>
      </c>
      <c r="DC223" s="5" t="str">
        <f t="shared" si="204"/>
        <v>----</v>
      </c>
      <c r="DD223" s="5">
        <f t="shared" si="205"/>
        <v>0</v>
      </c>
      <c r="DE223" s="35">
        <f t="shared" si="206"/>
        <v>8.91</v>
      </c>
      <c r="DF223" s="35"/>
    </row>
    <row r="224" spans="44:110" hidden="1"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44606</v>
      </c>
      <c r="AZ224" s="246">
        <f t="array" ref="AZ224">IF(SUM($D$187:$D$193)=0,$AC$50,MAX(IF($D$187:$D$193&gt;0,$C$187:$C$193)))</f>
        <v>44608</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166</v>
      </c>
      <c r="DB224" s="5" t="s">
        <v>95</v>
      </c>
      <c r="DC224" s="5" t="str">
        <f t="shared" si="204"/>
        <v>----</v>
      </c>
      <c r="DD224" s="5">
        <f t="shared" si="205"/>
        <v>0</v>
      </c>
      <c r="DE224" s="35">
        <f t="shared" si="206"/>
        <v>8.91</v>
      </c>
      <c r="DF224" s="35"/>
    </row>
    <row r="225" spans="44:110" hidden="1"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44606</v>
      </c>
      <c r="AZ225" s="246">
        <f t="array" ref="AZ225">IF(SUM($D$187:$D$193)=0,$AC$50,MAX(IF($D$187:$D$193&gt;0,$C$187:$C$193)))</f>
        <v>44608</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166</v>
      </c>
      <c r="DB225" s="5" t="s">
        <v>93</v>
      </c>
      <c r="DC225" s="5" t="str">
        <f t="shared" si="204"/>
        <v>----</v>
      </c>
      <c r="DD225" s="5">
        <f t="shared" si="205"/>
        <v>0</v>
      </c>
      <c r="DE225" s="35">
        <f t="shared" si="206"/>
        <v>8.91</v>
      </c>
      <c r="DF225" s="35"/>
    </row>
    <row r="226" spans="44:110" hidden="1"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44606</v>
      </c>
      <c r="AZ226" s="246">
        <f t="array" ref="AZ226">IF(SUM($D$187:$D$193)=0,$AC$50,MAX(IF($D$187:$D$193&gt;0,$C$187:$C$193)))</f>
        <v>44608</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166</v>
      </c>
      <c r="DB226" s="5" t="s">
        <v>94</v>
      </c>
      <c r="DC226" s="5" t="str">
        <f t="shared" si="204"/>
        <v>----</v>
      </c>
      <c r="DD226" s="5">
        <f t="shared" si="205"/>
        <v>0</v>
      </c>
      <c r="DE226" s="35">
        <f t="shared" si="206"/>
        <v>8.91</v>
      </c>
      <c r="DF226" s="35"/>
    </row>
    <row r="227" spans="44:110" hidden="1" x14ac:dyDescent="0.2">
      <c r="AR227" s="377"/>
      <c r="AS227" s="328">
        <f>COUNTIF($AT$173:$AT226,$AT227)</f>
        <v>0</v>
      </c>
      <c r="AT227" s="1" t="str">
        <f t="shared" si="181"/>
        <v>9283753</v>
      </c>
      <c r="AV227" s="328" t="str">
        <f t="shared" si="182"/>
        <v>9283753</v>
      </c>
      <c r="AW227" s="328">
        <f>COUNTIF($AT$173:$AT226,$AT227)</f>
        <v>0</v>
      </c>
      <c r="AX227" s="201" t="str">
        <f t="shared" si="183"/>
        <v>Ignore me</v>
      </c>
      <c r="AY227" s="249">
        <f t="array" ref="AY227">IF(SUM($D$194:$D$200)=0,$E$66,MIN(IF($D$194:$D$200&gt;0,$C$194:$C$200)))</f>
        <v>44613</v>
      </c>
      <c r="AZ227" s="249">
        <f t="array" ref="AZ227">IF(SUM($D$194:$D$200)=0,$AC$66,MAX(IF($D$194:$D$200&gt;0,$C$194:$C$200)))</f>
        <v>44615</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166</v>
      </c>
      <c r="DB227" s="5" t="s">
        <v>95</v>
      </c>
      <c r="DC227" s="5" t="str">
        <f t="shared" si="204"/>
        <v>----</v>
      </c>
      <c r="DD227" s="5">
        <f t="shared" si="205"/>
        <v>0</v>
      </c>
      <c r="DE227" s="35">
        <f t="shared" si="206"/>
        <v>8.91</v>
      </c>
      <c r="DF227" s="35"/>
    </row>
    <row r="228" spans="44:110" hidden="1" x14ac:dyDescent="0.2">
      <c r="AR228" s="377"/>
      <c r="AS228" s="328">
        <f>COUNTIF($AT$173:$AT227,$AT228)</f>
        <v>0</v>
      </c>
      <c r="AT228" s="1" t="str">
        <f t="shared" si="181"/>
        <v>9437094</v>
      </c>
      <c r="AV228" s="328" t="str">
        <f t="shared" si="182"/>
        <v>9437094</v>
      </c>
      <c r="AW228" s="328">
        <f>COUNTIF($AT$173:$AT227,$AT228)</f>
        <v>0</v>
      </c>
      <c r="AX228" s="201" t="str">
        <f t="shared" si="183"/>
        <v>Claim</v>
      </c>
      <c r="AY228" s="249">
        <f t="array" ref="AY228">IF(SUM($D$194:$D$200)=0,$E$66,MIN(IF($D$194:$D$200&gt;0,$C$194:$C$200)))</f>
        <v>44613</v>
      </c>
      <c r="AZ228" s="249">
        <f t="array" ref="AZ228">IF(SUM($D$194:$D$200)=0,$AC$66,MAX(IF($D$194:$D$200&gt;0,$C$194:$C$200)))</f>
        <v>44615</v>
      </c>
      <c r="BA228" s="250">
        <f t="shared" si="210"/>
        <v>9</v>
      </c>
      <c r="BB228" s="222">
        <f t="shared" ref="BB228:BP244" si="212">SUMPRODUCT(($BQ$143:$BQ$160=$BA228)*($BR$143:$BR$160=BB$170)*($BT$143:$BT$160=BC228)*$BS$143:$BS$160)</f>
        <v>2</v>
      </c>
      <c r="BC228" s="251">
        <f>$BR$164</f>
        <v>13.6</v>
      </c>
      <c r="BD228" s="222">
        <f t="shared" si="212"/>
        <v>0</v>
      </c>
      <c r="BE228" s="251">
        <f>$BR$164</f>
        <v>13.6</v>
      </c>
      <c r="BF228" s="222">
        <f t="shared" si="212"/>
        <v>0</v>
      </c>
      <c r="BG228" s="251">
        <f>$BR$164</f>
        <v>13.6</v>
      </c>
      <c r="BH228" s="222">
        <f t="shared" si="212"/>
        <v>0</v>
      </c>
      <c r="BI228" s="251">
        <f>$BR$164</f>
        <v>13.6</v>
      </c>
      <c r="BJ228" s="222">
        <f t="shared" si="212"/>
        <v>0</v>
      </c>
      <c r="BK228" s="251">
        <f>$BR$164</f>
        <v>13.6</v>
      </c>
      <c r="BL228" s="222">
        <f t="shared" si="212"/>
        <v>0</v>
      </c>
      <c r="BM228" s="251">
        <f>$BR$164</f>
        <v>13.6</v>
      </c>
      <c r="BN228" s="222">
        <f t="shared" si="212"/>
        <v>0</v>
      </c>
      <c r="BO228" s="251">
        <f>$BR$164</f>
        <v>13.6</v>
      </c>
      <c r="BP228" s="222">
        <f t="shared" si="212"/>
        <v>0</v>
      </c>
      <c r="BQ228" s="251">
        <f>$BR$164</f>
        <v>13.6</v>
      </c>
      <c r="BR228" s="222">
        <f t="shared" si="211"/>
        <v>0</v>
      </c>
      <c r="BS228" s="251">
        <f>$BR$164</f>
        <v>13.6</v>
      </c>
      <c r="BT228" s="222">
        <f t="shared" si="211"/>
        <v>0</v>
      </c>
      <c r="BU228" s="251">
        <f>$BR$164</f>
        <v>13.6</v>
      </c>
      <c r="BV228" s="222">
        <f t="shared" si="211"/>
        <v>0</v>
      </c>
      <c r="BW228" s="251">
        <f>$BR$164</f>
        <v>13.6</v>
      </c>
      <c r="BX228" s="222">
        <f t="shared" si="211"/>
        <v>0</v>
      </c>
      <c r="BY228" s="251">
        <f>$BR$164</f>
        <v>13.6</v>
      </c>
      <c r="BZ228" s="222">
        <f t="shared" si="211"/>
        <v>0</v>
      </c>
      <c r="CA228" s="251">
        <f>$BR$164</f>
        <v>13.6</v>
      </c>
      <c r="CB228" s="222">
        <f t="shared" si="211"/>
        <v>0</v>
      </c>
      <c r="CC228" s="251">
        <f>$BR$164</f>
        <v>13.6</v>
      </c>
      <c r="CD228" s="222">
        <f t="shared" si="211"/>
        <v>0</v>
      </c>
      <c r="CE228" s="251">
        <f>$BR$164</f>
        <v>13.6</v>
      </c>
      <c r="CF228" s="222">
        <f t="shared" si="211"/>
        <v>0</v>
      </c>
      <c r="CG228" s="251">
        <f>$BR$164</f>
        <v>13.6</v>
      </c>
      <c r="CH228" s="35">
        <v>0</v>
      </c>
      <c r="CI228" s="35">
        <v>0</v>
      </c>
      <c r="CJ228" s="35">
        <v>0</v>
      </c>
      <c r="DA228" s="5" t="s">
        <v>167</v>
      </c>
      <c r="DB228" s="5" t="s">
        <v>93</v>
      </c>
      <c r="DC228" s="5" t="str">
        <f t="shared" si="204"/>
        <v>----</v>
      </c>
      <c r="DD228" s="5">
        <f t="shared" si="205"/>
        <v>0</v>
      </c>
      <c r="DE228" s="35">
        <f t="shared" si="206"/>
        <v>8.91</v>
      </c>
      <c r="DF228" s="35"/>
    </row>
    <row r="229" spans="44:110" hidden="1"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44613</v>
      </c>
      <c r="AZ229" s="249">
        <f t="array" ref="AZ229">IF(SUM($D$194:$D$200)=0,$AC$66,MAX(IF($D$194:$D$200&gt;0,$C$194:$C$200)))</f>
        <v>44615</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167</v>
      </c>
      <c r="DB229" s="5" t="s">
        <v>94</v>
      </c>
      <c r="DC229" s="5" t="str">
        <f t="shared" si="204"/>
        <v>----</v>
      </c>
      <c r="DD229" s="5">
        <f t="shared" si="205"/>
        <v>0</v>
      </c>
      <c r="DE229" s="35">
        <f t="shared" si="206"/>
        <v>8.91</v>
      </c>
      <c r="DF229" s="35"/>
    </row>
    <row r="230" spans="44:110" hidden="1"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44613</v>
      </c>
      <c r="AZ230" s="249">
        <f t="array" ref="AZ230">IF(SUM($D$194:$D$200)=0,$AC$66,MAX(IF($D$194:$D$200&gt;0,$C$194:$C$200)))</f>
        <v>44615</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167</v>
      </c>
      <c r="DB230" s="5" t="s">
        <v>95</v>
      </c>
      <c r="DC230" s="5" t="str">
        <f t="shared" si="204"/>
        <v>----</v>
      </c>
      <c r="DD230" s="5">
        <f t="shared" si="205"/>
        <v>0</v>
      </c>
      <c r="DE230" s="35">
        <f t="shared" si="206"/>
        <v>8.91</v>
      </c>
      <c r="DF230" s="35"/>
    </row>
    <row r="231" spans="44:110" hidden="1"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44613</v>
      </c>
      <c r="AZ231" s="249">
        <f t="array" ref="AZ231">IF(SUM($D$194:$D$200)=0,$AC$66,MAX(IF($D$194:$D$200&gt;0,$C$194:$C$200)))</f>
        <v>44615</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167</v>
      </c>
      <c r="DB231" s="5" t="s">
        <v>93</v>
      </c>
      <c r="DC231" s="5" t="str">
        <f t="shared" si="204"/>
        <v>----</v>
      </c>
      <c r="DD231" s="5">
        <f t="shared" si="205"/>
        <v>0</v>
      </c>
      <c r="DE231" s="35">
        <f t="shared" si="206"/>
        <v>8.91</v>
      </c>
      <c r="DF231" s="35"/>
    </row>
    <row r="232" spans="44:110" hidden="1"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44613</v>
      </c>
      <c r="AZ232" s="249">
        <f t="array" ref="AZ232">IF(SUM($D$194:$D$200)=0,$AC$66,MAX(IF($D$194:$D$200&gt;0,$C$194:$C$200)))</f>
        <v>44615</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167</v>
      </c>
      <c r="DB232" s="5" t="s">
        <v>94</v>
      </c>
      <c r="DC232" s="5" t="str">
        <f t="shared" si="204"/>
        <v>----</v>
      </c>
      <c r="DD232" s="5">
        <f t="shared" si="205"/>
        <v>0</v>
      </c>
      <c r="DE232" s="35">
        <f t="shared" si="206"/>
        <v>8.91</v>
      </c>
      <c r="DF232" s="35"/>
    </row>
    <row r="233" spans="44:110" hidden="1" x14ac:dyDescent="0.2">
      <c r="AR233" s="377"/>
      <c r="AS233" s="328">
        <f>COUNTIF($AT$173:$AT232,$AT233)</f>
        <v>0</v>
      </c>
      <c r="AT233" s="1" t="str">
        <f t="shared" si="181"/>
        <v>0283753</v>
      </c>
      <c r="AV233" s="328" t="str">
        <f t="shared" si="182"/>
        <v>0283753</v>
      </c>
      <c r="AW233" s="328">
        <f>COUNTIF($AT$173:$AT232,$AT233)</f>
        <v>0</v>
      </c>
      <c r="AX233" s="201" t="str">
        <f t="shared" si="183"/>
        <v>Ignore me</v>
      </c>
      <c r="AY233" s="249">
        <f t="array" ref="AY233">IF(SUM($D$194:$D$200)=0,$E$66,MIN(IF($D$194:$D$200&gt;0,$C$194:$C$200)))</f>
        <v>44613</v>
      </c>
      <c r="AZ233" s="249">
        <f t="array" ref="AZ233">IF(SUM($D$194:$D$200)=0,$AC$66,MAX(IF($D$194:$D$200&gt;0,$C$194:$C$200)))</f>
        <v>44615</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167</v>
      </c>
      <c r="DB233" s="5" t="s">
        <v>95</v>
      </c>
      <c r="DC233" s="5" t="str">
        <f t="shared" si="204"/>
        <v>----</v>
      </c>
      <c r="DD233" s="5">
        <f t="shared" si="205"/>
        <v>0</v>
      </c>
      <c r="DE233" s="35">
        <f t="shared" si="206"/>
        <v>8.91</v>
      </c>
      <c r="DF233" s="35"/>
    </row>
    <row r="234" spans="44:110" hidden="1" x14ac:dyDescent="0.2">
      <c r="AR234" s="377"/>
      <c r="AS234" s="328">
        <f>COUNTIF($AT$173:$AT233,$AT234)</f>
        <v>0</v>
      </c>
      <c r="AT234" s="1" t="str">
        <f t="shared" si="181"/>
        <v>0433113</v>
      </c>
      <c r="AV234" s="328" t="str">
        <f t="shared" si="182"/>
        <v>0433113</v>
      </c>
      <c r="AW234" s="328">
        <f>COUNTIF($AT$173:$AT233,$AT234)</f>
        <v>0</v>
      </c>
      <c r="AX234" s="201" t="str">
        <f t="shared" si="183"/>
        <v>Ignore me</v>
      </c>
      <c r="AY234" s="249">
        <f t="array" ref="AY234">IF(SUM($D$194:$D$200)=0,$E$66,MIN(IF($D$194:$D$200&gt;0,$C$194:$C$200)))</f>
        <v>44613</v>
      </c>
      <c r="AZ234" s="249">
        <f t="array" ref="AZ234">IF(SUM($D$194:$D$200)=0,$AC$66,MAX(IF($D$194:$D$200&gt;0,$C$194:$C$200)))</f>
        <v>44615</v>
      </c>
      <c r="BA234" s="250">
        <f t="shared" si="213"/>
        <v>0</v>
      </c>
      <c r="BB234" s="222">
        <f t="shared" si="212"/>
        <v>0</v>
      </c>
      <c r="BC234" s="251">
        <f>$BR$164</f>
        <v>13.6</v>
      </c>
      <c r="BD234" s="222">
        <f t="shared" si="211"/>
        <v>0</v>
      </c>
      <c r="BE234" s="251">
        <f>$BR$164</f>
        <v>13.6</v>
      </c>
      <c r="BF234" s="222">
        <f t="shared" si="211"/>
        <v>0</v>
      </c>
      <c r="BG234" s="251">
        <f>$BR$164</f>
        <v>13.6</v>
      </c>
      <c r="BH234" s="222">
        <f t="shared" si="211"/>
        <v>0</v>
      </c>
      <c r="BI234" s="251">
        <f>$BR$164</f>
        <v>13.6</v>
      </c>
      <c r="BJ234" s="222">
        <f t="shared" si="211"/>
        <v>0</v>
      </c>
      <c r="BK234" s="251">
        <f>$BR$164</f>
        <v>13.6</v>
      </c>
      <c r="BL234" s="222">
        <f t="shared" si="211"/>
        <v>0</v>
      </c>
      <c r="BM234" s="251">
        <f>$BR$164</f>
        <v>13.6</v>
      </c>
      <c r="BN234" s="222">
        <f t="shared" si="211"/>
        <v>0</v>
      </c>
      <c r="BO234" s="251">
        <f>$BR$164</f>
        <v>13.6</v>
      </c>
      <c r="BP234" s="222">
        <f t="shared" si="211"/>
        <v>0</v>
      </c>
      <c r="BQ234" s="251">
        <f>$BR$164</f>
        <v>13.6</v>
      </c>
      <c r="BR234" s="222">
        <f t="shared" si="211"/>
        <v>0</v>
      </c>
      <c r="BS234" s="251">
        <f>$BR$164</f>
        <v>13.6</v>
      </c>
      <c r="BT234" s="222">
        <f t="shared" si="211"/>
        <v>0</v>
      </c>
      <c r="BU234" s="251">
        <f>$BR$164</f>
        <v>13.6</v>
      </c>
      <c r="BV234" s="222">
        <f t="shared" si="211"/>
        <v>0</v>
      </c>
      <c r="BW234" s="251">
        <f>$BR$164</f>
        <v>13.6</v>
      </c>
      <c r="BX234" s="222">
        <f t="shared" si="211"/>
        <v>0</v>
      </c>
      <c r="BY234" s="251">
        <f>$BR$164</f>
        <v>13.6</v>
      </c>
      <c r="BZ234" s="222">
        <f t="shared" si="211"/>
        <v>0</v>
      </c>
      <c r="CA234" s="251">
        <f>$BR$164</f>
        <v>13.6</v>
      </c>
      <c r="CB234" s="222">
        <f t="shared" si="211"/>
        <v>0</v>
      </c>
      <c r="CC234" s="251">
        <f>$BR$164</f>
        <v>13.6</v>
      </c>
      <c r="CD234" s="222">
        <f t="shared" si="211"/>
        <v>0</v>
      </c>
      <c r="CE234" s="251">
        <f>$BR$164</f>
        <v>13.6</v>
      </c>
      <c r="CF234" s="222">
        <f t="shared" si="211"/>
        <v>0</v>
      </c>
      <c r="CG234" s="251">
        <f>$BR$164</f>
        <v>13.6</v>
      </c>
      <c r="CH234" s="35">
        <v>0</v>
      </c>
      <c r="CI234" s="35">
        <v>0</v>
      </c>
      <c r="CJ234" s="35">
        <v>0</v>
      </c>
    </row>
    <row r="235" spans="44:110" hidden="1"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44613</v>
      </c>
      <c r="AZ235" s="249">
        <f t="array" ref="AZ235">IF(SUM($D$194:$D$200)=0,$AC$66,MAX(IF($D$194:$D$200&gt;0,$C$194:$C$200)))</f>
        <v>44615</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hidden="1"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44613</v>
      </c>
      <c r="AZ236" s="249">
        <f t="array" ref="AZ236">IF(SUM($D$194:$D$200)=0,$AC$66,MAX(IF($D$194:$D$200&gt;0,$C$194:$C$200)))</f>
        <v>44615</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hidden="1"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44613</v>
      </c>
      <c r="AZ237" s="249">
        <f t="array" ref="AZ237">IF(SUM($D$194:$D$200)=0,$AC$66,MAX(IF($D$194:$D$200&gt;0,$C$194:$C$200)))</f>
        <v>44615</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hidden="1"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44613</v>
      </c>
      <c r="AZ238" s="249">
        <f t="array" ref="AZ238">IF(SUM($D$194:$D$200)=0,$AC$66,MAX(IF($D$194:$D$200&gt;0,$C$194:$C$200)))</f>
        <v>44615</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hidden="1" x14ac:dyDescent="0.2">
      <c r="AR239" s="377"/>
      <c r="AS239" s="328">
        <f>COUNTIF($AT$173:$AT238,$AT239)</f>
        <v>1</v>
      </c>
      <c r="AT239" s="1" t="str">
        <f t="shared" si="215"/>
        <v>0283753</v>
      </c>
      <c r="AV239" s="328" t="str">
        <f t="shared" si="216"/>
        <v>0283753</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44613</v>
      </c>
      <c r="AZ239" s="249">
        <f t="array" ref="AZ239">IF(SUM($D$194:$D$200)=0,$AC$66,MAX(IF($D$194:$D$200&gt;0,$C$194:$C$200)))</f>
        <v>44615</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hidden="1" x14ac:dyDescent="0.2">
      <c r="AR240" s="377"/>
      <c r="AS240" s="328">
        <f>COUNTIF($AT$173:$AT239,$AT240)</f>
        <v>1</v>
      </c>
      <c r="AT240" s="1" t="str">
        <f t="shared" si="215"/>
        <v>0433113</v>
      </c>
      <c r="AV240" s="328" t="str">
        <f t="shared" si="216"/>
        <v>0433113</v>
      </c>
      <c r="AW240" s="328">
        <f>COUNTIF($AT$173:$AT239,$AT240)</f>
        <v>1</v>
      </c>
      <c r="AX240" s="201" t="str">
        <f t="shared" si="217"/>
        <v>Ignore me</v>
      </c>
      <c r="AY240" s="249">
        <f t="array" ref="AY240">IF(SUM($D$194:$D$200)=0,$E$66,MIN(IF($D$194:$D$200&gt;0,$C$194:$C$200)))</f>
        <v>44613</v>
      </c>
      <c r="AZ240" s="249">
        <f t="array" ref="AZ240">IF(SUM($D$194:$D$200)=0,$AC$66,MAX(IF($D$194:$D$200&gt;0,$C$194:$C$200)))</f>
        <v>44615</v>
      </c>
      <c r="BA240" s="250">
        <f t="shared" si="218"/>
        <v>0</v>
      </c>
      <c r="BB240" s="222">
        <f t="shared" si="212"/>
        <v>0</v>
      </c>
      <c r="BC240" s="251">
        <f>$BR$164</f>
        <v>13.6</v>
      </c>
      <c r="BD240" s="222">
        <f t="shared" si="214"/>
        <v>0</v>
      </c>
      <c r="BE240" s="251">
        <f>$BR$164</f>
        <v>13.6</v>
      </c>
      <c r="BF240" s="222">
        <f t="shared" si="214"/>
        <v>0</v>
      </c>
      <c r="BG240" s="251">
        <f>$BR$164</f>
        <v>13.6</v>
      </c>
      <c r="BH240" s="222">
        <f t="shared" si="214"/>
        <v>0</v>
      </c>
      <c r="BI240" s="251">
        <f>$BR$164</f>
        <v>13.6</v>
      </c>
      <c r="BJ240" s="222">
        <f t="shared" si="214"/>
        <v>0</v>
      </c>
      <c r="BK240" s="251">
        <f>$BR$164</f>
        <v>13.6</v>
      </c>
      <c r="BL240" s="222">
        <f t="shared" si="214"/>
        <v>0</v>
      </c>
      <c r="BM240" s="251">
        <f>$BR$164</f>
        <v>13.6</v>
      </c>
      <c r="BN240" s="222">
        <f t="shared" si="214"/>
        <v>0</v>
      </c>
      <c r="BO240" s="251">
        <f>$BR$164</f>
        <v>13.6</v>
      </c>
      <c r="BP240" s="222">
        <f t="shared" si="214"/>
        <v>0</v>
      </c>
      <c r="BQ240" s="251">
        <f>$BR$164</f>
        <v>13.6</v>
      </c>
      <c r="BR240" s="222">
        <f t="shared" si="214"/>
        <v>0</v>
      </c>
      <c r="BS240" s="251">
        <f>$BR$164</f>
        <v>13.6</v>
      </c>
      <c r="BT240" s="222">
        <f t="shared" si="214"/>
        <v>0</v>
      </c>
      <c r="BU240" s="251">
        <f>$BR$164</f>
        <v>13.6</v>
      </c>
      <c r="BV240" s="222">
        <f t="shared" si="214"/>
        <v>0</v>
      </c>
      <c r="BW240" s="251">
        <f>$BR$164</f>
        <v>13.6</v>
      </c>
      <c r="BX240" s="222">
        <f t="shared" si="214"/>
        <v>0</v>
      </c>
      <c r="BY240" s="251">
        <f>$BR$164</f>
        <v>13.6</v>
      </c>
      <c r="BZ240" s="222">
        <f t="shared" si="214"/>
        <v>0</v>
      </c>
      <c r="CA240" s="251">
        <f>$BR$164</f>
        <v>13.6</v>
      </c>
      <c r="CB240" s="222">
        <f t="shared" si="214"/>
        <v>0</v>
      </c>
      <c r="CC240" s="251">
        <f>$BR$164</f>
        <v>13.6</v>
      </c>
      <c r="CD240" s="222">
        <f t="shared" si="214"/>
        <v>0</v>
      </c>
      <c r="CE240" s="251">
        <f>$BR$164</f>
        <v>13.6</v>
      </c>
      <c r="CF240" s="222">
        <f t="shared" si="214"/>
        <v>0</v>
      </c>
      <c r="CG240" s="251">
        <f>$BR$164</f>
        <v>13.6</v>
      </c>
      <c r="CH240" s="35">
        <v>0</v>
      </c>
      <c r="CI240" s="35">
        <v>0</v>
      </c>
      <c r="CJ240" s="35">
        <v>0</v>
      </c>
    </row>
    <row r="241" spans="44:88" hidden="1"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44613</v>
      </c>
      <c r="AZ241" s="249">
        <f t="array" ref="AZ241">IF(SUM($D$194:$D$200)=0,$AC$66,MAX(IF($D$194:$D$200&gt;0,$C$194:$C$200)))</f>
        <v>44615</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hidden="1"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44613</v>
      </c>
      <c r="AZ242" s="249">
        <f t="array" ref="AZ242">IF(SUM($D$194:$D$200)=0,$AC$66,MAX(IF($D$194:$D$200&gt;0,$C$194:$C$200)))</f>
        <v>44615</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hidden="1"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44613</v>
      </c>
      <c r="AZ243" s="249">
        <f t="array" ref="AZ243">IF(SUM($D$194:$D$200)=0,$AC$66,MAX(IF($D$194:$D$200&gt;0,$C$194:$C$200)))</f>
        <v>44615</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hidden="1"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44613</v>
      </c>
      <c r="AZ244" s="249">
        <f t="array" ref="AZ244">IF(SUM($D$194:$D$200)=0,$AC$66,MAX(IF($D$194:$D$200&gt;0,$C$194:$C$200)))</f>
        <v>44615</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hidden="1" x14ac:dyDescent="0.2">
      <c r="AR245" s="377"/>
      <c r="AS245" s="328">
        <f>COUNTIF($AT$173:$AT244,$AT245)</f>
        <v>14</v>
      </c>
      <c r="AT245" s="1" t="str">
        <f t="shared" si="215"/>
        <v>90</v>
      </c>
      <c r="AV245" s="328" t="str">
        <f t="shared" si="216"/>
        <v>90</v>
      </c>
      <c r="AW245" s="328">
        <f>COUNTIF($AT$173:$AT244,$AT245)</f>
        <v>14</v>
      </c>
      <c r="AX245" s="201" t="str">
        <f t="shared" si="217"/>
        <v>Ignore me</v>
      </c>
      <c r="AY245" s="252">
        <f t="array" ref="AY245">IF(SUM($D$201:$D$207)=0,$E$82,MIN(IF($D$201:$D$207&gt;0,$C$201:$C$207)))</f>
        <v>44620</v>
      </c>
      <c r="AZ245" s="252">
        <f t="array" ref="AZ245">IF(SUM($D$201:$D$207)=0,$AC$82,MAX(IF($D$201:$D$207&gt;0,$C$201:$C$207)))</f>
        <v>44626</v>
      </c>
      <c r="BA245" s="253">
        <f t="shared" ref="BA245:BA250" si="220">$I$105</f>
        <v>9</v>
      </c>
      <c r="BB245" s="231">
        <f>SUMPRODUCT(($BW$143:$BW$160=$BA245)*($BX$143:$BX$160=BB$170)*($BZ$143:$BZ$160=BC245)*$BY$143:$BY$160)</f>
        <v>0</v>
      </c>
      <c r="BC245" s="254">
        <f>$BX$163</f>
        <v>0</v>
      </c>
      <c r="BD245" s="231">
        <f t="shared" ref="BD245:CF253" si="221">SUMPRODUCT(($BW$143:$BW$160=$BA245)*($BX$143:$BX$160=BD$170)*($BZ$143:$BZ$160=BE245)*$BY$143:$BY$160)</f>
        <v>0</v>
      </c>
      <c r="BE245" s="254">
        <f>$BX$163</f>
        <v>0</v>
      </c>
      <c r="BF245" s="231">
        <f t="shared" si="221"/>
        <v>0</v>
      </c>
      <c r="BG245" s="254">
        <f>$BX$163</f>
        <v>0</v>
      </c>
      <c r="BH245" s="231">
        <f t="shared" si="221"/>
        <v>0</v>
      </c>
      <c r="BI245" s="254">
        <f>$BX$163</f>
        <v>0</v>
      </c>
      <c r="BJ245" s="231">
        <f t="shared" si="221"/>
        <v>0</v>
      </c>
      <c r="BK245" s="254">
        <f>$BX$163</f>
        <v>0</v>
      </c>
      <c r="BL245" s="231">
        <f t="shared" si="221"/>
        <v>0</v>
      </c>
      <c r="BM245" s="254">
        <f>$BX$163</f>
        <v>0</v>
      </c>
      <c r="BN245" s="231">
        <f t="shared" si="221"/>
        <v>0</v>
      </c>
      <c r="BO245" s="254">
        <f>$BX$163</f>
        <v>0</v>
      </c>
      <c r="BP245" s="231">
        <f t="shared" si="221"/>
        <v>0</v>
      </c>
      <c r="BQ245" s="254">
        <f>$BX$163</f>
        <v>0</v>
      </c>
      <c r="BR245" s="231">
        <f t="shared" si="221"/>
        <v>0</v>
      </c>
      <c r="BS245" s="254">
        <f>$BX$163</f>
        <v>0</v>
      </c>
      <c r="BT245" s="231">
        <f t="shared" si="221"/>
        <v>0</v>
      </c>
      <c r="BU245" s="254">
        <f>$BX$163</f>
        <v>0</v>
      </c>
      <c r="BV245" s="231">
        <f t="shared" si="221"/>
        <v>0</v>
      </c>
      <c r="BW245" s="254">
        <f>$BX$163</f>
        <v>0</v>
      </c>
      <c r="BX245" s="231">
        <f t="shared" si="221"/>
        <v>0</v>
      </c>
      <c r="BY245" s="254">
        <f>$BX$163</f>
        <v>0</v>
      </c>
      <c r="BZ245" s="231">
        <f t="shared" si="221"/>
        <v>0</v>
      </c>
      <c r="CA245" s="254">
        <f>$BX$163</f>
        <v>0</v>
      </c>
      <c r="CB245" s="231">
        <f t="shared" si="221"/>
        <v>0</v>
      </c>
      <c r="CC245" s="254">
        <f>$BX$163</f>
        <v>0</v>
      </c>
      <c r="CD245" s="231">
        <f t="shared" si="221"/>
        <v>0</v>
      </c>
      <c r="CE245" s="254">
        <f>$BX$163</f>
        <v>0</v>
      </c>
      <c r="CF245" s="231">
        <f t="shared" si="221"/>
        <v>0</v>
      </c>
      <c r="CG245" s="254">
        <f>$BX$163</f>
        <v>0</v>
      </c>
      <c r="CH245" s="35">
        <v>0</v>
      </c>
      <c r="CI245" s="35">
        <v>0</v>
      </c>
      <c r="CJ245" s="35">
        <v>0</v>
      </c>
    </row>
    <row r="246" spans="44:88" hidden="1" x14ac:dyDescent="0.2">
      <c r="AR246" s="377"/>
      <c r="AS246" s="328">
        <f>COUNTIF($AT$173:$AT245,$AT246)</f>
        <v>15</v>
      </c>
      <c r="AT246" s="1" t="str">
        <f t="shared" si="215"/>
        <v>90</v>
      </c>
      <c r="AV246" s="328" t="str">
        <f t="shared" si="216"/>
        <v>90</v>
      </c>
      <c r="AW246" s="328">
        <f>COUNTIF($AT$173:$AT245,$AT246)</f>
        <v>15</v>
      </c>
      <c r="AX246" s="201" t="str">
        <f t="shared" si="217"/>
        <v>Ignore me</v>
      </c>
      <c r="AY246" s="252">
        <f t="array" ref="AY246">IF(SUM($D$201:$D$207)=0,$E$82,MIN(IF($D$201:$D$207&gt;0,$C$201:$C$207)))</f>
        <v>44620</v>
      </c>
      <c r="AZ246" s="252">
        <f t="array" ref="AZ246">IF(SUM($D$201:$D$207)=0,$AC$82,MAX(IF($D$201:$D$207&gt;0,$C$201:$C$207)))</f>
        <v>44626</v>
      </c>
      <c r="BA246" s="253">
        <f t="shared" si="220"/>
        <v>9</v>
      </c>
      <c r="BB246" s="231">
        <f t="shared" ref="BB246:BP262" si="222">SUMPRODUCT(($BW$143:$BW$160=$BA246)*($BX$143:$BX$160=BB$170)*($BZ$143:$BZ$160=BC246)*$BY$143:$BY$160)</f>
        <v>0</v>
      </c>
      <c r="BC246" s="254">
        <f>$BX$164</f>
        <v>0</v>
      </c>
      <c r="BD246" s="231">
        <f t="shared" si="222"/>
        <v>0</v>
      </c>
      <c r="BE246" s="254">
        <f>$BX$164</f>
        <v>0</v>
      </c>
      <c r="BF246" s="231">
        <f t="shared" si="222"/>
        <v>0</v>
      </c>
      <c r="BG246" s="254">
        <f>$BX$164</f>
        <v>0</v>
      </c>
      <c r="BH246" s="231">
        <f t="shared" si="222"/>
        <v>0</v>
      </c>
      <c r="BI246" s="254">
        <f>$BX$164</f>
        <v>0</v>
      </c>
      <c r="BJ246" s="231">
        <f t="shared" si="222"/>
        <v>0</v>
      </c>
      <c r="BK246" s="254">
        <f>$BX$164</f>
        <v>0</v>
      </c>
      <c r="BL246" s="231">
        <f t="shared" si="222"/>
        <v>0</v>
      </c>
      <c r="BM246" s="254">
        <f>$BX$164</f>
        <v>0</v>
      </c>
      <c r="BN246" s="231">
        <f t="shared" si="222"/>
        <v>0</v>
      </c>
      <c r="BO246" s="254">
        <f>$BX$164</f>
        <v>0</v>
      </c>
      <c r="BP246" s="231">
        <f t="shared" si="222"/>
        <v>0</v>
      </c>
      <c r="BQ246" s="254">
        <f>$BX$164</f>
        <v>0</v>
      </c>
      <c r="BR246" s="231">
        <f t="shared" si="221"/>
        <v>0</v>
      </c>
      <c r="BS246" s="254">
        <f>$BX$164</f>
        <v>0</v>
      </c>
      <c r="BT246" s="231">
        <f t="shared" si="221"/>
        <v>0</v>
      </c>
      <c r="BU246" s="254">
        <f>$BX$164</f>
        <v>0</v>
      </c>
      <c r="BV246" s="231">
        <f t="shared" si="221"/>
        <v>0</v>
      </c>
      <c r="BW246" s="254">
        <f>$BX$164</f>
        <v>0</v>
      </c>
      <c r="BX246" s="231">
        <f t="shared" si="221"/>
        <v>0</v>
      </c>
      <c r="BY246" s="254">
        <f>$BX$164</f>
        <v>0</v>
      </c>
      <c r="BZ246" s="231">
        <f t="shared" si="221"/>
        <v>0</v>
      </c>
      <c r="CA246" s="254">
        <f>$BX$164</f>
        <v>0</v>
      </c>
      <c r="CB246" s="231">
        <f t="shared" si="221"/>
        <v>0</v>
      </c>
      <c r="CC246" s="254">
        <f>$BX$164</f>
        <v>0</v>
      </c>
      <c r="CD246" s="231">
        <f t="shared" si="221"/>
        <v>0</v>
      </c>
      <c r="CE246" s="254">
        <f>$BX$164</f>
        <v>0</v>
      </c>
      <c r="CF246" s="231">
        <f t="shared" si="221"/>
        <v>0</v>
      </c>
      <c r="CG246" s="254">
        <f>$BX$164</f>
        <v>0</v>
      </c>
      <c r="CH246" s="35">
        <v>0</v>
      </c>
      <c r="CI246" s="35">
        <v>0</v>
      </c>
      <c r="CJ246" s="35">
        <v>0</v>
      </c>
    </row>
    <row r="247" spans="44:88" hidden="1" x14ac:dyDescent="0.2">
      <c r="AR247" s="377"/>
      <c r="AS247" s="328">
        <f>COUNTIF($AT$173:$AT246,$AT247)</f>
        <v>16</v>
      </c>
      <c r="AT247" s="1" t="str">
        <f t="shared" si="215"/>
        <v>90</v>
      </c>
      <c r="AV247" s="328" t="str">
        <f t="shared" si="216"/>
        <v>90</v>
      </c>
      <c r="AW247" s="328">
        <f>COUNTIF($AT$173:$AT246,$AT247)</f>
        <v>16</v>
      </c>
      <c r="AX247" s="201" t="str">
        <f t="shared" si="217"/>
        <v>Ignore me</v>
      </c>
      <c r="AY247" s="252">
        <f t="array" ref="AY247">IF(SUM($D$201:$D$207)=0,$E$82,MIN(IF($D$201:$D$207&gt;0,$C$201:$C$207)))</f>
        <v>44620</v>
      </c>
      <c r="AZ247" s="252">
        <f t="array" ref="AZ247">IF(SUM($D$201:$D$207)=0,$AC$82,MAX(IF($D$201:$D$207&gt;0,$C$201:$C$207)))</f>
        <v>44626</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hidden="1" x14ac:dyDescent="0.2">
      <c r="AR248" s="377"/>
      <c r="AS248" s="328">
        <f>COUNTIF($AT$173:$AT247,$AT248)</f>
        <v>17</v>
      </c>
      <c r="AT248" s="1" t="str">
        <f t="shared" si="215"/>
        <v>90</v>
      </c>
      <c r="AV248" s="328" t="str">
        <f t="shared" si="216"/>
        <v>90</v>
      </c>
      <c r="AW248" s="328">
        <f>COUNTIF($AT$173:$AT247,$AT248)</f>
        <v>17</v>
      </c>
      <c r="AX248" s="201" t="str">
        <f t="shared" si="217"/>
        <v>Ignore me</v>
      </c>
      <c r="AY248" s="252">
        <f t="array" ref="AY248">IF(SUM($D$201:$D$207)=0,$E$82,MIN(IF($D$201:$D$207&gt;0,$C$201:$C$207)))</f>
        <v>44620</v>
      </c>
      <c r="AZ248" s="252">
        <f t="array" ref="AZ248">IF(SUM($D$201:$D$207)=0,$AC$82,MAX(IF($D$201:$D$207&gt;0,$C$201:$C$207)))</f>
        <v>44626</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hidden="1" x14ac:dyDescent="0.2">
      <c r="AR249" s="377"/>
      <c r="AS249" s="328">
        <f>COUNTIF($AT$173:$AT248,$AT249)</f>
        <v>18</v>
      </c>
      <c r="AT249" s="1" t="str">
        <f t="shared" si="215"/>
        <v>90</v>
      </c>
      <c r="AV249" s="328" t="str">
        <f t="shared" si="216"/>
        <v>90</v>
      </c>
      <c r="AW249" s="328">
        <f>COUNTIF($AT$173:$AT248,$AT249)</f>
        <v>18</v>
      </c>
      <c r="AX249" s="201" t="str">
        <f t="shared" si="217"/>
        <v>Ignore me</v>
      </c>
      <c r="AY249" s="252">
        <f t="array" ref="AY249">IF(SUM($D$201:$D$207)=0,$E$82,MIN(IF($D$201:$D$207&gt;0,$C$201:$C$207)))</f>
        <v>44620</v>
      </c>
      <c r="AZ249" s="252">
        <f t="array" ref="AZ249">IF(SUM($D$201:$D$207)=0,$AC$82,MAX(IF($D$201:$D$207&gt;0,$C$201:$C$207)))</f>
        <v>44626</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hidden="1" x14ac:dyDescent="0.2">
      <c r="AR250" s="377"/>
      <c r="AS250" s="328">
        <f>COUNTIF($AT$173:$AT249,$AT250)</f>
        <v>19</v>
      </c>
      <c r="AT250" s="1" t="str">
        <f t="shared" si="215"/>
        <v>90</v>
      </c>
      <c r="AV250" s="328" t="str">
        <f t="shared" si="216"/>
        <v>90</v>
      </c>
      <c r="AW250" s="328">
        <f>COUNTIF($AT$173:$AT249,$AT250)</f>
        <v>19</v>
      </c>
      <c r="AX250" s="201" t="str">
        <f t="shared" si="217"/>
        <v>Ignore me</v>
      </c>
      <c r="AY250" s="252">
        <f t="array" ref="AY250">IF(SUM($D$201:$D$207)=0,$E$82,MIN(IF($D$201:$D$207&gt;0,$C$201:$C$207)))</f>
        <v>44620</v>
      </c>
      <c r="AZ250" s="252">
        <f t="array" ref="AZ250">IF(SUM($D$201:$D$207)=0,$AC$82,MAX(IF($D$201:$D$207&gt;0,$C$201:$C$207)))</f>
        <v>44626</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hidden="1" x14ac:dyDescent="0.2">
      <c r="AR251" s="377"/>
      <c r="AS251" s="328">
        <f>COUNTIF($AT$173:$AT250,$AT251)</f>
        <v>28</v>
      </c>
      <c r="AT251" s="1" t="str">
        <f t="shared" si="215"/>
        <v>00</v>
      </c>
      <c r="AV251" s="328" t="str">
        <f t="shared" si="216"/>
        <v>00</v>
      </c>
      <c r="AW251" s="328">
        <f>COUNTIF($AT$173:$AT250,$AT251)</f>
        <v>28</v>
      </c>
      <c r="AX251" s="201" t="str">
        <f t="shared" si="217"/>
        <v>Ignore me</v>
      </c>
      <c r="AY251" s="252">
        <f t="array" ref="AY251">IF(SUM($D$201:$D$207)=0,$E$82,MIN(IF($D$201:$D$207&gt;0,$C$201:$C$207)))</f>
        <v>44620</v>
      </c>
      <c r="AZ251" s="252">
        <f t="array" ref="AZ251">IF(SUM($D$201:$D$207)=0,$AC$82,MAX(IF($D$201:$D$207&gt;0,$C$201:$C$207)))</f>
        <v>44626</v>
      </c>
      <c r="BA251" s="253">
        <f t="shared" ref="BA251:BA256" si="223">$I$106</f>
        <v>0</v>
      </c>
      <c r="BB251" s="231">
        <f t="shared" si="222"/>
        <v>0</v>
      </c>
      <c r="BC251" s="254">
        <f>$BX$163</f>
        <v>0</v>
      </c>
      <c r="BD251" s="231">
        <f t="shared" si="221"/>
        <v>0</v>
      </c>
      <c r="BE251" s="254">
        <f>$BX$163</f>
        <v>0</v>
      </c>
      <c r="BF251" s="231">
        <f t="shared" si="221"/>
        <v>0</v>
      </c>
      <c r="BG251" s="254">
        <f>$BX$163</f>
        <v>0</v>
      </c>
      <c r="BH251" s="231">
        <f t="shared" si="221"/>
        <v>0</v>
      </c>
      <c r="BI251" s="254">
        <f>$BX$163</f>
        <v>0</v>
      </c>
      <c r="BJ251" s="231">
        <f t="shared" si="221"/>
        <v>0</v>
      </c>
      <c r="BK251" s="254">
        <f>$BX$163</f>
        <v>0</v>
      </c>
      <c r="BL251" s="231">
        <f t="shared" si="221"/>
        <v>0</v>
      </c>
      <c r="BM251" s="254">
        <f>$BX$163</f>
        <v>0</v>
      </c>
      <c r="BN251" s="231">
        <f t="shared" si="221"/>
        <v>0</v>
      </c>
      <c r="BO251" s="254">
        <f>$BX$163</f>
        <v>0</v>
      </c>
      <c r="BP251" s="231">
        <f t="shared" si="221"/>
        <v>0</v>
      </c>
      <c r="BQ251" s="254">
        <f>$BX$163</f>
        <v>0</v>
      </c>
      <c r="BR251" s="231">
        <f t="shared" si="221"/>
        <v>0</v>
      </c>
      <c r="BS251" s="254">
        <f>$BX$163</f>
        <v>0</v>
      </c>
      <c r="BT251" s="231">
        <f t="shared" si="221"/>
        <v>0</v>
      </c>
      <c r="BU251" s="254">
        <f>$BX$163</f>
        <v>0</v>
      </c>
      <c r="BV251" s="231">
        <f t="shared" si="221"/>
        <v>0</v>
      </c>
      <c r="BW251" s="254">
        <f>$BX$163</f>
        <v>0</v>
      </c>
      <c r="BX251" s="231">
        <f t="shared" si="221"/>
        <v>0</v>
      </c>
      <c r="BY251" s="254">
        <f>$BX$163</f>
        <v>0</v>
      </c>
      <c r="BZ251" s="231">
        <f t="shared" si="221"/>
        <v>0</v>
      </c>
      <c r="CA251" s="254">
        <f>$BX$163</f>
        <v>0</v>
      </c>
      <c r="CB251" s="231">
        <f t="shared" si="221"/>
        <v>0</v>
      </c>
      <c r="CC251" s="254">
        <f>$BX$163</f>
        <v>0</v>
      </c>
      <c r="CD251" s="231">
        <f t="shared" si="221"/>
        <v>0</v>
      </c>
      <c r="CE251" s="254">
        <f>$BX$163</f>
        <v>0</v>
      </c>
      <c r="CF251" s="231">
        <f t="shared" si="221"/>
        <v>0</v>
      </c>
      <c r="CG251" s="254">
        <f>$BX$163</f>
        <v>0</v>
      </c>
      <c r="CH251" s="35">
        <v>0</v>
      </c>
      <c r="CI251" s="35">
        <v>0</v>
      </c>
      <c r="CJ251" s="35">
        <v>0</v>
      </c>
    </row>
    <row r="252" spans="44:88" hidden="1" x14ac:dyDescent="0.2">
      <c r="AR252" s="377"/>
      <c r="AS252" s="328">
        <f>COUNTIF($AT$173:$AT251,$AT252)</f>
        <v>29</v>
      </c>
      <c r="AT252" s="1" t="str">
        <f t="shared" si="215"/>
        <v>00</v>
      </c>
      <c r="AV252" s="328" t="str">
        <f t="shared" si="216"/>
        <v>00</v>
      </c>
      <c r="AW252" s="328">
        <f>COUNTIF($AT$173:$AT251,$AT252)</f>
        <v>29</v>
      </c>
      <c r="AX252" s="201" t="str">
        <f t="shared" si="217"/>
        <v>Ignore me</v>
      </c>
      <c r="AY252" s="252">
        <f t="array" ref="AY252">IF(SUM($D$201:$D$207)=0,$E$82,MIN(IF($D$201:$D$207&gt;0,$C$201:$C$207)))</f>
        <v>44620</v>
      </c>
      <c r="AZ252" s="252">
        <f t="array" ref="AZ252">IF(SUM($D$201:$D$207)=0,$AC$82,MAX(IF($D$201:$D$207&gt;0,$C$201:$C$207)))</f>
        <v>44626</v>
      </c>
      <c r="BA252" s="253">
        <f t="shared" si="223"/>
        <v>0</v>
      </c>
      <c r="BB252" s="231">
        <f t="shared" si="222"/>
        <v>0</v>
      </c>
      <c r="BC252" s="254">
        <f>$BX$164</f>
        <v>0</v>
      </c>
      <c r="BD252" s="231">
        <f t="shared" si="221"/>
        <v>0</v>
      </c>
      <c r="BE252" s="254">
        <f>$BX$164</f>
        <v>0</v>
      </c>
      <c r="BF252" s="231">
        <f t="shared" si="221"/>
        <v>0</v>
      </c>
      <c r="BG252" s="254">
        <f>$BX$164</f>
        <v>0</v>
      </c>
      <c r="BH252" s="231">
        <f t="shared" si="221"/>
        <v>0</v>
      </c>
      <c r="BI252" s="254">
        <f>$BX$164</f>
        <v>0</v>
      </c>
      <c r="BJ252" s="231">
        <f t="shared" si="221"/>
        <v>0</v>
      </c>
      <c r="BK252" s="254">
        <f>$BX$164</f>
        <v>0</v>
      </c>
      <c r="BL252" s="231">
        <f t="shared" si="221"/>
        <v>0</v>
      </c>
      <c r="BM252" s="254">
        <f>$BX$164</f>
        <v>0</v>
      </c>
      <c r="BN252" s="231">
        <f t="shared" si="221"/>
        <v>0</v>
      </c>
      <c r="BO252" s="254">
        <f>$BX$164</f>
        <v>0</v>
      </c>
      <c r="BP252" s="231">
        <f t="shared" si="221"/>
        <v>0</v>
      </c>
      <c r="BQ252" s="254">
        <f>$BX$164</f>
        <v>0</v>
      </c>
      <c r="BR252" s="231">
        <f t="shared" si="221"/>
        <v>0</v>
      </c>
      <c r="BS252" s="254">
        <f>$BX$164</f>
        <v>0</v>
      </c>
      <c r="BT252" s="231">
        <f t="shared" si="221"/>
        <v>0</v>
      </c>
      <c r="BU252" s="254">
        <f>$BX$164</f>
        <v>0</v>
      </c>
      <c r="BV252" s="231">
        <f t="shared" si="221"/>
        <v>0</v>
      </c>
      <c r="BW252" s="254">
        <f>$BX$164</f>
        <v>0</v>
      </c>
      <c r="BX252" s="231">
        <f t="shared" si="221"/>
        <v>0</v>
      </c>
      <c r="BY252" s="254">
        <f>$BX$164</f>
        <v>0</v>
      </c>
      <c r="BZ252" s="231">
        <f t="shared" si="221"/>
        <v>0</v>
      </c>
      <c r="CA252" s="254">
        <f>$BX$164</f>
        <v>0</v>
      </c>
      <c r="CB252" s="231">
        <f t="shared" si="221"/>
        <v>0</v>
      </c>
      <c r="CC252" s="254">
        <f>$BX$164</f>
        <v>0</v>
      </c>
      <c r="CD252" s="231">
        <f t="shared" si="221"/>
        <v>0</v>
      </c>
      <c r="CE252" s="254">
        <f>$BX$164</f>
        <v>0</v>
      </c>
      <c r="CF252" s="231">
        <f t="shared" si="221"/>
        <v>0</v>
      </c>
      <c r="CG252" s="254">
        <f>$BX$164</f>
        <v>0</v>
      </c>
      <c r="CH252" s="35">
        <v>0</v>
      </c>
      <c r="CI252" s="35">
        <v>0</v>
      </c>
      <c r="CJ252" s="35">
        <v>0</v>
      </c>
    </row>
    <row r="253" spans="44:88" hidden="1" x14ac:dyDescent="0.2">
      <c r="AR253" s="377"/>
      <c r="AS253" s="328">
        <f>COUNTIF($AT$173:$AT252,$AT253)</f>
        <v>30</v>
      </c>
      <c r="AT253" s="1" t="str">
        <f t="shared" si="215"/>
        <v>00</v>
      </c>
      <c r="AV253" s="328" t="str">
        <f t="shared" si="216"/>
        <v>00</v>
      </c>
      <c r="AW253" s="328">
        <f>COUNTIF($AT$173:$AT252,$AT253)</f>
        <v>30</v>
      </c>
      <c r="AX253" s="201" t="str">
        <f t="shared" si="217"/>
        <v>Ignore me</v>
      </c>
      <c r="AY253" s="252">
        <f t="array" ref="AY253">IF(SUM($D$201:$D$207)=0,$E$82,MIN(IF($D$201:$D$207&gt;0,$C$201:$C$207)))</f>
        <v>44620</v>
      </c>
      <c r="AZ253" s="252">
        <f t="array" ref="AZ253">IF(SUM($D$201:$D$207)=0,$AC$82,MAX(IF($D$201:$D$207&gt;0,$C$201:$C$207)))</f>
        <v>44626</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hidden="1" x14ac:dyDescent="0.2">
      <c r="AR254" s="377"/>
      <c r="AS254" s="328">
        <f>COUNTIF($AT$173:$AT253,$AT254)</f>
        <v>31</v>
      </c>
      <c r="AT254" s="1" t="str">
        <f t="shared" si="215"/>
        <v>00</v>
      </c>
      <c r="AV254" s="328" t="str">
        <f t="shared" si="216"/>
        <v>00</v>
      </c>
      <c r="AW254" s="328">
        <f>COUNTIF($AT$173:$AT253,$AT254)</f>
        <v>31</v>
      </c>
      <c r="AX254" s="201" t="str">
        <f t="shared" si="217"/>
        <v>Ignore me</v>
      </c>
      <c r="AY254" s="252">
        <f t="array" ref="AY254">IF(SUM($D$201:$D$207)=0,$E$82,MIN(IF($D$201:$D$207&gt;0,$C$201:$C$207)))</f>
        <v>44620</v>
      </c>
      <c r="AZ254" s="252">
        <f t="array" ref="AZ254">IF(SUM($D$201:$D$207)=0,$AC$82,MAX(IF($D$201:$D$207&gt;0,$C$201:$C$207)))</f>
        <v>44626</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hidden="1" x14ac:dyDescent="0.2">
      <c r="AR255" s="377"/>
      <c r="AS255" s="328">
        <f>COUNTIF($AT$173:$AT254,$AT255)</f>
        <v>32</v>
      </c>
      <c r="AT255" s="1" t="str">
        <f t="shared" si="215"/>
        <v>00</v>
      </c>
      <c r="AV255" s="328" t="str">
        <f t="shared" si="216"/>
        <v>00</v>
      </c>
      <c r="AW255" s="328">
        <f>COUNTIF($AT$173:$AT254,$AT255)</f>
        <v>32</v>
      </c>
      <c r="AX255" s="201" t="str">
        <f t="shared" si="217"/>
        <v>Ignore me</v>
      </c>
      <c r="AY255" s="252">
        <f t="array" ref="AY255">IF(SUM($D$201:$D$207)=0,$E$82,MIN(IF($D$201:$D$207&gt;0,$C$201:$C$207)))</f>
        <v>44620</v>
      </c>
      <c r="AZ255" s="252">
        <f t="array" ref="AZ255">IF(SUM($D$201:$D$207)=0,$AC$82,MAX(IF($D$201:$D$207&gt;0,$C$201:$C$207)))</f>
        <v>44626</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hidden="1" x14ac:dyDescent="0.2">
      <c r="AR256" s="377"/>
      <c r="AS256" s="328">
        <f>COUNTIF($AT$173:$AT255,$AT256)</f>
        <v>33</v>
      </c>
      <c r="AT256" s="1" t="str">
        <f t="shared" si="215"/>
        <v>00</v>
      </c>
      <c r="AV256" s="328" t="str">
        <f t="shared" si="216"/>
        <v>00</v>
      </c>
      <c r="AW256" s="328">
        <f>COUNTIF($AT$173:$AT255,$AT256)</f>
        <v>33</v>
      </c>
      <c r="AX256" s="201" t="str">
        <f t="shared" si="217"/>
        <v>Ignore me</v>
      </c>
      <c r="AY256" s="252">
        <f t="array" ref="AY256">IF(SUM($D$201:$D$207)=0,$E$82,MIN(IF($D$201:$D$207&gt;0,$C$201:$C$207)))</f>
        <v>44620</v>
      </c>
      <c r="AZ256" s="252">
        <f t="array" ref="AZ256">IF(SUM($D$201:$D$207)=0,$AC$82,MAX(IF($D$201:$D$207&gt;0,$C$201:$C$207)))</f>
        <v>44626</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hidden="1" x14ac:dyDescent="0.2">
      <c r="AR257" s="377"/>
      <c r="AS257" s="328">
        <f>COUNTIF($AT$173:$AT256,$AT257)</f>
        <v>34</v>
      </c>
      <c r="AT257" s="1" t="str">
        <f t="shared" si="215"/>
        <v>00</v>
      </c>
      <c r="AV257" s="328" t="str">
        <f t="shared" si="216"/>
        <v>00</v>
      </c>
      <c r="AW257" s="328">
        <f>COUNTIF($AT$173:$AT256,$AT257)</f>
        <v>34</v>
      </c>
      <c r="AX257" s="201" t="str">
        <f t="shared" si="217"/>
        <v>Ignore me</v>
      </c>
      <c r="AY257" s="252">
        <f t="array" ref="AY257">IF(SUM($D$201:$D$207)=0,$E$82,MIN(IF($D$201:$D$207&gt;0,$C$201:$C$207)))</f>
        <v>44620</v>
      </c>
      <c r="AZ257" s="252">
        <f t="array" ref="AZ257">IF(SUM($D$201:$D$207)=0,$AC$82,MAX(IF($D$201:$D$207&gt;0,$C$201:$C$207)))</f>
        <v>44626</v>
      </c>
      <c r="BA257" s="253">
        <f t="shared" ref="BA257:BA262" si="225">$I$107</f>
        <v>0</v>
      </c>
      <c r="BB257" s="231">
        <f t="shared" si="222"/>
        <v>0</v>
      </c>
      <c r="BC257" s="254">
        <f>$BX$163</f>
        <v>0</v>
      </c>
      <c r="BD257" s="231">
        <f t="shared" si="224"/>
        <v>0</v>
      </c>
      <c r="BE257" s="254">
        <f>$BX$163</f>
        <v>0</v>
      </c>
      <c r="BF257" s="231">
        <f t="shared" si="224"/>
        <v>0</v>
      </c>
      <c r="BG257" s="254">
        <f>$BX$163</f>
        <v>0</v>
      </c>
      <c r="BH257" s="231">
        <f t="shared" si="224"/>
        <v>0</v>
      </c>
      <c r="BI257" s="254">
        <f>$BX$163</f>
        <v>0</v>
      </c>
      <c r="BJ257" s="231">
        <f t="shared" si="224"/>
        <v>0</v>
      </c>
      <c r="BK257" s="254">
        <f>$BX$163</f>
        <v>0</v>
      </c>
      <c r="BL257" s="231">
        <f t="shared" si="224"/>
        <v>0</v>
      </c>
      <c r="BM257" s="254">
        <f>$BX$163</f>
        <v>0</v>
      </c>
      <c r="BN257" s="231">
        <f t="shared" si="224"/>
        <v>0</v>
      </c>
      <c r="BO257" s="254">
        <f>$BX$163</f>
        <v>0</v>
      </c>
      <c r="BP257" s="231">
        <f t="shared" si="224"/>
        <v>0</v>
      </c>
      <c r="BQ257" s="254">
        <f>$BX$163</f>
        <v>0</v>
      </c>
      <c r="BR257" s="231">
        <f t="shared" si="224"/>
        <v>0</v>
      </c>
      <c r="BS257" s="254">
        <f>$BX$163</f>
        <v>0</v>
      </c>
      <c r="BT257" s="231">
        <f t="shared" si="224"/>
        <v>0</v>
      </c>
      <c r="BU257" s="254">
        <f>$BX$163</f>
        <v>0</v>
      </c>
      <c r="BV257" s="231">
        <f t="shared" si="224"/>
        <v>0</v>
      </c>
      <c r="BW257" s="254">
        <f>$BX$163</f>
        <v>0</v>
      </c>
      <c r="BX257" s="231">
        <f t="shared" si="224"/>
        <v>0</v>
      </c>
      <c r="BY257" s="254">
        <f>$BX$163</f>
        <v>0</v>
      </c>
      <c r="BZ257" s="231">
        <f t="shared" si="224"/>
        <v>0</v>
      </c>
      <c r="CA257" s="254">
        <f>$BX$163</f>
        <v>0</v>
      </c>
      <c r="CB257" s="231">
        <f t="shared" si="224"/>
        <v>0</v>
      </c>
      <c r="CC257" s="254">
        <f>$BX$163</f>
        <v>0</v>
      </c>
      <c r="CD257" s="231">
        <f t="shared" si="224"/>
        <v>0</v>
      </c>
      <c r="CE257" s="254">
        <f>$BX$163</f>
        <v>0</v>
      </c>
      <c r="CF257" s="231">
        <f t="shared" si="224"/>
        <v>0</v>
      </c>
      <c r="CG257" s="254">
        <f>$BX$163</f>
        <v>0</v>
      </c>
      <c r="CH257" s="35">
        <v>0</v>
      </c>
      <c r="CI257" s="35">
        <v>0</v>
      </c>
      <c r="CJ257" s="35">
        <v>0</v>
      </c>
    </row>
    <row r="258" spans="44:88" hidden="1" x14ac:dyDescent="0.2">
      <c r="AR258" s="377"/>
      <c r="AS258" s="328">
        <f>COUNTIF($AT$173:$AT257,$AT258)</f>
        <v>35</v>
      </c>
      <c r="AT258" s="1" t="str">
        <f t="shared" si="215"/>
        <v>00</v>
      </c>
      <c r="AV258" s="328" t="str">
        <f t="shared" si="216"/>
        <v>00</v>
      </c>
      <c r="AW258" s="328">
        <f>COUNTIF($AT$173:$AT257,$AT258)</f>
        <v>35</v>
      </c>
      <c r="AX258" s="201" t="str">
        <f t="shared" si="217"/>
        <v>Ignore me</v>
      </c>
      <c r="AY258" s="252">
        <f t="array" ref="AY258">IF(SUM($D$201:$D$207)=0,$E$82,MIN(IF($D$201:$D$207&gt;0,$C$201:$C$207)))</f>
        <v>44620</v>
      </c>
      <c r="AZ258" s="252">
        <f t="array" ref="AZ258">IF(SUM($D$201:$D$207)=0,$AC$82,MAX(IF($D$201:$D$207&gt;0,$C$201:$C$207)))</f>
        <v>44626</v>
      </c>
      <c r="BA258" s="253">
        <f t="shared" si="225"/>
        <v>0</v>
      </c>
      <c r="BB258" s="231">
        <f t="shared" si="222"/>
        <v>0</v>
      </c>
      <c r="BC258" s="254">
        <f>$BX$164</f>
        <v>0</v>
      </c>
      <c r="BD258" s="231">
        <f t="shared" si="224"/>
        <v>0</v>
      </c>
      <c r="BE258" s="254">
        <f>$BX$164</f>
        <v>0</v>
      </c>
      <c r="BF258" s="231">
        <f t="shared" si="224"/>
        <v>0</v>
      </c>
      <c r="BG258" s="254">
        <f>$BX$164</f>
        <v>0</v>
      </c>
      <c r="BH258" s="231">
        <f t="shared" si="224"/>
        <v>0</v>
      </c>
      <c r="BI258" s="254">
        <f>$BX$164</f>
        <v>0</v>
      </c>
      <c r="BJ258" s="231">
        <f t="shared" si="224"/>
        <v>0</v>
      </c>
      <c r="BK258" s="254">
        <f>$BX$164</f>
        <v>0</v>
      </c>
      <c r="BL258" s="231">
        <f t="shared" si="224"/>
        <v>0</v>
      </c>
      <c r="BM258" s="254">
        <f>$BX$164</f>
        <v>0</v>
      </c>
      <c r="BN258" s="231">
        <f t="shared" si="224"/>
        <v>0</v>
      </c>
      <c r="BO258" s="254">
        <f>$BX$164</f>
        <v>0</v>
      </c>
      <c r="BP258" s="231">
        <f t="shared" si="224"/>
        <v>0</v>
      </c>
      <c r="BQ258" s="254">
        <f>$BX$164</f>
        <v>0</v>
      </c>
      <c r="BR258" s="231">
        <f t="shared" si="224"/>
        <v>0</v>
      </c>
      <c r="BS258" s="254">
        <f>$BX$164</f>
        <v>0</v>
      </c>
      <c r="BT258" s="231">
        <f t="shared" si="224"/>
        <v>0</v>
      </c>
      <c r="BU258" s="254">
        <f>$BX$164</f>
        <v>0</v>
      </c>
      <c r="BV258" s="231">
        <f t="shared" si="224"/>
        <v>0</v>
      </c>
      <c r="BW258" s="254">
        <f>$BX$164</f>
        <v>0</v>
      </c>
      <c r="BX258" s="231">
        <f t="shared" si="224"/>
        <v>0</v>
      </c>
      <c r="BY258" s="254">
        <f>$BX$164</f>
        <v>0</v>
      </c>
      <c r="BZ258" s="231">
        <f t="shared" si="224"/>
        <v>0</v>
      </c>
      <c r="CA258" s="254">
        <f>$BX$164</f>
        <v>0</v>
      </c>
      <c r="CB258" s="231">
        <f t="shared" si="224"/>
        <v>0</v>
      </c>
      <c r="CC258" s="254">
        <f>$BX$164</f>
        <v>0</v>
      </c>
      <c r="CD258" s="231">
        <f t="shared" si="224"/>
        <v>0</v>
      </c>
      <c r="CE258" s="254">
        <f>$BX$164</f>
        <v>0</v>
      </c>
      <c r="CF258" s="231">
        <f t="shared" si="224"/>
        <v>0</v>
      </c>
      <c r="CG258" s="254">
        <f>$BX$164</f>
        <v>0</v>
      </c>
      <c r="CH258" s="35">
        <v>0</v>
      </c>
      <c r="CI258" s="35">
        <v>0</v>
      </c>
      <c r="CJ258" s="35">
        <v>0</v>
      </c>
    </row>
    <row r="259" spans="44:88" hidden="1" x14ac:dyDescent="0.2">
      <c r="AR259" s="377"/>
      <c r="AS259" s="328">
        <f>COUNTIF($AT$173:$AT258,$AT259)</f>
        <v>36</v>
      </c>
      <c r="AT259" s="1" t="str">
        <f t="shared" si="215"/>
        <v>00</v>
      </c>
      <c r="AV259" s="328" t="str">
        <f t="shared" si="216"/>
        <v>00</v>
      </c>
      <c r="AW259" s="328">
        <f>COUNTIF($AT$173:$AT258,$AT259)</f>
        <v>36</v>
      </c>
      <c r="AX259" s="201" t="str">
        <f t="shared" si="217"/>
        <v>Ignore me</v>
      </c>
      <c r="AY259" s="252">
        <f t="array" ref="AY259">IF(SUM($D$201:$D$207)=0,$E$82,MIN(IF($D$201:$D$207&gt;0,$C$201:$C$207)))</f>
        <v>44620</v>
      </c>
      <c r="AZ259" s="252">
        <f t="array" ref="AZ259">IF(SUM($D$201:$D$207)=0,$AC$82,MAX(IF($D$201:$D$207&gt;0,$C$201:$C$207)))</f>
        <v>44626</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hidden="1" x14ac:dyDescent="0.2">
      <c r="AR260" s="377"/>
      <c r="AS260" s="328">
        <f>COUNTIF($AT$173:$AT259,$AT260)</f>
        <v>37</v>
      </c>
      <c r="AT260" s="1" t="str">
        <f t="shared" si="215"/>
        <v>00</v>
      </c>
      <c r="AV260" s="328" t="str">
        <f t="shared" si="216"/>
        <v>00</v>
      </c>
      <c r="AW260" s="328">
        <f>COUNTIF($AT$173:$AT259,$AT260)</f>
        <v>37</v>
      </c>
      <c r="AX260" s="201" t="str">
        <f t="shared" si="217"/>
        <v>Ignore me</v>
      </c>
      <c r="AY260" s="252">
        <f t="array" ref="AY260">IF(SUM($D$201:$D$207)=0,$E$82,MIN(IF($D$201:$D$207&gt;0,$C$201:$C$207)))</f>
        <v>44620</v>
      </c>
      <c r="AZ260" s="252">
        <f t="array" ref="AZ260">IF(SUM($D$201:$D$207)=0,$AC$82,MAX(IF($D$201:$D$207&gt;0,$C$201:$C$207)))</f>
        <v>44626</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hidden="1" x14ac:dyDescent="0.2">
      <c r="AR261" s="377"/>
      <c r="AS261" s="328">
        <f>COUNTIF($AT$173:$AT260,$AT261)</f>
        <v>38</v>
      </c>
      <c r="AT261" s="1" t="str">
        <f t="shared" si="215"/>
        <v>00</v>
      </c>
      <c r="AV261" s="328" t="str">
        <f t="shared" si="216"/>
        <v>00</v>
      </c>
      <c r="AW261" s="328">
        <f>COUNTIF($AT$173:$AT260,$AT261)</f>
        <v>38</v>
      </c>
      <c r="AX261" s="201" t="str">
        <f t="shared" si="217"/>
        <v>Ignore me</v>
      </c>
      <c r="AY261" s="252">
        <f t="array" ref="AY261">IF(SUM($D$201:$D$207)=0,$E$82,MIN(IF($D$201:$D$207&gt;0,$C$201:$C$207)))</f>
        <v>44620</v>
      </c>
      <c r="AZ261" s="252">
        <f t="array" ref="AZ261">IF(SUM($D$201:$D$207)=0,$AC$82,MAX(IF($D$201:$D$207&gt;0,$C$201:$C$207)))</f>
        <v>44626</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hidden="1" x14ac:dyDescent="0.2">
      <c r="AR262" s="377"/>
      <c r="AS262" s="328">
        <f>COUNTIF($AT$173:$AT261,$AT262)</f>
        <v>39</v>
      </c>
      <c r="AT262" s="1" t="str">
        <f t="shared" si="215"/>
        <v>00</v>
      </c>
      <c r="AV262" s="328" t="str">
        <f t="shared" si="216"/>
        <v>00</v>
      </c>
      <c r="AW262" s="328">
        <f>COUNTIF($AT$173:$AT261,$AT262)</f>
        <v>39</v>
      </c>
      <c r="AX262" s="201" t="str">
        <f t="shared" si="217"/>
        <v>Ignore me</v>
      </c>
      <c r="AY262" s="252">
        <f t="array" ref="AY262">IF(SUM($D$201:$D$207)=0,$E$82,MIN(IF($D$201:$D$207&gt;0,$C$201:$C$207)))</f>
        <v>44620</v>
      </c>
      <c r="AZ262" s="252">
        <f t="array" ref="AZ262">IF(SUM($D$201:$D$207)=0,$AC$82,MAX(IF($D$201:$D$207&gt;0,$C$201:$C$207)))</f>
        <v>44626</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hidden="1" x14ac:dyDescent="0.2">
      <c r="AR263" s="377"/>
      <c r="AS263" s="328">
        <f>COUNTIF($AT$173:$AT262,$AT263)</f>
        <v>0</v>
      </c>
      <c r="AT263" s="1" t="str">
        <f t="shared" si="215"/>
        <v>937041</v>
      </c>
      <c r="AV263" s="328" t="str">
        <f t="shared" si="216"/>
        <v>937041</v>
      </c>
      <c r="AW263" s="328">
        <f>COUNTIF($AT$173:$AT262,$AT263)</f>
        <v>0</v>
      </c>
      <c r="AX263" s="201" t="str">
        <f t="shared" si="217"/>
        <v>Claim</v>
      </c>
      <c r="AY263" s="389">
        <f t="array" ref="AY263">MIN(IF($D$173:$D$207&gt;0,$C$173:$C$207))</f>
        <v>44599</v>
      </c>
      <c r="AZ263" s="271">
        <f t="array" ref="AZ263">MAX(IF($D$173:$D$207&gt;0,$C$173:$C$207))</f>
        <v>44615</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18.615680000000001</v>
      </c>
      <c r="CI263" s="274">
        <v>0</v>
      </c>
      <c r="CJ263" s="274">
        <v>0</v>
      </c>
    </row>
    <row r="264" spans="44:88" hidden="1" x14ac:dyDescent="0.2">
      <c r="AR264" s="377"/>
      <c r="AS264" s="328">
        <f>COUNTIF($AT$173:$AT263,$AT264)</f>
        <v>40</v>
      </c>
      <c r="AT264" s="1" t="str">
        <f t="shared" si="215"/>
        <v>00</v>
      </c>
      <c r="AV264" s="328" t="str">
        <f t="shared" si="216"/>
        <v>00</v>
      </c>
      <c r="AW264" s="328">
        <f>COUNTIF($AT$173:$AT263,$AT264)</f>
        <v>40</v>
      </c>
      <c r="AX264" s="201" t="str">
        <f t="shared" si="217"/>
        <v>Ignore me</v>
      </c>
      <c r="AY264" s="389">
        <f t="array" ref="AY264">MIN(IF($D$173:$D$207&gt;0,$C$173:$C$207))</f>
        <v>44599</v>
      </c>
      <c r="AZ264" s="271">
        <f t="array" ref="AZ264">MAX(IF($D$173:$D$207&gt;0,$C$173:$C$207))</f>
        <v>44615</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hidden="1" x14ac:dyDescent="0.2">
      <c r="AR265" s="377"/>
      <c r="AS265" s="328">
        <f>COUNTIF($AT$173:$AT264,$AT265)</f>
        <v>41</v>
      </c>
      <c r="AT265" s="1" t="str">
        <f t="shared" si="215"/>
        <v>00</v>
      </c>
      <c r="AV265" s="328" t="str">
        <f t="shared" si="216"/>
        <v>00</v>
      </c>
      <c r="AW265" s="328">
        <f>COUNTIF($AT$173:$AT264,$AT265)</f>
        <v>41</v>
      </c>
      <c r="AX265" s="201" t="str">
        <f t="shared" si="217"/>
        <v>Ignore me</v>
      </c>
      <c r="AY265" s="389">
        <f t="array" ref="AY265">MIN(IF($D$173:$D$207&gt;0,$C$173:$C$207))</f>
        <v>44599</v>
      </c>
      <c r="AZ265" s="271">
        <f t="array" ref="AZ265">MAX(IF($D$173:$D$207&gt;0,$C$173:$C$207))</f>
        <v>44615</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hidden="1" x14ac:dyDescent="0.2">
      <c r="AR266" s="377"/>
      <c r="AS266" s="328">
        <f>COUNTIF($AT$173:$AT265,$AT266)</f>
        <v>0</v>
      </c>
      <c r="AT266" s="1" t="str">
        <f>BA266&amp;(ROUND((AY266*AZ266)*((SUM(BB266:CJ266)+3062)/1000000),0))</f>
        <v>96092720</v>
      </c>
      <c r="AV266" s="328" t="str">
        <f t="shared" si="216"/>
        <v>90</v>
      </c>
      <c r="AW266" s="328">
        <f>COUNTIF($AT$173:$AT265,$AT266)</f>
        <v>0</v>
      </c>
      <c r="AX266" s="201" t="str">
        <f>IF(OR((BB266+BD266+BF266+BH266+BJ266+BL266+BN266+BP266+BR266+BT266+BV266+BX266+BZ266+CB266+CD266+CF266+CH266+CI266+CJ266)=0,AW266&lt;&gt;0),"Ignore me","Claim")</f>
        <v>Ignore me</v>
      </c>
      <c r="AY266" s="396">
        <f t="array" ref="AY266">MIN(IF($D$173:$D$207&gt;0,$C$173:$C$207))</f>
        <v>44599</v>
      </c>
      <c r="AZ266" s="397">
        <f t="array" ref="AZ266">MAX(IF($D$173:$D$207&gt;0,$C$173:$C$207))</f>
        <v>44615</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hidden="1" x14ac:dyDescent="0.2">
      <c r="AR267" s="377"/>
      <c r="AS267" s="328">
        <f>COUNTIF($AT$173:$AT266,$AT267)</f>
        <v>0</v>
      </c>
      <c r="AT267" s="1" t="str">
        <f t="shared" ref="AT267:AT268" si="227">BA267&amp;(ROUND((AY267*AZ267)*((SUM(BB267:CJ267)+3062)/1000000),0))</f>
        <v>06092720</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44599</v>
      </c>
      <c r="AZ267" s="397">
        <f t="array" ref="AZ267">MAX(IF($D$173:$D$207&gt;0,$C$173:$C$207))</f>
        <v>44615</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hidden="1" x14ac:dyDescent="0.2">
      <c r="AR268" s="377"/>
      <c r="AS268" s="328">
        <f>COUNTIF($AT$173:$AT267,$AT268)</f>
        <v>1</v>
      </c>
      <c r="AT268" s="1" t="str">
        <f t="shared" si="227"/>
        <v>06092720</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44599</v>
      </c>
      <c r="AZ268" s="397">
        <f t="array" ref="AZ268">MAX(IF($D$173:$D$207&gt;0,$C$173:$C$207))</f>
        <v>44615</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hidden="1" x14ac:dyDescent="0.2">
      <c r="AR269" s="377"/>
      <c r="AS269" s="328">
        <f>COUNTIF($AT$173:$AT268,$AT269)</f>
        <v>0</v>
      </c>
      <c r="AT269" s="1" t="str">
        <f>BA269&amp;(ROUND((AY269*AZ269)*((SUM(BB269:CJ269)+3509)/1000000),0))</f>
        <v>96982153</v>
      </c>
      <c r="AV269" s="328" t="str">
        <f t="shared" si="216"/>
        <v>90</v>
      </c>
      <c r="AW269" s="328">
        <f>COUNTIF($AT$173:$AT268,$AT269)</f>
        <v>0</v>
      </c>
      <c r="AX269" s="201" t="str">
        <f t="shared" si="228"/>
        <v>Ignore me</v>
      </c>
      <c r="AY269" s="396">
        <f t="array" ref="AY269">MIN(IF($D$173:$D$207&gt;0,$C$173:$C$207))</f>
        <v>44599</v>
      </c>
      <c r="AZ269" s="397">
        <f t="array" ref="AZ269">MAX(IF($D$173:$D$207&gt;0,$C$173:$C$207))</f>
        <v>44615</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hidden="1" x14ac:dyDescent="0.2">
      <c r="AR270" s="377"/>
      <c r="AS270" s="328">
        <f>COUNTIF($AT$173:$AT269,$AT270)</f>
        <v>0</v>
      </c>
      <c r="AT270" s="1" t="str">
        <f t="shared" ref="AT270:AT271" si="230">BA270&amp;(ROUND((AY270*AZ270)*((SUM(BB270:CJ270)+3509)/1000000),0))</f>
        <v>06982153</v>
      </c>
      <c r="AV270" s="328" t="str">
        <f t="shared" si="216"/>
        <v>00</v>
      </c>
      <c r="AW270" s="328">
        <f>COUNTIF($AT$173:$AT269,$AT270)</f>
        <v>0</v>
      </c>
      <c r="AX270" s="201" t="str">
        <f t="shared" si="228"/>
        <v>Ignore me</v>
      </c>
      <c r="AY270" s="396">
        <f t="array" ref="AY270">MIN(IF($D$173:$D$207&gt;0,$C$173:$C$207))</f>
        <v>44599</v>
      </c>
      <c r="AZ270" s="397">
        <f t="array" ref="AZ270">MAX(IF($D$173:$D$207&gt;0,$C$173:$C$207))</f>
        <v>44615</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hidden="1" x14ac:dyDescent="0.2">
      <c r="AR271" s="377"/>
      <c r="AS271" s="328">
        <f>COUNTIF($AT$173:$AT270,$AT271)</f>
        <v>1</v>
      </c>
      <c r="AT271" s="1" t="str">
        <f t="shared" si="230"/>
        <v>06982153</v>
      </c>
      <c r="AV271" s="328" t="str">
        <f t="shared" si="216"/>
        <v>00</v>
      </c>
      <c r="AW271" s="328">
        <f>COUNTIF($AT$173:$AT270,$AT271)</f>
        <v>1</v>
      </c>
      <c r="AX271" s="201" t="str">
        <f t="shared" si="228"/>
        <v>Ignore me</v>
      </c>
      <c r="AY271" s="396">
        <f t="array" ref="AY271">MIN(IF($D$173:$D$207&gt;0,$C$173:$C$207))</f>
        <v>44599</v>
      </c>
      <c r="AZ271" s="397">
        <f t="array" ref="AZ271">MAX(IF($D$173:$D$207&gt;0,$C$173:$C$207))</f>
        <v>44615</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hidden="1"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hidden="1"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hidden="1" x14ac:dyDescent="0.2">
      <c r="AX274" s="5"/>
      <c r="AY274" s="5" t="s">
        <v>173</v>
      </c>
      <c r="AZ274" s="5" t="s">
        <v>174</v>
      </c>
      <c r="BA274" s="5" t="s">
        <v>175</v>
      </c>
      <c r="BB274" s="5" t="s">
        <v>176</v>
      </c>
      <c r="BC274" s="5" t="s">
        <v>177</v>
      </c>
      <c r="BD274" s="5" t="s">
        <v>178</v>
      </c>
      <c r="BE274" s="5" t="s">
        <v>179</v>
      </c>
      <c r="BF274" s="5" t="s">
        <v>180</v>
      </c>
      <c r="BG274" s="5" t="s">
        <v>181</v>
      </c>
      <c r="BH274" s="5" t="s">
        <v>182</v>
      </c>
      <c r="BI274" s="5" t="s">
        <v>183</v>
      </c>
      <c r="BJ274" s="5" t="s">
        <v>184</v>
      </c>
      <c r="BK274" s="5" t="s">
        <v>185</v>
      </c>
      <c r="BL274" s="5" t="s">
        <v>186</v>
      </c>
      <c r="BM274" s="5" t="s">
        <v>187</v>
      </c>
      <c r="BN274" s="5" t="s">
        <v>188</v>
      </c>
      <c r="BO274" s="5" t="s">
        <v>189</v>
      </c>
      <c r="BP274" s="5" t="s">
        <v>190</v>
      </c>
      <c r="BQ274" s="5" t="s">
        <v>191</v>
      </c>
      <c r="BR274" s="5" t="s">
        <v>192</v>
      </c>
      <c r="BS274" s="5" t="s">
        <v>193</v>
      </c>
      <c r="BT274" s="5" t="s">
        <v>194</v>
      </c>
      <c r="BU274" s="5" t="s">
        <v>195</v>
      </c>
      <c r="BV274" s="5" t="s">
        <v>196</v>
      </c>
      <c r="BW274" s="5" t="s">
        <v>197</v>
      </c>
      <c r="BX274" s="5" t="s">
        <v>198</v>
      </c>
      <c r="BY274" s="5" t="s">
        <v>199</v>
      </c>
      <c r="BZ274" s="5" t="s">
        <v>200</v>
      </c>
      <c r="CA274" s="5" t="s">
        <v>201</v>
      </c>
      <c r="CB274" s="337" t="s">
        <v>202</v>
      </c>
      <c r="CC274" s="337" t="s">
        <v>203</v>
      </c>
      <c r="CD274" s="333" t="s">
        <v>204</v>
      </c>
      <c r="CE274" s="333" t="s">
        <v>205</v>
      </c>
      <c r="CF274" s="333" t="s">
        <v>204</v>
      </c>
      <c r="CG274" s="333" t="s">
        <v>205</v>
      </c>
      <c r="CH274" s="5" t="s">
        <v>206</v>
      </c>
      <c r="CI274" s="402" t="s">
        <v>207</v>
      </c>
      <c r="CJ274" s="402" t="s">
        <v>208</v>
      </c>
    </row>
    <row r="275" spans="49:88" hidden="1" x14ac:dyDescent="0.2">
      <c r="AX275" s="5">
        <v>1</v>
      </c>
      <c r="AY275" s="327">
        <f t="array" ref="AY275">IFERROR(INDEX(AY$173:AY$271, SMALL(IF($AX$173:$AX$271="Claim", ROW(AY$173:AY$271)-MIN(ROW(AY$173:AY$271))+1, ""), ROW(A1))), "")</f>
        <v>44599</v>
      </c>
      <c r="AZ275" s="327">
        <f t="array" ref="AZ275">IFERROR(INDEX(AZ$173:AZ$271, SMALL(IF($AX$173:$AX$271="Claim", ROW(AZ$173:AZ$271)-MIN(ROW(AZ$173:AZ$271))+1, ""), ROW(B1))), "")</f>
        <v>44601</v>
      </c>
      <c r="BA275" s="5">
        <f t="array" ref="BA275">IFERROR(INDEX(BA$173:BA$275, SMALL(IF($AX$173:$AX$275="Claim", ROW(BA$173:BA$275)-MIN(ROW(BA$173:BA$275))+1, ""), ROW(C1))), "")</f>
        <v>9</v>
      </c>
      <c r="BB275" s="5">
        <f t="array" ref="BB275">IFERROR(INDEX(BB$173:BB$271, SMALL(IF($AX$173:$AX$271="Claim", ROW(BB$173:BB$271)-MIN(ROW(BB$173:BB$271))+1, ""), ROW(D1))), "")</f>
        <v>3</v>
      </c>
      <c r="BC275" s="5">
        <f t="array" ref="BC275">IFERROR(INDEX(BC$173:BC$271, SMALL(IF($AX$173:$AX$271="Claim", ROW(BC$173:BC$271)-MIN(ROW(BC$173:BC$271))+1, ""), ROW(E1))), "")</f>
        <v>13.6</v>
      </c>
      <c r="BD275" s="5">
        <f t="array" ref="BD275">IFERROR(INDEX(BD$173:BD$271, SMALL(IF($AX$173:$AX$271="Claim", ROW(BD$173:BD$271)-MIN(ROW(BD$173:BD$271))+1, ""), ROW(F1))), "")</f>
        <v>0</v>
      </c>
      <c r="BE275" s="5">
        <f t="array" ref="BE275">IFERROR(INDEX(BE$173:BE$271, SMALL(IF($AX$173:$AX$271="Claim", ROW(BE$173:BE$271)-MIN(ROW(BE$173:BE$271))+1, ""), ROW(G1))), "")</f>
        <v>13.6</v>
      </c>
      <c r="BF275" s="5">
        <f t="array" ref="BF275">IFERROR(INDEX(BF$173:BF$271, SMALL(IF($AX$173:$AX$271="Claim", ROW(BF$173:BF$271)-MIN(ROW(BF$173:BF$271))+1, ""), ROW(H1))), "")</f>
        <v>0</v>
      </c>
      <c r="BG275" s="5">
        <f t="array" ref="BG275">IFERROR(INDEX(BG$173:BG$271, SMALL(IF($AX$173:$AX$271="Claim", ROW(BG$173:BG$271)-MIN(ROW(BG$173:BG$271))+1, ""), ROW(I1))), "")</f>
        <v>13.6</v>
      </c>
      <c r="BH275" s="5">
        <f t="array" ref="BH275">IFERROR(INDEX(BH$173:BH$271, SMALL(IF($AX$173:$AX$271="Claim", ROW(BH$173:BH$271)-MIN(ROW(BH$173:BH$271))+1, ""), ROW(J1))), "")</f>
        <v>0</v>
      </c>
      <c r="BI275" s="5">
        <f t="array" ref="BI275">IFERROR(INDEX(BI$173:BI$271, SMALL(IF($AX$173:$AX$271="Claim", ROW(BI$173:BI$271)-MIN(ROW(BI$173:BI$271))+1, ""), ROW(K1))), "")</f>
        <v>13.6</v>
      </c>
      <c r="BJ275" s="5">
        <f t="array" ref="BJ275">IFERROR(INDEX(BJ$173:BJ$271, SMALL(IF($AX$173:$AX$271="Claim", ROW(BJ$173:BJ$271)-MIN(ROW(BJ$173:BJ$271))+1, ""), ROW(L1))), "")</f>
        <v>0</v>
      </c>
      <c r="BK275" s="5">
        <f t="array" ref="BK275">IFERROR(INDEX(BK$173:BK$271, SMALL(IF($AX$173:$AX$271="Claim", ROW(BK$173:BK$271)-MIN(ROW(BK$173:BK$271))+1, ""), ROW(M1))), "")</f>
        <v>13.6</v>
      </c>
      <c r="BL275" s="5">
        <f t="array" ref="BL275">IFERROR(INDEX(BL$173:BL$271, SMALL(IF($AX$173:$AX$271="Claim", ROW(BL$173:BL$271)-MIN(ROW(BL$173:BL$271))+1, ""), ROW(N1))), "")</f>
        <v>0</v>
      </c>
      <c r="BM275" s="5">
        <f t="array" ref="BM275">IFERROR(INDEX(BM$173:BM$271, SMALL(IF($AX$173:$AX$271="Claim", ROW(BM$173:BM$271)-MIN(ROW(BM$173:BM$271))+1, ""), ROW(O1))), "")</f>
        <v>13.6</v>
      </c>
      <c r="BN275" s="5">
        <f t="array" ref="BN275">IFERROR(INDEX(BN$173:BN$271, SMALL(IF($AX$173:$AX$271="Claim", ROW(BN$173:BN$271)-MIN(ROW(BN$173:BN$271))+1, ""), ROW(P1))), "")</f>
        <v>0</v>
      </c>
      <c r="BO275" s="5">
        <f t="array" ref="BO275">IFERROR(INDEX(BO$173:BO$271, SMALL(IF($AX$173:$AX$271="Claim", ROW(BO$173:BO$271)-MIN(ROW(BO$173:BO$271))+1, ""), ROW(Q1))), "")</f>
        <v>13.6</v>
      </c>
      <c r="BP275" s="5">
        <f t="array" ref="BP275">IFERROR(INDEX(BP$173:BP$271, SMALL(IF($AX$173:$AX$271="Claim", ROW(BP$173:BP$271)-MIN(ROW(BP$173:BP$271))+1, ""), ROW(R1))), "")</f>
        <v>0</v>
      </c>
      <c r="BQ275" s="5">
        <f t="array" ref="BQ275">IFERROR(INDEX(BQ$173:BQ$271, SMALL(IF($AX$173:$AX$271="Claim", ROW(BQ$173:BQ$271)-MIN(ROW(BQ$173:BQ$271))+1, ""), ROW(S1))), "")</f>
        <v>13.6</v>
      </c>
      <c r="BR275" s="5">
        <f t="array" ref="BR275">IFERROR(INDEX(BR$173:BR$271, SMALL(IF($AX$173:$AX$271="Claim", ROW(BR$173:BR$271)-MIN(ROW(BR$173:BR$271))+1, ""), ROW(T1))), "")</f>
        <v>0</v>
      </c>
      <c r="BS275" s="5">
        <f t="array" ref="BS275">IFERROR(INDEX(BS$173:BS$271, SMALL(IF($AX$173:$AX$271="Claim", ROW(BS$173:BS$271)-MIN(ROW(BS$173:BS$271))+1, ""), ROW(U1))), "")</f>
        <v>13.6</v>
      </c>
      <c r="BT275" s="5">
        <f t="array" ref="BT275">IFERROR(INDEX(BT$173:BT$271, SMALL(IF($AX$173:$AX$271="Claim", ROW(BT$173:BT$271)-MIN(ROW(BT$173:BT$271))+1, ""), ROW(V1))), "")</f>
        <v>0</v>
      </c>
      <c r="BU275" s="5">
        <f t="array" ref="BU275">IFERROR(INDEX(BU$173:BU$271, SMALL(IF($AX$173:$AX$271="Claim", ROW(BU$173:BU$271)-MIN(ROW(BU$173:BU$271))+1, ""), ROW(W1))), "")</f>
        <v>13.6</v>
      </c>
      <c r="BV275" s="5">
        <f t="array" ref="BV275">IFERROR(INDEX(BV$173:BV$271, SMALL(IF($AX$173:$AX$271="Claim", ROW(BV$173:BV$271)-MIN(ROW(BV$173:BV$271))+1, ""), ROW(X1))), "")</f>
        <v>0</v>
      </c>
      <c r="BW275" s="5">
        <f t="array" ref="BW275">IFERROR(INDEX(BW$173:BW$271, SMALL(IF($AX$173:$AX$271="Claim", ROW(BW$173:BW$271)-MIN(ROW(BW$173:BW$271))+1, ""), ROW(Y1))), "")</f>
        <v>13.6</v>
      </c>
      <c r="BX275" s="5">
        <f t="array" ref="BX275">IFERROR(INDEX(BX$173:BX$271, SMALL(IF($AX$173:$AX$271="Claim", ROW(BX$173:BX$271)-MIN(ROW(BX$173:BX$271))+1, ""), ROW(Z1))), "")</f>
        <v>0</v>
      </c>
      <c r="BY275" s="5">
        <f t="array" ref="BY275">IFERROR(INDEX(BY$173:BY$271, SMALL(IF($AX$173:$AX$271="Claim", ROW(BY$173:BY$271)-MIN(ROW(BY$173:BY$271))+1, ""), ROW(AA1))), "")</f>
        <v>13.6</v>
      </c>
      <c r="BZ275" s="5">
        <f t="array" ref="BZ275">IFERROR(INDEX(BZ$173:BZ$271, SMALL(IF($AX$173:$AX$271="Claim", ROW(BZ$173:BZ$271)-MIN(ROW(BZ$173:BZ$271))+1, ""), ROW(AB1))), "")</f>
        <v>0</v>
      </c>
      <c r="CA275" s="5">
        <f t="array" ref="CA275">IFERROR(INDEX(CA$173:CA$271, SMALL(IF($AX$173:$AX$271="Claim", ROW(CA$173:CA$271)-MIN(ROW(CA$173:CA$271))+1, ""), ROW(AC1))), "")</f>
        <v>13.6</v>
      </c>
      <c r="CB275" s="5">
        <f t="array" ref="CB275">IFERROR(INDEX(CB$173:CB$271, SMALL(IF($AX$173:$AX$271="Claim", ROW(CB$173:CB$271)-MIN(ROW(CB$173:CB$271))+1, ""), ROW(AD1))), "")</f>
        <v>0</v>
      </c>
      <c r="CC275" s="5">
        <f t="array" ref="CC275">IFERROR(INDEX(CC$173:CC$271, SMALL(IF($AX$173:$AX$271="Claim", ROW(CC$173:CC$271)-MIN(ROW(CC$173:CC$271))+1, ""), ROW(AE1))), "")</f>
        <v>13.6</v>
      </c>
      <c r="CD275" s="5">
        <f t="array" ref="CD275">IFERROR(INDEX(CD$173:CD$271, SMALL(IF($AX$173:$AX$271="Claim", ROW(CD$173:CD$271)-MIN(ROW(CD$173:CD$271))+1, ""), ROW(AF1))), "")</f>
        <v>0</v>
      </c>
      <c r="CE275" s="5">
        <f t="array" ref="CE275">IFERROR(INDEX(CE$173:CE$271, SMALL(IF($AX$173:$AX$271="Claim", ROW(CE$173:CE$271)-MIN(ROW(CE$173:CE$271))+1, ""), ROW(AG1))), "")</f>
        <v>13.6</v>
      </c>
      <c r="CF275" s="5">
        <f t="array" ref="CF275">IFERROR(INDEX(CF$173:CF$271, SMALL(IF($AX$173:$AX$271="Claim", ROW(CF$173:CF$271)-MIN(ROW(CF$173:CF$271))+1, ""), ROW(AH1))), "")</f>
        <v>0</v>
      </c>
      <c r="CG275" s="5">
        <f t="array" ref="CG275">IFERROR(INDEX(CG$173:CG$271, SMALL(IF($AX$173:$AX$271="Claim", ROW(CG$173:CG$271)-MIN(ROW(CG$173:CG$271))+1, ""), ROW(AI1))), "")</f>
        <v>13.6</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hidden="1" x14ac:dyDescent="0.2">
      <c r="AX276" s="5">
        <v>2</v>
      </c>
      <c r="AY276" s="327">
        <f t="array" ref="AY276">IFERROR(INDEX(AY$173:AY$271, SMALL(IF($AX$173:$AX$271="Claim", ROW(AY$173:AY$271)-MIN(ROW(AY$173:AY$271))+1, ""), ROW(A2))), "")</f>
        <v>44606</v>
      </c>
      <c r="AZ276" s="327">
        <f t="array" ref="AZ276">IFERROR(INDEX(AZ$173:AZ$271, SMALL(IF($AX$173:$AX$271="Claim", ROW(AZ$173:AZ$271)-MIN(ROW(AZ$173:AZ$271))+1, ""), ROW(B2))), "")</f>
        <v>44608</v>
      </c>
      <c r="BA276" s="5">
        <f t="array" ref="BA276">IFERROR(INDEX(BA$173:BA$275, SMALL(IF($AX$173:$AX$275="Claim", ROW(BA$173:BA$275)-MIN(ROW(BA$173:BA$275))+1, ""), ROW(C2))), "")</f>
        <v>9</v>
      </c>
      <c r="BB276" s="5">
        <f t="array" ref="BB276">IFERROR(INDEX(BB$173:BB$271, SMALL(IF($AX$173:$AX$271="Claim", ROW(BB$173:BB$271)-MIN(ROW(BB$173:BB$271))+1, ""), ROW(D2))), "")</f>
        <v>3</v>
      </c>
      <c r="BC276" s="5">
        <f t="array" ref="BC276">IFERROR(INDEX(BC$173:BC$271, SMALL(IF($AX$173:$AX$271="Claim", ROW(BC$173:BC$271)-MIN(ROW(BC$173:BC$271))+1, ""), ROW(E2))), "")</f>
        <v>13.6</v>
      </c>
      <c r="BD276" s="5">
        <f t="array" ref="BD276">IFERROR(INDEX(BD$173:BD$271, SMALL(IF($AX$173:$AX$271="Claim", ROW(BD$173:BD$271)-MIN(ROW(BD$173:BD$271))+1, ""), ROW(F2))), "")</f>
        <v>0</v>
      </c>
      <c r="BE276" s="5">
        <f t="array" ref="BE276">IFERROR(INDEX(BE$173:BE$271, SMALL(IF($AX$173:$AX$271="Claim", ROW(BE$173:BE$271)-MIN(ROW(BE$173:BE$271))+1, ""), ROW(G2))), "")</f>
        <v>13.6</v>
      </c>
      <c r="BF276" s="5">
        <f t="array" ref="BF276">IFERROR(INDEX(BF$173:BF$271, SMALL(IF($AX$173:$AX$271="Claim", ROW(BF$173:BF$271)-MIN(ROW(BF$173:BF$271))+1, ""), ROW(H2))), "")</f>
        <v>0</v>
      </c>
      <c r="BG276" s="5">
        <f t="array" ref="BG276">IFERROR(INDEX(BG$173:BG$271, SMALL(IF($AX$173:$AX$271="Claim", ROW(BG$173:BG$271)-MIN(ROW(BG$173:BG$271))+1, ""), ROW(I2))), "")</f>
        <v>13.6</v>
      </c>
      <c r="BH276" s="5">
        <f t="array" ref="BH276">IFERROR(INDEX(BH$173:BH$271, SMALL(IF($AX$173:$AX$271="Claim", ROW(BH$173:BH$271)-MIN(ROW(BH$173:BH$271))+1, ""), ROW(J2))), "")</f>
        <v>0</v>
      </c>
      <c r="BI276" s="5">
        <f t="array" ref="BI276">IFERROR(INDEX(BI$173:BI$271, SMALL(IF($AX$173:$AX$271="Claim", ROW(BI$173:BI$271)-MIN(ROW(BI$173:BI$271))+1, ""), ROW(K2))), "")</f>
        <v>13.6</v>
      </c>
      <c r="BJ276" s="5">
        <f t="array" ref="BJ276">IFERROR(INDEX(BJ$173:BJ$271, SMALL(IF($AX$173:$AX$271="Claim", ROW(BJ$173:BJ$271)-MIN(ROW(BJ$173:BJ$271))+1, ""), ROW(L2))), "")</f>
        <v>0</v>
      </c>
      <c r="BK276" s="5">
        <f t="array" ref="BK276">IFERROR(INDEX(BK$173:BK$271, SMALL(IF($AX$173:$AX$271="Claim", ROW(BK$173:BK$271)-MIN(ROW(BK$173:BK$271))+1, ""), ROW(M2))), "")</f>
        <v>13.6</v>
      </c>
      <c r="BL276" s="5">
        <f t="array" ref="BL276">IFERROR(INDEX(BL$173:BL$271, SMALL(IF($AX$173:$AX$271="Claim", ROW(BL$173:BL$271)-MIN(ROW(BL$173:BL$271))+1, ""), ROW(N2))), "")</f>
        <v>0</v>
      </c>
      <c r="BM276" s="5">
        <f t="array" ref="BM276">IFERROR(INDEX(BM$173:BM$271, SMALL(IF($AX$173:$AX$271="Claim", ROW(BM$173:BM$271)-MIN(ROW(BM$173:BM$271))+1, ""), ROW(O2))), "")</f>
        <v>13.6</v>
      </c>
      <c r="BN276" s="5">
        <f t="array" ref="BN276">IFERROR(INDEX(BN$173:BN$271, SMALL(IF($AX$173:$AX$271="Claim", ROW(BN$173:BN$271)-MIN(ROW(BN$173:BN$271))+1, ""), ROW(P2))), "")</f>
        <v>0</v>
      </c>
      <c r="BO276" s="5">
        <f t="array" ref="BO276">IFERROR(INDEX(BO$173:BO$271, SMALL(IF($AX$173:$AX$271="Claim", ROW(BO$173:BO$271)-MIN(ROW(BO$173:BO$271))+1, ""), ROW(Q2))), "")</f>
        <v>13.6</v>
      </c>
      <c r="BP276" s="5">
        <f t="array" ref="BP276">IFERROR(INDEX(BP$173:BP$271, SMALL(IF($AX$173:$AX$271="Claim", ROW(BP$173:BP$271)-MIN(ROW(BP$173:BP$271))+1, ""), ROW(R2))), "")</f>
        <v>0</v>
      </c>
      <c r="BQ276" s="5">
        <f t="array" ref="BQ276">IFERROR(INDEX(BQ$173:BQ$271, SMALL(IF($AX$173:$AX$271="Claim", ROW(BQ$173:BQ$271)-MIN(ROW(BQ$173:BQ$271))+1, ""), ROW(S2))), "")</f>
        <v>13.6</v>
      </c>
      <c r="BR276" s="5">
        <f t="array" ref="BR276">IFERROR(INDEX(BR$173:BR$271, SMALL(IF($AX$173:$AX$271="Claim", ROW(BR$173:BR$271)-MIN(ROW(BR$173:BR$271))+1, ""), ROW(T2))), "")</f>
        <v>0</v>
      </c>
      <c r="BS276" s="5">
        <f t="array" ref="BS276">IFERROR(INDEX(BS$173:BS$271, SMALL(IF($AX$173:$AX$271="Claim", ROW(BS$173:BS$271)-MIN(ROW(BS$173:BS$271))+1, ""), ROW(U2))), "")</f>
        <v>13.6</v>
      </c>
      <c r="BT276" s="5">
        <f t="array" ref="BT276">IFERROR(INDEX(BT$173:BT$271, SMALL(IF($AX$173:$AX$271="Claim", ROW(BT$173:BT$271)-MIN(ROW(BT$173:BT$271))+1, ""), ROW(V2))), "")</f>
        <v>0</v>
      </c>
      <c r="BU276" s="5">
        <f t="array" ref="BU276">IFERROR(INDEX(BU$173:BU$271, SMALL(IF($AX$173:$AX$271="Claim", ROW(BU$173:BU$271)-MIN(ROW(BU$173:BU$271))+1, ""), ROW(W2))), "")</f>
        <v>13.6</v>
      </c>
      <c r="BV276" s="5">
        <f t="array" ref="BV276">IFERROR(INDEX(BV$173:BV$271, SMALL(IF($AX$173:$AX$271="Claim", ROW(BV$173:BV$271)-MIN(ROW(BV$173:BV$271))+1, ""), ROW(X2))), "")</f>
        <v>0</v>
      </c>
      <c r="BW276" s="5">
        <f t="array" ref="BW276">IFERROR(INDEX(BW$173:BW$271, SMALL(IF($AX$173:$AX$271="Claim", ROW(BW$173:BW$271)-MIN(ROW(BW$173:BW$271))+1, ""), ROW(Y2))), "")</f>
        <v>13.6</v>
      </c>
      <c r="BX276" s="5">
        <f t="array" ref="BX276">IFERROR(INDEX(BX$173:BX$271, SMALL(IF($AX$173:$AX$271="Claim", ROW(BX$173:BX$271)-MIN(ROW(BX$173:BX$271))+1, ""), ROW(Z2))), "")</f>
        <v>0</v>
      </c>
      <c r="BY276" s="5">
        <f t="array" ref="BY276">IFERROR(INDEX(BY$173:BY$271, SMALL(IF($AX$173:$AX$271="Claim", ROW(BY$173:BY$271)-MIN(ROW(BY$173:BY$271))+1, ""), ROW(AA2))), "")</f>
        <v>13.6</v>
      </c>
      <c r="BZ276" s="5">
        <f t="array" ref="BZ276">IFERROR(INDEX(BZ$173:BZ$271, SMALL(IF($AX$173:$AX$271="Claim", ROW(BZ$173:BZ$271)-MIN(ROW(BZ$173:BZ$271))+1, ""), ROW(AB2))), "")</f>
        <v>0</v>
      </c>
      <c r="CA276" s="5">
        <f t="array" ref="CA276">IFERROR(INDEX(CA$173:CA$271, SMALL(IF($AX$173:$AX$271="Claim", ROW(CA$173:CA$271)-MIN(ROW(CA$173:CA$271))+1, ""), ROW(AC2))), "")</f>
        <v>13.6</v>
      </c>
      <c r="CB276" s="5">
        <f t="array" ref="CB276">IFERROR(INDEX(CB$173:CB$271, SMALL(IF($AX$173:$AX$271="Claim", ROW(CB$173:CB$271)-MIN(ROW(CB$173:CB$271))+1, ""), ROW(AD2))), "")</f>
        <v>0</v>
      </c>
      <c r="CC276" s="5">
        <f t="array" ref="CC276">IFERROR(INDEX(CC$173:CC$271, SMALL(IF($AX$173:$AX$271="Claim", ROW(CC$173:CC$271)-MIN(ROW(CC$173:CC$271))+1, ""), ROW(AE2))), "")</f>
        <v>13.6</v>
      </c>
      <c r="CD276" s="5">
        <f t="array" ref="CD276">IFERROR(INDEX(CD$173:CD$271, SMALL(IF($AX$173:$AX$271="Claim", ROW(CD$173:CD$271)-MIN(ROW(CD$173:CD$271))+1, ""), ROW(AF2))), "")</f>
        <v>0</v>
      </c>
      <c r="CE276" s="5">
        <f t="array" ref="CE276">IFERROR(INDEX(CE$173:CE$271, SMALL(IF($AX$173:$AX$271="Claim", ROW(CE$173:CE$271)-MIN(ROW(CE$173:CE$271))+1, ""), ROW(AG2))), "")</f>
        <v>13.6</v>
      </c>
      <c r="CF276" s="5">
        <f t="array" ref="CF276">IFERROR(INDEX(CF$173:CF$271, SMALL(IF($AX$173:$AX$271="Claim", ROW(CF$173:CF$271)-MIN(ROW(CF$173:CF$271))+1, ""), ROW(AH2))), "")</f>
        <v>0</v>
      </c>
      <c r="CG276" s="5">
        <f t="array" ref="CG276">IFERROR(INDEX(CG$173:CG$271, SMALL(IF($AX$173:$AX$271="Claim", ROW(CG$173:CG$271)-MIN(ROW(CG$173:CG$271))+1, ""), ROW(AI2))), "")</f>
        <v>13.6</v>
      </c>
      <c r="CH276" s="5">
        <f t="array" ref="CH276">IFERROR(INDEX(CH$173:CH$271, SMALL(IF($AX$173:$AX$271="Claim", ROW(CH$173:CH$271)-MIN(ROW(CH$173:CH$271))+1, ""), ROW(AJ2))), "")</f>
        <v>0</v>
      </c>
      <c r="CI276" s="5">
        <f t="array" ref="CI276">IFERROR(INDEX(CI$173:CI$271, SMALL(IF($AX$173:$AX$271="Claim", ROW(CI$173:CI$271)-MIN(ROW(CI$173:CI$271))+1, ""), ROW(AK2))), "")</f>
        <v>0</v>
      </c>
      <c r="CJ276" s="5">
        <f t="array" ref="CJ276">IFERROR(INDEX(CJ$173:CJ$271, SMALL(IF($AX$173:$AX$271="Claim", ROW(CJ$173:CJ$271)-MIN(ROW(CJ$173:CJ$271))+1, ""), ROW(AL2))), "")</f>
        <v>0</v>
      </c>
    </row>
    <row r="277" spans="49:88" hidden="1" x14ac:dyDescent="0.2">
      <c r="AX277" s="5">
        <v>3</v>
      </c>
      <c r="AY277" s="327">
        <f t="array" ref="AY277">IFERROR(INDEX(AY$173:AY$271, SMALL(IF($AX$173:$AX$271="Claim", ROW(AY$173:AY$271)-MIN(ROW(AY$173:AY$271))+1, ""), ROW(A3))), "")</f>
        <v>44613</v>
      </c>
      <c r="AZ277" s="327">
        <f t="array" ref="AZ277">IFERROR(INDEX(AZ$173:AZ$271, SMALL(IF($AX$173:$AX$271="Claim", ROW(AZ$173:AZ$271)-MIN(ROW(AZ$173:AZ$271))+1, ""), ROW(B3))), "")</f>
        <v>44615</v>
      </c>
      <c r="BA277" s="5">
        <f t="array" ref="BA277">IFERROR(INDEX(BA$173:BA$275, SMALL(IF($AX$173:$AX$275="Claim", ROW(BA$173:BA$275)-MIN(ROW(BA$173:BA$275))+1, ""), ROW(C3))), "")</f>
        <v>9</v>
      </c>
      <c r="BB277" s="5">
        <f t="array" ref="BB277">IFERROR(INDEX(BB$173:BB$271, SMALL(IF($AX$173:$AX$271="Claim", ROW(BB$173:BB$271)-MIN(ROW(BB$173:BB$271))+1, ""), ROW(D3))), "")</f>
        <v>2</v>
      </c>
      <c r="BC277" s="5">
        <f t="array" ref="BC277">IFERROR(INDEX(BC$173:BC$271, SMALL(IF($AX$173:$AX$271="Claim", ROW(BC$173:BC$271)-MIN(ROW(BC$173:BC$271))+1, ""), ROW(E3))), "")</f>
        <v>13.6</v>
      </c>
      <c r="BD277" s="5">
        <f t="array" ref="BD277">IFERROR(INDEX(BD$173:BD$271, SMALL(IF($AX$173:$AX$271="Claim", ROW(BD$173:BD$271)-MIN(ROW(BD$173:BD$271))+1, ""), ROW(F3))), "")</f>
        <v>0</v>
      </c>
      <c r="BE277" s="5">
        <f t="array" ref="BE277">IFERROR(INDEX(BE$173:BE$271, SMALL(IF($AX$173:$AX$271="Claim", ROW(BE$173:BE$271)-MIN(ROW(BE$173:BE$271))+1, ""), ROW(G3))), "")</f>
        <v>13.6</v>
      </c>
      <c r="BF277" s="5">
        <f t="array" ref="BF277">IFERROR(INDEX(BF$173:BF$271, SMALL(IF($AX$173:$AX$271="Claim", ROW(BF$173:BF$271)-MIN(ROW(BF$173:BF$271))+1, ""), ROW(H3))), "")</f>
        <v>0</v>
      </c>
      <c r="BG277" s="5">
        <f t="array" ref="BG277">IFERROR(INDEX(BG$173:BG$271, SMALL(IF($AX$173:$AX$271="Claim", ROW(BG$173:BG$271)-MIN(ROW(BG$173:BG$271))+1, ""), ROW(I3))), "")</f>
        <v>13.6</v>
      </c>
      <c r="BH277" s="5">
        <f t="array" ref="BH277">IFERROR(INDEX(BH$173:BH$271, SMALL(IF($AX$173:$AX$271="Claim", ROW(BH$173:BH$271)-MIN(ROW(BH$173:BH$271))+1, ""), ROW(J3))), "")</f>
        <v>0</v>
      </c>
      <c r="BI277" s="5">
        <f t="array" ref="BI277">IFERROR(INDEX(BI$173:BI$271, SMALL(IF($AX$173:$AX$271="Claim", ROW(BI$173:BI$271)-MIN(ROW(BI$173:BI$271))+1, ""), ROW(K3))), "")</f>
        <v>13.6</v>
      </c>
      <c r="BJ277" s="5">
        <f t="array" ref="BJ277">IFERROR(INDEX(BJ$173:BJ$271, SMALL(IF($AX$173:$AX$271="Claim", ROW(BJ$173:BJ$271)-MIN(ROW(BJ$173:BJ$271))+1, ""), ROW(L3))), "")</f>
        <v>0</v>
      </c>
      <c r="BK277" s="5">
        <f t="array" ref="BK277">IFERROR(INDEX(BK$173:BK$271, SMALL(IF($AX$173:$AX$271="Claim", ROW(BK$173:BK$271)-MIN(ROW(BK$173:BK$271))+1, ""), ROW(M3))), "")</f>
        <v>13.6</v>
      </c>
      <c r="BL277" s="5">
        <f t="array" ref="BL277">IFERROR(INDEX(BL$173:BL$271, SMALL(IF($AX$173:$AX$271="Claim", ROW(BL$173:BL$271)-MIN(ROW(BL$173:BL$271))+1, ""), ROW(N3))), "")</f>
        <v>0</v>
      </c>
      <c r="BM277" s="5">
        <f t="array" ref="BM277">IFERROR(INDEX(BM$173:BM$271, SMALL(IF($AX$173:$AX$271="Claim", ROW(BM$173:BM$271)-MIN(ROW(BM$173:BM$271))+1, ""), ROW(O3))), "")</f>
        <v>13.6</v>
      </c>
      <c r="BN277" s="5">
        <f t="array" ref="BN277">IFERROR(INDEX(BN$173:BN$271, SMALL(IF($AX$173:$AX$271="Claim", ROW(BN$173:BN$271)-MIN(ROW(BN$173:BN$271))+1, ""), ROW(P3))), "")</f>
        <v>0</v>
      </c>
      <c r="BO277" s="5">
        <f t="array" ref="BO277">IFERROR(INDEX(BO$173:BO$271, SMALL(IF($AX$173:$AX$271="Claim", ROW(BO$173:BO$271)-MIN(ROW(BO$173:BO$271))+1, ""), ROW(Q3))), "")</f>
        <v>13.6</v>
      </c>
      <c r="BP277" s="5">
        <f t="array" ref="BP277">IFERROR(INDEX(BP$173:BP$271, SMALL(IF($AX$173:$AX$271="Claim", ROW(BP$173:BP$271)-MIN(ROW(BP$173:BP$271))+1, ""), ROW(R3))), "")</f>
        <v>0</v>
      </c>
      <c r="BQ277" s="5">
        <f t="array" ref="BQ277">IFERROR(INDEX(BQ$173:BQ$271, SMALL(IF($AX$173:$AX$271="Claim", ROW(BQ$173:BQ$271)-MIN(ROW(BQ$173:BQ$271))+1, ""), ROW(S3))), "")</f>
        <v>13.6</v>
      </c>
      <c r="BR277" s="5">
        <f t="array" ref="BR277">IFERROR(INDEX(BR$173:BR$271, SMALL(IF($AX$173:$AX$271="Claim", ROW(BR$173:BR$271)-MIN(ROW(BR$173:BR$271))+1, ""), ROW(T3))), "")</f>
        <v>0</v>
      </c>
      <c r="BS277" s="5">
        <f t="array" ref="BS277">IFERROR(INDEX(BS$173:BS$271, SMALL(IF($AX$173:$AX$271="Claim", ROW(BS$173:BS$271)-MIN(ROW(BS$173:BS$271))+1, ""), ROW(U3))), "")</f>
        <v>13.6</v>
      </c>
      <c r="BT277" s="5">
        <f t="array" ref="BT277">IFERROR(INDEX(BT$173:BT$271, SMALL(IF($AX$173:$AX$271="Claim", ROW(BT$173:BT$271)-MIN(ROW(BT$173:BT$271))+1, ""), ROW(V3))), "")</f>
        <v>0</v>
      </c>
      <c r="BU277" s="5">
        <f t="array" ref="BU277">IFERROR(INDEX(BU$173:BU$271, SMALL(IF($AX$173:$AX$271="Claim", ROW(BU$173:BU$271)-MIN(ROW(BU$173:BU$271))+1, ""), ROW(W3))), "")</f>
        <v>13.6</v>
      </c>
      <c r="BV277" s="5">
        <f t="array" ref="BV277">IFERROR(INDEX(BV$173:BV$271, SMALL(IF($AX$173:$AX$271="Claim", ROW(BV$173:BV$271)-MIN(ROW(BV$173:BV$271))+1, ""), ROW(X3))), "")</f>
        <v>0</v>
      </c>
      <c r="BW277" s="5">
        <f t="array" ref="BW277">IFERROR(INDEX(BW$173:BW$271, SMALL(IF($AX$173:$AX$271="Claim", ROW(BW$173:BW$271)-MIN(ROW(BW$173:BW$271))+1, ""), ROW(Y3))), "")</f>
        <v>13.6</v>
      </c>
      <c r="BX277" s="5">
        <f t="array" ref="BX277">IFERROR(INDEX(BX$173:BX$271, SMALL(IF($AX$173:$AX$271="Claim", ROW(BX$173:BX$271)-MIN(ROW(BX$173:BX$271))+1, ""), ROW(Z3))), "")</f>
        <v>0</v>
      </c>
      <c r="BY277" s="5">
        <f t="array" ref="BY277">IFERROR(INDEX(BY$173:BY$271, SMALL(IF($AX$173:$AX$271="Claim", ROW(BY$173:BY$271)-MIN(ROW(BY$173:BY$271))+1, ""), ROW(AA3))), "")</f>
        <v>13.6</v>
      </c>
      <c r="BZ277" s="5">
        <f t="array" ref="BZ277">IFERROR(INDEX(BZ$173:BZ$271, SMALL(IF($AX$173:$AX$271="Claim", ROW(BZ$173:BZ$271)-MIN(ROW(BZ$173:BZ$271))+1, ""), ROW(AB3))), "")</f>
        <v>0</v>
      </c>
      <c r="CA277" s="5">
        <f t="array" ref="CA277">IFERROR(INDEX(CA$173:CA$271, SMALL(IF($AX$173:$AX$271="Claim", ROW(CA$173:CA$271)-MIN(ROW(CA$173:CA$271))+1, ""), ROW(AC3))), "")</f>
        <v>13.6</v>
      </c>
      <c r="CB277" s="5">
        <f t="array" ref="CB277">IFERROR(INDEX(CB$173:CB$271, SMALL(IF($AX$173:$AX$271="Claim", ROW(CB$173:CB$271)-MIN(ROW(CB$173:CB$271))+1, ""), ROW(AD3))), "")</f>
        <v>0</v>
      </c>
      <c r="CC277" s="5">
        <f t="array" ref="CC277">IFERROR(INDEX(CC$173:CC$271, SMALL(IF($AX$173:$AX$271="Claim", ROW(CC$173:CC$271)-MIN(ROW(CC$173:CC$271))+1, ""), ROW(AE3))), "")</f>
        <v>13.6</v>
      </c>
      <c r="CD277" s="5">
        <f t="array" ref="CD277">IFERROR(INDEX(CD$173:CD$271, SMALL(IF($AX$173:$AX$271="Claim", ROW(CD$173:CD$271)-MIN(ROW(CD$173:CD$271))+1, ""), ROW(AF3))), "")</f>
        <v>0</v>
      </c>
      <c r="CE277" s="5">
        <f t="array" ref="CE277">IFERROR(INDEX(CE$173:CE$271, SMALL(IF($AX$173:$AX$271="Claim", ROW(CE$173:CE$271)-MIN(ROW(CE$173:CE$271))+1, ""), ROW(AG3))), "")</f>
        <v>13.6</v>
      </c>
      <c r="CF277" s="5">
        <f t="array" ref="CF277">IFERROR(INDEX(CF$173:CF$271, SMALL(IF($AX$173:$AX$271="Claim", ROW(CF$173:CF$271)-MIN(ROW(CF$173:CF$271))+1, ""), ROW(AH3))), "")</f>
        <v>0</v>
      </c>
      <c r="CG277" s="5">
        <f t="array" ref="CG277">IFERROR(INDEX(CG$173:CG$271, SMALL(IF($AX$173:$AX$271="Claim", ROW(CG$173:CG$271)-MIN(ROW(CG$173:CG$271))+1, ""), ROW(AI3))), "")</f>
        <v>13.6</v>
      </c>
      <c r="CH277" s="5">
        <f t="array" ref="CH277">IFERROR(INDEX(CH$173:CH$271, SMALL(IF($AX$173:$AX$271="Claim", ROW(CH$173:CH$271)-MIN(ROW(CH$173:CH$271))+1, ""), ROW(AJ3))), "")</f>
        <v>0</v>
      </c>
      <c r="CI277" s="5">
        <f t="array" ref="CI277">IFERROR(INDEX(CI$173:CI$271, SMALL(IF($AX$173:$AX$271="Claim", ROW(CI$173:CI$271)-MIN(ROW(CI$173:CI$271))+1, ""), ROW(AK3))), "")</f>
        <v>0</v>
      </c>
      <c r="CJ277" s="5">
        <f t="array" ref="CJ277">IFERROR(INDEX(CJ$173:CJ$271, SMALL(IF($AX$173:$AX$271="Claim", ROW(CJ$173:CJ$271)-MIN(ROW(CJ$173:CJ$271))+1, ""), ROW(AL3))), "")</f>
        <v>0</v>
      </c>
    </row>
    <row r="278" spans="49:88" hidden="1" x14ac:dyDescent="0.2">
      <c r="AX278" s="5">
        <v>4</v>
      </c>
      <c r="AY278" s="327">
        <f t="array" ref="AY278">IFERROR(INDEX(AY$173:AY$271, SMALL(IF($AX$173:$AX$271="Claim", ROW(AY$173:AY$271)-MIN(ROW(AY$173:AY$271))+1, ""), ROW(A4))), "")</f>
        <v>44599</v>
      </c>
      <c r="AZ278" s="327">
        <f t="array" ref="AZ278">IFERROR(INDEX(AZ$173:AZ$271, SMALL(IF($AX$173:$AX$271="Claim", ROW(AZ$173:AZ$271)-MIN(ROW(AZ$173:AZ$271))+1, ""), ROW(B4))), "")</f>
        <v>44615</v>
      </c>
      <c r="BA278" s="5">
        <f t="array" ref="BA278">IFERROR(INDEX(BA$173:BA$275, SMALL(IF($AX$173:$AX$275="Claim", ROW(BA$173:BA$275)-MIN(ROW(BA$173:BA$275))+1, ""), ROW(C4))), "")</f>
        <v>9</v>
      </c>
      <c r="BB278" s="5">
        <f t="array" ref="BB278">IFERROR(INDEX(BB$173:BB$271, SMALL(IF($AX$173:$AX$271="Claim", ROW(BB$173:BB$271)-MIN(ROW(BB$173:BB$271))+1, ""), ROW(D4))), "")</f>
        <v>0</v>
      </c>
      <c r="BC278" s="5">
        <f t="array" ref="BC278">IFERROR(INDEX(BC$173:BC$271, SMALL(IF($AX$173:$AX$271="Claim", ROW(BC$173:BC$271)-MIN(ROW(BC$173:BC$271))+1, ""), ROW(E4))), "")</f>
        <v>0</v>
      </c>
      <c r="BD278" s="5">
        <f t="array" ref="BD278">IFERROR(INDEX(BD$173:BD$271, SMALL(IF($AX$173:$AX$271="Claim", ROW(BD$173:BD$271)-MIN(ROW(BD$173:BD$271))+1, ""), ROW(F4))), "")</f>
        <v>0</v>
      </c>
      <c r="BE278" s="5">
        <f t="array" ref="BE278">IFERROR(INDEX(BE$173:BE$271, SMALL(IF($AX$173:$AX$271="Claim", ROW(BE$173:BE$271)-MIN(ROW(BE$173:BE$271))+1, ""), ROW(G4))), "")</f>
        <v>0</v>
      </c>
      <c r="BF278" s="5">
        <f t="array" ref="BF278">IFERROR(INDEX(BF$173:BF$271, SMALL(IF($AX$173:$AX$271="Claim", ROW(BF$173:BF$271)-MIN(ROW(BF$173:BF$271))+1, ""), ROW(H4))), "")</f>
        <v>0</v>
      </c>
      <c r="BG278" s="5">
        <f t="array" ref="BG278">IFERROR(INDEX(BG$173:BG$271, SMALL(IF($AX$173:$AX$271="Claim", ROW(BG$173:BG$271)-MIN(ROW(BG$173:BG$271))+1, ""), ROW(I4))), "")</f>
        <v>0</v>
      </c>
      <c r="BH278" s="5">
        <f t="array" ref="BH278">IFERROR(INDEX(BH$173:BH$271, SMALL(IF($AX$173:$AX$271="Claim", ROW(BH$173:BH$271)-MIN(ROW(BH$173:BH$271))+1, ""), ROW(J4))), "")</f>
        <v>0</v>
      </c>
      <c r="BI278" s="5">
        <f t="array" ref="BI278">IFERROR(INDEX(BI$173:BI$271, SMALL(IF($AX$173:$AX$271="Claim", ROW(BI$173:BI$271)-MIN(ROW(BI$173:BI$271))+1, ""), ROW(K4))), "")</f>
        <v>0</v>
      </c>
      <c r="BJ278" s="5">
        <f t="array" ref="BJ278">IFERROR(INDEX(BJ$173:BJ$271, SMALL(IF($AX$173:$AX$271="Claim", ROW(BJ$173:BJ$271)-MIN(ROW(BJ$173:BJ$271))+1, ""), ROW(L4))), "")</f>
        <v>0</v>
      </c>
      <c r="BK278" s="5">
        <f t="array" ref="BK278">IFERROR(INDEX(BK$173:BK$271, SMALL(IF($AX$173:$AX$271="Claim", ROW(BK$173:BK$271)-MIN(ROW(BK$173:BK$271))+1, ""), ROW(M4))), "")</f>
        <v>0</v>
      </c>
      <c r="BL278" s="5">
        <f t="array" ref="BL278">IFERROR(INDEX(BL$173:BL$271, SMALL(IF($AX$173:$AX$271="Claim", ROW(BL$173:BL$271)-MIN(ROW(BL$173:BL$271))+1, ""), ROW(N4))), "")</f>
        <v>0</v>
      </c>
      <c r="BM278" s="5">
        <f t="array" ref="BM278">IFERROR(INDEX(BM$173:BM$271, SMALL(IF($AX$173:$AX$271="Claim", ROW(BM$173:BM$271)-MIN(ROW(BM$173:BM$271))+1, ""), ROW(O4))), "")</f>
        <v>0</v>
      </c>
      <c r="BN278" s="5">
        <f t="array" ref="BN278">IFERROR(INDEX(BN$173:BN$271, SMALL(IF($AX$173:$AX$271="Claim", ROW(BN$173:BN$271)-MIN(ROW(BN$173:BN$271))+1, ""), ROW(P4))), "")</f>
        <v>0</v>
      </c>
      <c r="BO278" s="5">
        <f t="array" ref="BO278">IFERROR(INDEX(BO$173:BO$271, SMALL(IF($AX$173:$AX$271="Claim", ROW(BO$173:BO$271)-MIN(ROW(BO$173:BO$271))+1, ""), ROW(Q4))), "")</f>
        <v>0</v>
      </c>
      <c r="BP278" s="5">
        <f t="array" ref="BP278">IFERROR(INDEX(BP$173:BP$271, SMALL(IF($AX$173:$AX$271="Claim", ROW(BP$173:BP$271)-MIN(ROW(BP$173:BP$271))+1, ""), ROW(R4))), "")</f>
        <v>0</v>
      </c>
      <c r="BQ278" s="5">
        <f t="array" ref="BQ278">IFERROR(INDEX(BQ$173:BQ$271, SMALL(IF($AX$173:$AX$271="Claim", ROW(BQ$173:BQ$271)-MIN(ROW(BQ$173:BQ$271))+1, ""), ROW(S4))), "")</f>
        <v>0</v>
      </c>
      <c r="BR278" s="5">
        <f t="array" ref="BR278">IFERROR(INDEX(BR$173:BR$271, SMALL(IF($AX$173:$AX$271="Claim", ROW(BR$173:BR$271)-MIN(ROW(BR$173:BR$271))+1, ""), ROW(T4))), "")</f>
        <v>0</v>
      </c>
      <c r="BS278" s="5">
        <f t="array" ref="BS278">IFERROR(INDEX(BS$173:BS$271, SMALL(IF($AX$173:$AX$271="Claim", ROW(BS$173:BS$271)-MIN(ROW(BS$173:BS$271))+1, ""), ROW(U4))), "")</f>
        <v>0</v>
      </c>
      <c r="BT278" s="5">
        <f t="array" ref="BT278">IFERROR(INDEX(BT$173:BT$271, SMALL(IF($AX$173:$AX$271="Claim", ROW(BT$173:BT$271)-MIN(ROW(BT$173:BT$271))+1, ""), ROW(V4))), "")</f>
        <v>0</v>
      </c>
      <c r="BU278" s="5">
        <f t="array" ref="BU278">IFERROR(INDEX(BU$173:BU$271, SMALL(IF($AX$173:$AX$271="Claim", ROW(BU$173:BU$271)-MIN(ROW(BU$173:BU$271))+1, ""), ROW(W4))), "")</f>
        <v>0</v>
      </c>
      <c r="BV278" s="5">
        <f t="array" ref="BV278">IFERROR(INDEX(BV$173:BV$271, SMALL(IF($AX$173:$AX$271="Claim", ROW(BV$173:BV$271)-MIN(ROW(BV$173:BV$271))+1, ""), ROW(X4))), "")</f>
        <v>0</v>
      </c>
      <c r="BW278" s="5">
        <f t="array" ref="BW278">IFERROR(INDEX(BW$173:BW$271, SMALL(IF($AX$173:$AX$271="Claim", ROW(BW$173:BW$271)-MIN(ROW(BW$173:BW$271))+1, ""), ROW(Y4))), "")</f>
        <v>0</v>
      </c>
      <c r="BX278" s="5">
        <f t="array" ref="BX278">IFERROR(INDEX(BX$173:BX$271, SMALL(IF($AX$173:$AX$271="Claim", ROW(BX$173:BX$271)-MIN(ROW(BX$173:BX$271))+1, ""), ROW(Z4))), "")</f>
        <v>0</v>
      </c>
      <c r="BY278" s="5">
        <f t="array" ref="BY278">IFERROR(INDEX(BY$173:BY$271, SMALL(IF($AX$173:$AX$271="Claim", ROW(BY$173:BY$271)-MIN(ROW(BY$173:BY$271))+1, ""), ROW(AA4))), "")</f>
        <v>0</v>
      </c>
      <c r="BZ278" s="5">
        <f t="array" ref="BZ278">IFERROR(INDEX(BZ$173:BZ$271, SMALL(IF($AX$173:$AX$271="Claim", ROW(BZ$173:BZ$271)-MIN(ROW(BZ$173:BZ$271))+1, ""), ROW(AB4))), "")</f>
        <v>0</v>
      </c>
      <c r="CA278" s="5">
        <f t="array" ref="CA278">IFERROR(INDEX(CA$173:CA$271, SMALL(IF($AX$173:$AX$271="Claim", ROW(CA$173:CA$271)-MIN(ROW(CA$173:CA$271))+1, ""), ROW(AC4))), "")</f>
        <v>0</v>
      </c>
      <c r="CB278" s="5">
        <f t="array" ref="CB278">IFERROR(INDEX(CB$173:CB$271, SMALL(IF($AX$173:$AX$271="Claim", ROW(CB$173:CB$271)-MIN(ROW(CB$173:CB$271))+1, ""), ROW(AD4))), "")</f>
        <v>0</v>
      </c>
      <c r="CC278" s="5">
        <f t="array" ref="CC278">IFERROR(INDEX(CC$173:CC$271, SMALL(IF($AX$173:$AX$271="Claim", ROW(CC$173:CC$271)-MIN(ROW(CC$173:CC$271))+1, ""), ROW(AE4))), "")</f>
        <v>0</v>
      </c>
      <c r="CD278" s="5">
        <f t="array" ref="CD278">IFERROR(INDEX(CD$173:CD$271, SMALL(IF($AX$173:$AX$271="Claim", ROW(CD$173:CD$271)-MIN(ROW(CD$173:CD$271))+1, ""), ROW(AF4))), "")</f>
        <v>0</v>
      </c>
      <c r="CE278" s="5">
        <f t="array" ref="CE278">IFERROR(INDEX(CE$173:CE$271, SMALL(IF($AX$173:$AX$271="Claim", ROW(CE$173:CE$271)-MIN(ROW(CE$173:CE$271))+1, ""), ROW(AG4))), "")</f>
        <v>0</v>
      </c>
      <c r="CF278" s="5">
        <f t="array" ref="CF278">IFERROR(INDEX(CF$173:CF$271, SMALL(IF($AX$173:$AX$271="Claim", ROW(CF$173:CF$271)-MIN(ROW(CF$173:CF$271))+1, ""), ROW(AH4))), "")</f>
        <v>0</v>
      </c>
      <c r="CG278" s="5">
        <f t="array" ref="CG278">IFERROR(INDEX(CG$173:CG$271, SMALL(IF($AX$173:$AX$271="Claim", ROW(CG$173:CG$271)-MIN(ROW(CG$173:CG$271))+1, ""), ROW(AI4))), "")</f>
        <v>0</v>
      </c>
      <c r="CH278" s="5">
        <f t="array" ref="CH278">IFERROR(INDEX(CH$173:CH$271, SMALL(IF($AX$173:$AX$271="Claim", ROW(CH$173:CH$271)-MIN(ROW(CH$173:CH$271))+1, ""), ROW(AJ4))), "")</f>
        <v>18.615680000000001</v>
      </c>
      <c r="CI278" s="5">
        <f t="array" ref="CI278">IFERROR(INDEX(CI$173:CI$271, SMALL(IF($AX$173:$AX$271="Claim", ROW(CI$173:CI$271)-MIN(ROW(CI$173:CI$271))+1, ""), ROW(AK4))), "")</f>
        <v>0</v>
      </c>
      <c r="CJ278" s="5">
        <f t="array" ref="CJ278">IFERROR(INDEX(CJ$173:CJ$271, SMALL(IF($AX$173:$AX$271="Claim", ROW(CJ$173:CJ$271)-MIN(ROW(CJ$173:CJ$271))+1, ""), ROW(AL4))), "")</f>
        <v>0</v>
      </c>
    </row>
    <row r="279" spans="49:88" hidden="1"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hidden="1"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hidden="1"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hidden="1"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hidden="1"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hidden="1"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hidden="1"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hidden="1"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hidden="1"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hidden="1"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hidden="1"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hidden="1"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hidden="1"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hidden="1"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hidden="1"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hidden="1"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hidden="1"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hidden="1"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hidden="1"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hidden="1"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hidden="1"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hidden="1"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hidden="1"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hidden="1"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hidden="1"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hidden="1"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hidden="1"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hidden="1"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hidden="1"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hidden="1"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hidden="1"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hidden="1"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hidden="1"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hidden="1"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hidden="1"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hidden="1"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hidden="1"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hidden="1"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hidden="1"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hidden="1"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hidden="1"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hidden="1"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hidden="1"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hidden="1"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hidden="1"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hidden="1"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hidden="1"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hidden="1"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hidden="1"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hidden="1"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hidden="1"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hidden="1"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hidden="1"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hidden="1"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hidden="1"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hidden="1"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hidden="1"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hidden="1"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hidden="1"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hidden="1"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hidden="1"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hidden="1"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hidden="1"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hidden="1"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hidden="1"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hidden="1"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hidden="1"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hidden="1"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hidden="1"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hidden="1"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hidden="1"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hidden="1"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hidden="1"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hidden="1"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hidden="1"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hidden="1"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hidden="1"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hidden="1"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hidden="1"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hidden="1"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hidden="1"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hidden="1"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hidden="1"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hidden="1"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hidden="1"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hidden="1"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hidden="1"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hidden="1"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hidden="1"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hidden="1"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hidden="1"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hidden="1"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hidden="1"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hidden="1"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hidden="1"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hidden="1"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hidden="1"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hidden="1" x14ac:dyDescent="0.2">
      <c r="AX376" s="5"/>
      <c r="AY376" s="5" t="s">
        <v>173</v>
      </c>
      <c r="AZ376" s="5" t="s">
        <v>174</v>
      </c>
      <c r="BA376" s="5" t="s">
        <v>175</v>
      </c>
      <c r="BB376" s="5" t="s">
        <v>176</v>
      </c>
      <c r="BC376" s="5" t="s">
        <v>177</v>
      </c>
      <c r="BD376" s="5" t="s">
        <v>178</v>
      </c>
      <c r="BE376" s="5" t="s">
        <v>179</v>
      </c>
      <c r="BF376" s="5" t="s">
        <v>180</v>
      </c>
      <c r="BG376" s="5" t="s">
        <v>181</v>
      </c>
      <c r="BH376" s="5" t="s">
        <v>182</v>
      </c>
      <c r="BI376" s="5" t="s">
        <v>183</v>
      </c>
      <c r="BJ376" s="5" t="s">
        <v>184</v>
      </c>
      <c r="BK376" s="5" t="s">
        <v>185</v>
      </c>
      <c r="BL376" s="5" t="s">
        <v>186</v>
      </c>
      <c r="BM376" s="5" t="s">
        <v>187</v>
      </c>
      <c r="BN376" s="5" t="s">
        <v>188</v>
      </c>
      <c r="BO376" s="5" t="s">
        <v>189</v>
      </c>
      <c r="BP376" s="5" t="s">
        <v>190</v>
      </c>
      <c r="BQ376" s="5" t="s">
        <v>191</v>
      </c>
      <c r="BR376" s="5" t="s">
        <v>192</v>
      </c>
      <c r="BS376" s="5" t="s">
        <v>193</v>
      </c>
      <c r="BT376" s="5" t="s">
        <v>194</v>
      </c>
      <c r="BU376" s="5" t="s">
        <v>195</v>
      </c>
      <c r="BV376" s="5" t="s">
        <v>196</v>
      </c>
      <c r="BW376" s="5" t="s">
        <v>197</v>
      </c>
      <c r="BX376" s="5" t="s">
        <v>198</v>
      </c>
      <c r="BY376" s="5" t="s">
        <v>199</v>
      </c>
      <c r="BZ376" s="5" t="s">
        <v>200</v>
      </c>
      <c r="CA376" s="5" t="s">
        <v>201</v>
      </c>
      <c r="CB376" s="337" t="s">
        <v>202</v>
      </c>
      <c r="CC376" s="337" t="s">
        <v>205</v>
      </c>
      <c r="CD376" s="333" t="s">
        <v>204</v>
      </c>
      <c r="CE376" s="333" t="s">
        <v>205</v>
      </c>
      <c r="CF376" s="333" t="s">
        <v>204</v>
      </c>
      <c r="CG376" s="333" t="s">
        <v>205</v>
      </c>
      <c r="CH376" s="5" t="s">
        <v>206</v>
      </c>
      <c r="CI376" s="5" t="s">
        <v>206</v>
      </c>
      <c r="CJ376" s="5" t="s">
        <v>206</v>
      </c>
    </row>
    <row r="377" spans="50:88" hidden="1" x14ac:dyDescent="0.2">
      <c r="AX377" s="5">
        <v>1</v>
      </c>
      <c r="AY377" s="5" t="str">
        <f>TEXT(AY275,"dd/mm/yyyy")</f>
        <v>07/02/2022</v>
      </c>
      <c r="AZ377" s="5" t="str">
        <f>TEXT(AZ275,"dd/mm/yyyy")</f>
        <v>09/02/2022</v>
      </c>
      <c r="BA377" s="5" t="str">
        <f t="shared" ref="BA377:BA408" si="231">TEXT(BA275,"000000000")</f>
        <v>000000009</v>
      </c>
      <c r="BB377" s="5" t="str">
        <f t="shared" ref="BB377:BB408" si="232">TEXT(IF(BB275=0,"",BB275),"0.0000")</f>
        <v>3.0000</v>
      </c>
      <c r="BC377" s="5" t="str">
        <f t="shared" ref="BC377:BC408" si="233">TEXT(IF(BB275=0,"",BC275),"0.00")</f>
        <v>13.60</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
      </c>
      <c r="BW377" s="5" t="str">
        <f t="shared" ref="BW377:BW408" si="253">TEXT(IF(BV275=0,"",BW275),"0.00")</f>
        <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hidden="1" x14ac:dyDescent="0.2">
      <c r="AX378" s="5">
        <v>2</v>
      </c>
      <c r="AY378" s="5" t="str">
        <f t="shared" ref="AY378:AZ378" si="265">TEXT(AY276,"dd/mm/yyyy")</f>
        <v>14/02/2022</v>
      </c>
      <c r="AZ378" s="5" t="str">
        <f t="shared" si="265"/>
        <v>16/02/2022</v>
      </c>
      <c r="BA378" s="5" t="str">
        <f t="shared" si="231"/>
        <v>000000009</v>
      </c>
      <c r="BB378" s="5" t="str">
        <f t="shared" si="232"/>
        <v>3.0000</v>
      </c>
      <c r="BC378" s="5" t="str">
        <f t="shared" si="233"/>
        <v>13.60</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
      </c>
      <c r="CI378" s="5" t="str">
        <f t="shared" si="266"/>
        <v/>
      </c>
      <c r="CJ378" s="5" t="str">
        <f t="shared" si="266"/>
        <v/>
      </c>
    </row>
    <row r="379" spans="50:88" hidden="1" x14ac:dyDescent="0.2">
      <c r="AX379" s="5">
        <v>3</v>
      </c>
      <c r="AY379" s="5" t="str">
        <f t="shared" ref="AY379:AZ379" si="267">TEXT(AY277,"dd/mm/yyyy")</f>
        <v>21/02/2022</v>
      </c>
      <c r="AZ379" s="5" t="str">
        <f t="shared" si="267"/>
        <v>23/02/2022</v>
      </c>
      <c r="BA379" s="5" t="str">
        <f t="shared" si="231"/>
        <v>000000009</v>
      </c>
      <c r="BB379" s="5" t="str">
        <f t="shared" si="232"/>
        <v>2.0000</v>
      </c>
      <c r="BC379" s="5" t="str">
        <f t="shared" si="233"/>
        <v>13.60</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
      </c>
      <c r="CI379" s="5" t="str">
        <f t="shared" ref="CI379:CJ379" si="268">TEXT(IF(CI277=0,"",CI277),"0.00")</f>
        <v/>
      </c>
      <c r="CJ379" s="5" t="str">
        <f t="shared" si="268"/>
        <v/>
      </c>
    </row>
    <row r="380" spans="50:88" hidden="1" x14ac:dyDescent="0.2">
      <c r="AX380" s="5">
        <v>4</v>
      </c>
      <c r="AY380" s="5" t="str">
        <f t="shared" ref="AY380:AZ380" si="269">TEXT(AY278,"dd/mm/yyyy")</f>
        <v>07/02/2022</v>
      </c>
      <c r="AZ380" s="5" t="str">
        <f t="shared" si="269"/>
        <v>23/02/2022</v>
      </c>
      <c r="BA380" s="5" t="str">
        <f t="shared" si="231"/>
        <v>000000009</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18.62</v>
      </c>
      <c r="CI380" s="5" t="str">
        <f t="shared" si="266"/>
        <v/>
      </c>
      <c r="CJ380" s="5" t="str">
        <f t="shared" si="266"/>
        <v/>
      </c>
    </row>
    <row r="381" spans="50:88" hidden="1"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hidden="1"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hidden="1"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hidden="1"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hidden="1"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hidden="1"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hidden="1"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hidden="1"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hidden="1"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hidden="1"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hidden="1"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hidden="1"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hidden="1"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hidden="1"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hidden="1"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hidden="1"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hidden="1"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hidden="1"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hidden="1"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hidden="1"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hidden="1"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hidden="1"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hidden="1"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hidden="1"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hidden="1"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hidden="1"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hidden="1"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hidden="1"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hidden="1"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hidden="1"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hidden="1"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hidden="1"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hidden="1"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hidden="1"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hidden="1"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hidden="1"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hidden="1"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hidden="1"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hidden="1"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hidden="1"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hidden="1"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hidden="1"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hidden="1"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hidden="1"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hidden="1"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hidden="1"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hidden="1"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hidden="1"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hidden="1"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hidden="1"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hidden="1"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hidden="1"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hidden="1"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hidden="1"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hidden="1"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hidden="1"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hidden="1"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hidden="1"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hidden="1"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hidden="1"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hidden="1"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hidden="1"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hidden="1"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hidden="1"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hidden="1"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hidden="1"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hidden="1"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hidden="1"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hidden="1"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hidden="1"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hidden="1"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hidden="1"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hidden="1"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hidden="1"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hidden="1"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hidden="1"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hidden="1"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hidden="1"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hidden="1"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hidden="1"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hidden="1"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hidden="1"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hidden="1"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hidden="1"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hidden="1"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hidden="1"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hidden="1"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hidden="1"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hidden="1"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hidden="1"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hidden="1"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hidden="1"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hidden="1"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hidden="1"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hidden="1"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hidden="1" x14ac:dyDescent="0.2">
      <c r="AX476" s="5"/>
    </row>
    <row r="477" spans="50:88" hidden="1" x14ac:dyDescent="0.2">
      <c r="AX477" s="5"/>
    </row>
  </sheetData>
  <sheetProtection algorithmName="SHA-512" hashValue="5gzD9hcC6rKtFY2q4JEGwZFh+JlM799H6O6+VpdP1ESUmLjOOegUTE88OIPC3u7HrbeUllUWzNwpDU/e5bIcug==" saltValue="plUn6yoR9J2NfaBZJ93uVQ==" spinCount="100000" sheet="1" selectLockedCells="1"/>
  <sortState xmlns:xlrd2="http://schemas.microsoft.com/office/spreadsheetml/2017/richdata2" ref="BF128:BF144">
    <sortCondition ref="BF128:BF144"/>
  </sortState>
  <mergeCells count="501">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209</v>
      </c>
      <c r="P2" s="1" t="s">
        <v>210</v>
      </c>
    </row>
    <row r="3" spans="2:39" hidden="1" x14ac:dyDescent="0.2">
      <c r="D3" s="1" t="s">
        <v>211</v>
      </c>
      <c r="E3" s="1" t="str">
        <f>'UniWorkforce Hourly Timesheet'!E3</f>
        <v>Georgios</v>
      </c>
      <c r="P3" s="1" t="str">
        <f>'UniWorkforce Fixed Fee Claim'!F3</f>
        <v>Please enter</v>
      </c>
    </row>
    <row r="4" spans="2:39" hidden="1" x14ac:dyDescent="0.2">
      <c r="D4" s="1" t="s">
        <v>212</v>
      </c>
      <c r="E4" s="1" t="str">
        <f>'UniWorkforce Hourly Timesheet'!Z3</f>
        <v>Giamouridis</v>
      </c>
      <c r="P4" s="1" t="str">
        <f>'UniWorkforce Fixed Fee Claim'!AC3</f>
        <v>Please enter</v>
      </c>
    </row>
    <row r="5" spans="2:39" hidden="1" x14ac:dyDescent="0.2">
      <c r="D5" s="1" t="s">
        <v>213</v>
      </c>
      <c r="E5" s="156" t="str">
        <f>'UniWorkforce Hourly Timesheet'!E7:P7</f>
        <v>31 January - 27 February 2022</v>
      </c>
      <c r="P5" s="156" t="str">
        <f>'UniWorkforce Fixed Fee Claim'!F7</f>
        <v>Please select claim period</v>
      </c>
    </row>
    <row r="6" spans="2:39" hidden="1" x14ac:dyDescent="0.2">
      <c r="D6" s="1" t="s">
        <v>214</v>
      </c>
      <c r="E6" s="1">
        <f>'UniWorkforce Hourly Timesheet'!Z5</f>
        <v>2915413</v>
      </c>
      <c r="P6" s="1">
        <f>'UniWorkforce Fixed Fee Claim'!AC5</f>
        <v>0</v>
      </c>
    </row>
    <row r="7" spans="2:39" hidden="1" x14ac:dyDescent="0.2">
      <c r="D7" s="1" t="s">
        <v>215</v>
      </c>
      <c r="E7" s="1" t="str">
        <f>'UniWorkforce Hourly Timesheet'!E9</f>
        <v xml:space="preserve">Engineering and Physical Sciences </v>
      </c>
      <c r="P7" s="1" t="str">
        <f>'UniWorkforce Fixed Fee Claim'!F9</f>
        <v>Please select faculty</v>
      </c>
    </row>
    <row r="8" spans="2:39" hidden="1" x14ac:dyDescent="0.2">
      <c r="D8" s="1" t="s">
        <v>216</v>
      </c>
      <c r="E8" s="1" t="str">
        <f>'UniWorkforce Hourly Timesheet'!W9</f>
        <v xml:space="preserve">Engineering and Physical Sciences </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60" t="str">
        <f>IF(E3&lt;&gt;"Please enter",'UniWorkforce Hourly Timesheet'!E3,IF(P3&lt;&gt;"Please enter",'UniWorkforce Fixed Fee Claim'!F3,"Enter details on timesheet first"))</f>
        <v>Georgios</v>
      </c>
      <c r="F12" s="760"/>
      <c r="G12" s="760"/>
      <c r="H12" s="760"/>
      <c r="I12" s="760"/>
      <c r="J12" s="760"/>
      <c r="K12" s="760"/>
      <c r="L12" s="760"/>
      <c r="M12" s="760"/>
      <c r="N12" s="760"/>
      <c r="O12" s="760"/>
      <c r="P12" s="760"/>
      <c r="Q12" s="2"/>
      <c r="R12" s="475" t="s">
        <v>60</v>
      </c>
      <c r="S12" s="475"/>
      <c r="T12" s="475"/>
      <c r="U12" s="475"/>
      <c r="V12" s="475"/>
      <c r="W12" s="475"/>
      <c r="X12" s="475"/>
      <c r="Y12" s="475"/>
      <c r="Z12" s="760" t="str">
        <f>IF(E4&lt;&gt;"Please enter",'UniWorkforce Hourly Timesheet'!Z3,IF(P4&lt;&gt;"Please enter",'UniWorkforce Fixed Fee Claim'!AC3,"Enter details on timesheet first"))</f>
        <v>Giamouridis</v>
      </c>
      <c r="AA12" s="760"/>
      <c r="AB12" s="760"/>
      <c r="AC12" s="760"/>
      <c r="AD12" s="760"/>
      <c r="AE12" s="760"/>
      <c r="AF12" s="760"/>
      <c r="AG12" s="760"/>
      <c r="AH12" s="760"/>
      <c r="AI12" s="760"/>
      <c r="AJ12" s="760"/>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2" t="str">
        <f>IF(E5&lt;&gt;"Please select claim period",'UniWorkforce Hourly Timesheet'!E7,IF(P5&lt;&gt;"Please select claim period",'UniWorkforce Fixed Fee Claim'!F7,"Enter details on timesheet first"))</f>
        <v>31 January - 27 February 2022</v>
      </c>
      <c r="F14" s="763"/>
      <c r="G14" s="763"/>
      <c r="H14" s="763"/>
      <c r="I14" s="763"/>
      <c r="J14" s="763"/>
      <c r="K14" s="763"/>
      <c r="L14" s="763"/>
      <c r="M14" s="763"/>
      <c r="N14" s="763"/>
      <c r="O14" s="763"/>
      <c r="P14" s="764"/>
      <c r="Q14" s="5"/>
      <c r="R14" s="475" t="s">
        <v>62</v>
      </c>
      <c r="S14" s="475"/>
      <c r="T14" s="475"/>
      <c r="U14" s="475"/>
      <c r="V14" s="475"/>
      <c r="W14" s="475"/>
      <c r="X14" s="475"/>
      <c r="Y14" s="475"/>
      <c r="Z14" s="761">
        <f>IF(E6&lt;&gt;0,'UniWorkforce Hourly Timesheet'!Z5,IF(P6&lt;&gt;0,'UniWorkforce Fixed Fee Claim'!AC5,"Enter details on timesheet first"))</f>
        <v>2915413</v>
      </c>
      <c r="AA14" s="761"/>
      <c r="AB14" s="761"/>
      <c r="AC14" s="761"/>
      <c r="AD14" s="761"/>
      <c r="AE14" s="761"/>
      <c r="AF14" s="761"/>
      <c r="AG14" s="761"/>
      <c r="AH14" s="761"/>
      <c r="AI14" s="761"/>
      <c r="AJ14" s="761"/>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60" t="str">
        <f>IF(E7&lt;&gt;"Please select faculty",'UniWorkforce Hourly Timesheet'!E9,IF(P7&lt;&gt;"Please select faculty",'UniWorkforce Fixed Fee Claim'!F9,"Enter details on timesheet first"))</f>
        <v xml:space="preserve">Engineering and Physical Sciences </v>
      </c>
      <c r="F16" s="760"/>
      <c r="G16" s="760"/>
      <c r="H16" s="760"/>
      <c r="I16" s="760"/>
      <c r="J16" s="760"/>
      <c r="K16" s="760"/>
      <c r="L16" s="760"/>
      <c r="M16" s="760"/>
      <c r="N16" s="760"/>
      <c r="O16" s="760"/>
      <c r="P16" s="760"/>
      <c r="Q16" s="3"/>
      <c r="R16" s="484" t="s">
        <v>217</v>
      </c>
      <c r="S16" s="485"/>
      <c r="T16" s="485"/>
      <c r="U16" s="485"/>
      <c r="V16" s="485"/>
      <c r="W16" s="768" t="str">
        <f>IF(E8&lt;&gt;"Select faculty first",'UniWorkforce Hourly Timesheet'!W9,IF(P8&lt;&gt;"Select faculty first",'UniWorkforce Fixed Fee Claim'!Z9,"Enter details on timesheet first"))</f>
        <v xml:space="preserve">Engineering and Physical Sciences </v>
      </c>
      <c r="X16" s="769"/>
      <c r="Y16" s="769"/>
      <c r="Z16" s="769"/>
      <c r="AA16" s="769"/>
      <c r="AB16" s="769"/>
      <c r="AC16" s="769"/>
      <c r="AD16" s="769"/>
      <c r="AE16" s="769"/>
      <c r="AF16" s="769"/>
      <c r="AG16" s="769"/>
      <c r="AH16" s="769"/>
      <c r="AI16" s="769"/>
      <c r="AJ16" s="770"/>
      <c r="AK16" s="59"/>
      <c r="AL16" s="60"/>
      <c r="AM16" s="45"/>
    </row>
    <row r="17" spans="2:47" ht="18.75" customHeight="1" x14ac:dyDescent="0.2">
      <c r="B17" s="40"/>
      <c r="D17" s="51" t="s">
        <v>218</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219</v>
      </c>
      <c r="E18" s="772" t="s">
        <v>220</v>
      </c>
      <c r="F18" s="772"/>
      <c r="G18" s="772"/>
      <c r="H18" s="772"/>
      <c r="I18" s="772"/>
      <c r="J18" s="772"/>
      <c r="K18" s="772"/>
      <c r="L18" s="772"/>
      <c r="M18" s="772"/>
      <c r="N18" s="772"/>
      <c r="O18" s="772" t="s">
        <v>221</v>
      </c>
      <c r="P18" s="772"/>
      <c r="Q18" s="772"/>
      <c r="R18" s="772"/>
      <c r="S18" s="772"/>
      <c r="T18" s="772"/>
      <c r="U18" s="772"/>
      <c r="V18" s="772"/>
      <c r="W18" s="772"/>
      <c r="X18" s="772"/>
      <c r="Y18" s="475" t="s">
        <v>222</v>
      </c>
      <c r="Z18" s="475"/>
      <c r="AA18" s="475"/>
      <c r="AB18" s="475"/>
      <c r="AC18" s="475" t="s">
        <v>223</v>
      </c>
      <c r="AD18" s="475"/>
      <c r="AE18" s="475"/>
      <c r="AF18" s="771" t="s">
        <v>224</v>
      </c>
      <c r="AG18" s="771"/>
      <c r="AH18" s="771"/>
      <c r="AI18" s="771"/>
      <c r="AJ18" s="771"/>
      <c r="AK18" s="61" t="s">
        <v>225</v>
      </c>
      <c r="AL18" s="61" t="s">
        <v>226</v>
      </c>
      <c r="AM18" s="45"/>
      <c r="AP18" s="1" t="s">
        <v>227</v>
      </c>
    </row>
    <row r="19" spans="2:47" ht="15" customHeight="1" x14ac:dyDescent="0.2">
      <c r="B19" s="40"/>
      <c r="D19" s="69"/>
      <c r="E19" s="756" t="s">
        <v>228</v>
      </c>
      <c r="F19" s="482"/>
      <c r="G19" s="482"/>
      <c r="H19" s="482"/>
      <c r="I19" s="482"/>
      <c r="J19" s="482"/>
      <c r="K19" s="482"/>
      <c r="L19" s="482"/>
      <c r="M19" s="482"/>
      <c r="N19" s="483"/>
      <c r="O19" s="756" t="s">
        <v>227</v>
      </c>
      <c r="P19" s="482"/>
      <c r="Q19" s="482"/>
      <c r="R19" s="482"/>
      <c r="S19" s="482"/>
      <c r="T19" s="482"/>
      <c r="U19" s="482"/>
      <c r="V19" s="482"/>
      <c r="W19" s="482"/>
      <c r="X19" s="483"/>
      <c r="Y19" s="757"/>
      <c r="Z19" s="758"/>
      <c r="AA19" s="758"/>
      <c r="AB19" s="759"/>
      <c r="AC19" s="554"/>
      <c r="AD19" s="555"/>
      <c r="AE19" s="556"/>
      <c r="AF19" s="753">
        <f>IF(O19&lt;&gt;$AP$21,0,IF(AC19&lt;=0,0,IF(AC19&lt;=50,AC19*0.4,(50*0.4)+((AC19-50)*0.23))))</f>
        <v>0</v>
      </c>
      <c r="AG19" s="754"/>
      <c r="AH19" s="754"/>
      <c r="AI19" s="754"/>
      <c r="AJ19" s="755"/>
      <c r="AK19" s="62">
        <f>IF(OR(AS19=TRUE,AT19=TRUE,AU19=TRUE),0,IF(E19="Home to work expenses",IF(O19=$AP$21,AF19,Y19),0))</f>
        <v>0</v>
      </c>
      <c r="AL19" s="62">
        <f>IF(OR(AS19=TRUE,AT19=TRUE,AU19=TRUE),0,IF(E19="Other reimbursable expenses",IF(O19=$AP$21,AF19,Y19),0))</f>
        <v>0</v>
      </c>
      <c r="AM19" s="45"/>
      <c r="AP19" s="1" t="s">
        <v>229</v>
      </c>
      <c r="AS19" s="1" t="b">
        <f>AND(D19="",OR(Y19&lt;&gt;"",AF19&lt;&gt;0))</f>
        <v>0</v>
      </c>
      <c r="AT19" s="1" t="b">
        <f>AND(OR(E19="Select category of expense",E19=""),Y19&lt;&gt;"")</f>
        <v>0</v>
      </c>
      <c r="AU19" s="1" t="b">
        <f>AND(OR(O19="Select Type of Expense",O19=""),Y19&lt;&gt;"")</f>
        <v>0</v>
      </c>
    </row>
    <row r="20" spans="2:47" ht="15" customHeight="1" x14ac:dyDescent="0.2">
      <c r="B20" s="40"/>
      <c r="D20" s="69"/>
      <c r="E20" s="756" t="s">
        <v>228</v>
      </c>
      <c r="F20" s="482"/>
      <c r="G20" s="482"/>
      <c r="H20" s="482"/>
      <c r="I20" s="482"/>
      <c r="J20" s="482"/>
      <c r="K20" s="482"/>
      <c r="L20" s="482"/>
      <c r="M20" s="482"/>
      <c r="N20" s="483"/>
      <c r="O20" s="756" t="s">
        <v>227</v>
      </c>
      <c r="P20" s="482"/>
      <c r="Q20" s="482"/>
      <c r="R20" s="482"/>
      <c r="S20" s="482"/>
      <c r="T20" s="482"/>
      <c r="U20" s="482"/>
      <c r="V20" s="482"/>
      <c r="W20" s="482"/>
      <c r="X20" s="483"/>
      <c r="Y20" s="757"/>
      <c r="Z20" s="758"/>
      <c r="AA20" s="758"/>
      <c r="AB20" s="759"/>
      <c r="AC20" s="554"/>
      <c r="AD20" s="555"/>
      <c r="AE20" s="556"/>
      <c r="AF20" s="753">
        <f t="shared" ref="AF20:AF32" si="0">IF(O20&lt;&gt;$AP$21,0,IF(AC20&lt;=0,0,IF(AC20&lt;=50,AC20*0.4,(50*0.4)+((AC20-50)*0.23))))</f>
        <v>0</v>
      </c>
      <c r="AG20" s="754"/>
      <c r="AH20" s="754"/>
      <c r="AI20" s="754"/>
      <c r="AJ20" s="755"/>
      <c r="AK20" s="62">
        <f t="shared" ref="AK20:AK32" si="1">IF(OR(AS20=TRUE,AT20=TRUE,AU20=TRUE),0,IF(E20="Home to work expenses",IF(O20=$AP$21,AF20,Y20),0))</f>
        <v>0</v>
      </c>
      <c r="AL20" s="62">
        <f t="shared" ref="AL20:AL32" si="2">IF(OR(AS20=TRUE,AT20=TRUE,AU20=TRUE),0,IF(E20="Other reimbursable expenses",IF(O20=$AP$21,AF20,Y20),0))</f>
        <v>0</v>
      </c>
      <c r="AM20" s="45"/>
      <c r="AP20" s="1" t="s">
        <v>230</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56" t="s">
        <v>228</v>
      </c>
      <c r="F21" s="482"/>
      <c r="G21" s="482"/>
      <c r="H21" s="482"/>
      <c r="I21" s="482"/>
      <c r="J21" s="482"/>
      <c r="K21" s="482"/>
      <c r="L21" s="482"/>
      <c r="M21" s="482"/>
      <c r="N21" s="483"/>
      <c r="O21" s="756" t="s">
        <v>227</v>
      </c>
      <c r="P21" s="482"/>
      <c r="Q21" s="482"/>
      <c r="R21" s="482"/>
      <c r="S21" s="482"/>
      <c r="T21" s="482"/>
      <c r="U21" s="482"/>
      <c r="V21" s="482"/>
      <c r="W21" s="482"/>
      <c r="X21" s="483"/>
      <c r="Y21" s="757"/>
      <c r="Z21" s="758"/>
      <c r="AA21" s="758"/>
      <c r="AB21" s="759"/>
      <c r="AC21" s="554"/>
      <c r="AD21" s="555"/>
      <c r="AE21" s="556"/>
      <c r="AF21" s="753">
        <f t="shared" si="0"/>
        <v>0</v>
      </c>
      <c r="AG21" s="754"/>
      <c r="AH21" s="754"/>
      <c r="AI21" s="754"/>
      <c r="AJ21" s="755"/>
      <c r="AK21" s="62">
        <f t="shared" si="1"/>
        <v>0</v>
      </c>
      <c r="AL21" s="62">
        <f t="shared" si="2"/>
        <v>0</v>
      </c>
      <c r="AM21" s="45"/>
      <c r="AP21" s="1" t="s">
        <v>231</v>
      </c>
      <c r="AS21" s="1" t="b">
        <f t="shared" si="3"/>
        <v>0</v>
      </c>
      <c r="AT21" s="1" t="b">
        <f t="shared" si="4"/>
        <v>0</v>
      </c>
      <c r="AU21" s="1" t="b">
        <f t="shared" si="5"/>
        <v>0</v>
      </c>
    </row>
    <row r="22" spans="2:47" ht="15" customHeight="1" x14ac:dyDescent="0.2">
      <c r="B22" s="40"/>
      <c r="D22" s="69"/>
      <c r="E22" s="756" t="s">
        <v>228</v>
      </c>
      <c r="F22" s="482"/>
      <c r="G22" s="482"/>
      <c r="H22" s="482"/>
      <c r="I22" s="482"/>
      <c r="J22" s="482"/>
      <c r="K22" s="482"/>
      <c r="L22" s="482"/>
      <c r="M22" s="482"/>
      <c r="N22" s="483"/>
      <c r="O22" s="756" t="s">
        <v>227</v>
      </c>
      <c r="P22" s="482"/>
      <c r="Q22" s="482"/>
      <c r="R22" s="482"/>
      <c r="S22" s="482"/>
      <c r="T22" s="482"/>
      <c r="U22" s="482"/>
      <c r="V22" s="482"/>
      <c r="W22" s="482"/>
      <c r="X22" s="483"/>
      <c r="Y22" s="757"/>
      <c r="Z22" s="758"/>
      <c r="AA22" s="758"/>
      <c r="AB22" s="759"/>
      <c r="AC22" s="554"/>
      <c r="AD22" s="555"/>
      <c r="AE22" s="556"/>
      <c r="AF22" s="753">
        <f t="shared" si="0"/>
        <v>0</v>
      </c>
      <c r="AG22" s="754"/>
      <c r="AH22" s="754"/>
      <c r="AI22" s="754"/>
      <c r="AJ22" s="755"/>
      <c r="AK22" s="62">
        <f t="shared" si="1"/>
        <v>0</v>
      </c>
      <c r="AL22" s="62">
        <f t="shared" si="2"/>
        <v>0</v>
      </c>
      <c r="AM22" s="45"/>
      <c r="AP22" s="1" t="s">
        <v>232</v>
      </c>
      <c r="AS22" s="1" t="b">
        <f t="shared" si="3"/>
        <v>0</v>
      </c>
      <c r="AT22" s="1" t="b">
        <f t="shared" si="4"/>
        <v>0</v>
      </c>
      <c r="AU22" s="1" t="b">
        <f t="shared" si="5"/>
        <v>0</v>
      </c>
    </row>
    <row r="23" spans="2:47" ht="15" customHeight="1" x14ac:dyDescent="0.2">
      <c r="B23" s="40"/>
      <c r="D23" s="69"/>
      <c r="E23" s="756" t="s">
        <v>228</v>
      </c>
      <c r="F23" s="482"/>
      <c r="G23" s="482"/>
      <c r="H23" s="482"/>
      <c r="I23" s="482"/>
      <c r="J23" s="482"/>
      <c r="K23" s="482"/>
      <c r="L23" s="482"/>
      <c r="M23" s="482"/>
      <c r="N23" s="483"/>
      <c r="O23" s="756" t="s">
        <v>227</v>
      </c>
      <c r="P23" s="482"/>
      <c r="Q23" s="482"/>
      <c r="R23" s="482"/>
      <c r="S23" s="482"/>
      <c r="T23" s="482"/>
      <c r="U23" s="482"/>
      <c r="V23" s="482"/>
      <c r="W23" s="482"/>
      <c r="X23" s="483"/>
      <c r="Y23" s="757"/>
      <c r="Z23" s="758"/>
      <c r="AA23" s="758"/>
      <c r="AB23" s="759"/>
      <c r="AC23" s="554"/>
      <c r="AD23" s="555"/>
      <c r="AE23" s="556"/>
      <c r="AF23" s="753">
        <f t="shared" si="0"/>
        <v>0</v>
      </c>
      <c r="AG23" s="754"/>
      <c r="AH23" s="754"/>
      <c r="AI23" s="754"/>
      <c r="AJ23" s="755"/>
      <c r="AK23" s="62">
        <f t="shared" si="1"/>
        <v>0</v>
      </c>
      <c r="AL23" s="62">
        <f t="shared" si="2"/>
        <v>0</v>
      </c>
      <c r="AM23" s="45"/>
      <c r="AP23" s="1" t="s">
        <v>233</v>
      </c>
      <c r="AS23" s="1" t="b">
        <f t="shared" si="3"/>
        <v>0</v>
      </c>
      <c r="AT23" s="1" t="b">
        <f t="shared" si="4"/>
        <v>0</v>
      </c>
      <c r="AU23" s="1" t="b">
        <f t="shared" si="5"/>
        <v>0</v>
      </c>
    </row>
    <row r="24" spans="2:47" ht="15" customHeight="1" x14ac:dyDescent="0.2">
      <c r="B24" s="40"/>
      <c r="D24" s="69"/>
      <c r="E24" s="756" t="s">
        <v>228</v>
      </c>
      <c r="F24" s="482"/>
      <c r="G24" s="482"/>
      <c r="H24" s="482"/>
      <c r="I24" s="482"/>
      <c r="J24" s="482"/>
      <c r="K24" s="482"/>
      <c r="L24" s="482"/>
      <c r="M24" s="482"/>
      <c r="N24" s="483"/>
      <c r="O24" s="756" t="s">
        <v>227</v>
      </c>
      <c r="P24" s="482"/>
      <c r="Q24" s="482"/>
      <c r="R24" s="482"/>
      <c r="S24" s="482"/>
      <c r="T24" s="482"/>
      <c r="U24" s="482"/>
      <c r="V24" s="482"/>
      <c r="W24" s="482"/>
      <c r="X24" s="483"/>
      <c r="Y24" s="757"/>
      <c r="Z24" s="758"/>
      <c r="AA24" s="758"/>
      <c r="AB24" s="759"/>
      <c r="AC24" s="554"/>
      <c r="AD24" s="555"/>
      <c r="AE24" s="556"/>
      <c r="AF24" s="753">
        <f t="shared" si="0"/>
        <v>0</v>
      </c>
      <c r="AG24" s="754"/>
      <c r="AH24" s="754"/>
      <c r="AI24" s="754"/>
      <c r="AJ24" s="755"/>
      <c r="AK24" s="62">
        <f t="shared" si="1"/>
        <v>0</v>
      </c>
      <c r="AL24" s="62">
        <f t="shared" si="2"/>
        <v>0</v>
      </c>
      <c r="AM24" s="45"/>
      <c r="AP24" s="1" t="s">
        <v>234</v>
      </c>
      <c r="AS24" s="1" t="b">
        <f t="shared" si="3"/>
        <v>0</v>
      </c>
      <c r="AT24" s="1" t="b">
        <f t="shared" si="4"/>
        <v>0</v>
      </c>
      <c r="AU24" s="1" t="b">
        <f t="shared" si="5"/>
        <v>0</v>
      </c>
    </row>
    <row r="25" spans="2:47" ht="15" customHeight="1" x14ac:dyDescent="0.2">
      <c r="B25" s="40"/>
      <c r="D25" s="69"/>
      <c r="E25" s="756" t="s">
        <v>228</v>
      </c>
      <c r="F25" s="482"/>
      <c r="G25" s="482"/>
      <c r="H25" s="482"/>
      <c r="I25" s="482"/>
      <c r="J25" s="482"/>
      <c r="K25" s="482"/>
      <c r="L25" s="482"/>
      <c r="M25" s="482"/>
      <c r="N25" s="483"/>
      <c r="O25" s="756" t="s">
        <v>227</v>
      </c>
      <c r="P25" s="482"/>
      <c r="Q25" s="482"/>
      <c r="R25" s="482"/>
      <c r="S25" s="482"/>
      <c r="T25" s="482"/>
      <c r="U25" s="482"/>
      <c r="V25" s="482"/>
      <c r="W25" s="482"/>
      <c r="X25" s="483"/>
      <c r="Y25" s="757"/>
      <c r="Z25" s="758"/>
      <c r="AA25" s="758"/>
      <c r="AB25" s="759"/>
      <c r="AC25" s="554"/>
      <c r="AD25" s="555"/>
      <c r="AE25" s="556"/>
      <c r="AF25" s="753">
        <f t="shared" si="0"/>
        <v>0</v>
      </c>
      <c r="AG25" s="754"/>
      <c r="AH25" s="754"/>
      <c r="AI25" s="754"/>
      <c r="AJ25" s="755"/>
      <c r="AK25" s="62">
        <f t="shared" si="1"/>
        <v>0</v>
      </c>
      <c r="AL25" s="62">
        <f t="shared" si="2"/>
        <v>0</v>
      </c>
      <c r="AM25" s="45"/>
      <c r="AP25" s="1" t="s">
        <v>235</v>
      </c>
      <c r="AS25" s="1" t="b">
        <f t="shared" si="3"/>
        <v>0</v>
      </c>
      <c r="AT25" s="1" t="b">
        <f t="shared" si="4"/>
        <v>0</v>
      </c>
      <c r="AU25" s="1" t="b">
        <f t="shared" si="5"/>
        <v>0</v>
      </c>
    </row>
    <row r="26" spans="2:47" ht="15" customHeight="1" x14ac:dyDescent="0.2">
      <c r="B26" s="40"/>
      <c r="D26" s="69"/>
      <c r="E26" s="756" t="s">
        <v>228</v>
      </c>
      <c r="F26" s="482"/>
      <c r="G26" s="482"/>
      <c r="H26" s="482"/>
      <c r="I26" s="482"/>
      <c r="J26" s="482"/>
      <c r="K26" s="482"/>
      <c r="L26" s="482"/>
      <c r="M26" s="482"/>
      <c r="N26" s="483"/>
      <c r="O26" s="756" t="s">
        <v>227</v>
      </c>
      <c r="P26" s="482"/>
      <c r="Q26" s="482"/>
      <c r="R26" s="482"/>
      <c r="S26" s="482"/>
      <c r="T26" s="482"/>
      <c r="U26" s="482"/>
      <c r="V26" s="482"/>
      <c r="W26" s="482"/>
      <c r="X26" s="483"/>
      <c r="Y26" s="757"/>
      <c r="Z26" s="758"/>
      <c r="AA26" s="758"/>
      <c r="AB26" s="759"/>
      <c r="AC26" s="554"/>
      <c r="AD26" s="555"/>
      <c r="AE26" s="556"/>
      <c r="AF26" s="753">
        <f t="shared" si="0"/>
        <v>0</v>
      </c>
      <c r="AG26" s="754"/>
      <c r="AH26" s="754"/>
      <c r="AI26" s="754"/>
      <c r="AJ26" s="755"/>
      <c r="AK26" s="62">
        <f t="shared" si="1"/>
        <v>0</v>
      </c>
      <c r="AL26" s="62">
        <f t="shared" si="2"/>
        <v>0</v>
      </c>
      <c r="AM26" s="45"/>
      <c r="AP26" s="1" t="s">
        <v>236</v>
      </c>
      <c r="AS26" s="1" t="b">
        <f t="shared" si="3"/>
        <v>0</v>
      </c>
      <c r="AT26" s="1" t="b">
        <f t="shared" si="4"/>
        <v>0</v>
      </c>
      <c r="AU26" s="1" t="b">
        <f t="shared" si="5"/>
        <v>0</v>
      </c>
    </row>
    <row r="27" spans="2:47" ht="15" customHeight="1" x14ac:dyDescent="0.2">
      <c r="B27" s="40"/>
      <c r="D27" s="69"/>
      <c r="E27" s="756" t="s">
        <v>228</v>
      </c>
      <c r="F27" s="482"/>
      <c r="G27" s="482"/>
      <c r="H27" s="482"/>
      <c r="I27" s="482"/>
      <c r="J27" s="482"/>
      <c r="K27" s="482"/>
      <c r="L27" s="482"/>
      <c r="M27" s="482"/>
      <c r="N27" s="483"/>
      <c r="O27" s="756" t="s">
        <v>227</v>
      </c>
      <c r="P27" s="482"/>
      <c r="Q27" s="482"/>
      <c r="R27" s="482"/>
      <c r="S27" s="482"/>
      <c r="T27" s="482"/>
      <c r="U27" s="482"/>
      <c r="V27" s="482"/>
      <c r="W27" s="482"/>
      <c r="X27" s="483"/>
      <c r="Y27" s="757"/>
      <c r="Z27" s="758"/>
      <c r="AA27" s="758"/>
      <c r="AB27" s="759"/>
      <c r="AC27" s="554"/>
      <c r="AD27" s="555"/>
      <c r="AE27" s="556"/>
      <c r="AF27" s="753">
        <f t="shared" si="0"/>
        <v>0</v>
      </c>
      <c r="AG27" s="754"/>
      <c r="AH27" s="754"/>
      <c r="AI27" s="754"/>
      <c r="AJ27" s="755"/>
      <c r="AK27" s="62">
        <f t="shared" si="1"/>
        <v>0</v>
      </c>
      <c r="AL27" s="62">
        <f t="shared" si="2"/>
        <v>0</v>
      </c>
      <c r="AM27" s="45"/>
      <c r="AP27" s="1" t="s">
        <v>237</v>
      </c>
      <c r="AS27" s="1" t="b">
        <f t="shared" si="3"/>
        <v>0</v>
      </c>
      <c r="AT27" s="1" t="b">
        <f t="shared" si="4"/>
        <v>0</v>
      </c>
      <c r="AU27" s="1" t="b">
        <f t="shared" si="5"/>
        <v>0</v>
      </c>
    </row>
    <row r="28" spans="2:47" ht="15" customHeight="1" x14ac:dyDescent="0.2">
      <c r="B28" s="40"/>
      <c r="D28" s="69"/>
      <c r="E28" s="756" t="s">
        <v>228</v>
      </c>
      <c r="F28" s="482"/>
      <c r="G28" s="482"/>
      <c r="H28" s="482"/>
      <c r="I28" s="482"/>
      <c r="J28" s="482"/>
      <c r="K28" s="482"/>
      <c r="L28" s="482"/>
      <c r="M28" s="482"/>
      <c r="N28" s="483"/>
      <c r="O28" s="756" t="s">
        <v>227</v>
      </c>
      <c r="P28" s="482"/>
      <c r="Q28" s="482"/>
      <c r="R28" s="482"/>
      <c r="S28" s="482"/>
      <c r="T28" s="482"/>
      <c r="U28" s="482"/>
      <c r="V28" s="482"/>
      <c r="W28" s="482"/>
      <c r="X28" s="483"/>
      <c r="Y28" s="757"/>
      <c r="Z28" s="758"/>
      <c r="AA28" s="758"/>
      <c r="AB28" s="759"/>
      <c r="AC28" s="554"/>
      <c r="AD28" s="555"/>
      <c r="AE28" s="556"/>
      <c r="AF28" s="753">
        <f t="shared" si="0"/>
        <v>0</v>
      </c>
      <c r="AG28" s="754"/>
      <c r="AH28" s="754"/>
      <c r="AI28" s="754"/>
      <c r="AJ28" s="755"/>
      <c r="AK28" s="62">
        <f t="shared" si="1"/>
        <v>0</v>
      </c>
      <c r="AL28" s="62">
        <f t="shared" si="2"/>
        <v>0</v>
      </c>
      <c r="AM28" s="45"/>
      <c r="AP28" s="1" t="s">
        <v>238</v>
      </c>
      <c r="AS28" s="1" t="b">
        <f t="shared" si="3"/>
        <v>0</v>
      </c>
      <c r="AT28" s="1" t="b">
        <f t="shared" si="4"/>
        <v>0</v>
      </c>
      <c r="AU28" s="1" t="b">
        <f t="shared" si="5"/>
        <v>0</v>
      </c>
    </row>
    <row r="29" spans="2:47" ht="15" customHeight="1" x14ac:dyDescent="0.2">
      <c r="B29" s="40"/>
      <c r="D29" s="69"/>
      <c r="E29" s="756" t="s">
        <v>228</v>
      </c>
      <c r="F29" s="482"/>
      <c r="G29" s="482"/>
      <c r="H29" s="482"/>
      <c r="I29" s="482"/>
      <c r="J29" s="482"/>
      <c r="K29" s="482"/>
      <c r="L29" s="482"/>
      <c r="M29" s="482"/>
      <c r="N29" s="483"/>
      <c r="O29" s="756" t="s">
        <v>227</v>
      </c>
      <c r="P29" s="482"/>
      <c r="Q29" s="482"/>
      <c r="R29" s="482"/>
      <c r="S29" s="482"/>
      <c r="T29" s="482"/>
      <c r="U29" s="482"/>
      <c r="V29" s="482"/>
      <c r="W29" s="482"/>
      <c r="X29" s="483"/>
      <c r="Y29" s="757"/>
      <c r="Z29" s="758"/>
      <c r="AA29" s="758"/>
      <c r="AB29" s="759"/>
      <c r="AC29" s="554"/>
      <c r="AD29" s="555"/>
      <c r="AE29" s="556"/>
      <c r="AF29" s="753">
        <f t="shared" si="0"/>
        <v>0</v>
      </c>
      <c r="AG29" s="754"/>
      <c r="AH29" s="754"/>
      <c r="AI29" s="754"/>
      <c r="AJ29" s="755"/>
      <c r="AK29" s="62">
        <f t="shared" si="1"/>
        <v>0</v>
      </c>
      <c r="AL29" s="62">
        <f t="shared" si="2"/>
        <v>0</v>
      </c>
      <c r="AM29" s="45"/>
      <c r="AP29" s="1" t="s">
        <v>239</v>
      </c>
      <c r="AS29" s="1" t="b">
        <f t="shared" si="3"/>
        <v>0</v>
      </c>
      <c r="AT29" s="1" t="b">
        <f t="shared" si="4"/>
        <v>0</v>
      </c>
      <c r="AU29" s="1" t="b">
        <f t="shared" si="5"/>
        <v>0</v>
      </c>
    </row>
    <row r="30" spans="2:47" ht="15" customHeight="1" x14ac:dyDescent="0.2">
      <c r="B30" s="40"/>
      <c r="D30" s="69"/>
      <c r="E30" s="756" t="s">
        <v>228</v>
      </c>
      <c r="F30" s="482"/>
      <c r="G30" s="482"/>
      <c r="H30" s="482"/>
      <c r="I30" s="482"/>
      <c r="J30" s="482"/>
      <c r="K30" s="482"/>
      <c r="L30" s="482"/>
      <c r="M30" s="482"/>
      <c r="N30" s="483"/>
      <c r="O30" s="756" t="s">
        <v>227</v>
      </c>
      <c r="P30" s="482"/>
      <c r="Q30" s="482"/>
      <c r="R30" s="482"/>
      <c r="S30" s="482"/>
      <c r="T30" s="482"/>
      <c r="U30" s="482"/>
      <c r="V30" s="482"/>
      <c r="W30" s="482"/>
      <c r="X30" s="483"/>
      <c r="Y30" s="757"/>
      <c r="Z30" s="758"/>
      <c r="AA30" s="758"/>
      <c r="AB30" s="759"/>
      <c r="AC30" s="554"/>
      <c r="AD30" s="555"/>
      <c r="AE30" s="556"/>
      <c r="AF30" s="753">
        <f t="shared" si="0"/>
        <v>0</v>
      </c>
      <c r="AG30" s="754"/>
      <c r="AH30" s="754"/>
      <c r="AI30" s="754"/>
      <c r="AJ30" s="755"/>
      <c r="AK30" s="62">
        <f t="shared" si="1"/>
        <v>0</v>
      </c>
      <c r="AL30" s="62">
        <f t="shared" si="2"/>
        <v>0</v>
      </c>
      <c r="AM30" s="45"/>
      <c r="AP30" s="1" t="s">
        <v>240</v>
      </c>
      <c r="AS30" s="1" t="b">
        <f t="shared" si="3"/>
        <v>0</v>
      </c>
      <c r="AT30" s="1" t="b">
        <f t="shared" si="4"/>
        <v>0</v>
      </c>
      <c r="AU30" s="1" t="b">
        <f t="shared" si="5"/>
        <v>0</v>
      </c>
    </row>
    <row r="31" spans="2:47" ht="15" customHeight="1" x14ac:dyDescent="0.2">
      <c r="B31" s="40"/>
      <c r="D31" s="69"/>
      <c r="E31" s="756" t="s">
        <v>228</v>
      </c>
      <c r="F31" s="482"/>
      <c r="G31" s="482"/>
      <c r="H31" s="482"/>
      <c r="I31" s="482"/>
      <c r="J31" s="482"/>
      <c r="K31" s="482"/>
      <c r="L31" s="482"/>
      <c r="M31" s="482"/>
      <c r="N31" s="483"/>
      <c r="O31" s="756" t="s">
        <v>227</v>
      </c>
      <c r="P31" s="482"/>
      <c r="Q31" s="482"/>
      <c r="R31" s="482"/>
      <c r="S31" s="482"/>
      <c r="T31" s="482"/>
      <c r="U31" s="482"/>
      <c r="V31" s="482"/>
      <c r="W31" s="482"/>
      <c r="X31" s="483"/>
      <c r="Y31" s="757"/>
      <c r="Z31" s="758"/>
      <c r="AA31" s="758"/>
      <c r="AB31" s="759"/>
      <c r="AC31" s="554"/>
      <c r="AD31" s="555"/>
      <c r="AE31" s="556"/>
      <c r="AF31" s="753">
        <f t="shared" si="0"/>
        <v>0</v>
      </c>
      <c r="AG31" s="754"/>
      <c r="AH31" s="754"/>
      <c r="AI31" s="754"/>
      <c r="AJ31" s="755"/>
      <c r="AK31" s="62">
        <f t="shared" si="1"/>
        <v>0</v>
      </c>
      <c r="AL31" s="62">
        <f t="shared" si="2"/>
        <v>0</v>
      </c>
      <c r="AM31" s="45"/>
      <c r="AS31" s="1" t="b">
        <f t="shared" si="3"/>
        <v>0</v>
      </c>
      <c r="AT31" s="1" t="b">
        <f t="shared" si="4"/>
        <v>0</v>
      </c>
      <c r="AU31" s="1" t="b">
        <f t="shared" si="5"/>
        <v>0</v>
      </c>
    </row>
    <row r="32" spans="2:47" ht="15" customHeight="1" x14ac:dyDescent="0.2">
      <c r="B32" s="40"/>
      <c r="D32" s="69"/>
      <c r="E32" s="756" t="s">
        <v>228</v>
      </c>
      <c r="F32" s="482"/>
      <c r="G32" s="482"/>
      <c r="H32" s="482"/>
      <c r="I32" s="482"/>
      <c r="J32" s="482"/>
      <c r="K32" s="482"/>
      <c r="L32" s="482"/>
      <c r="M32" s="482"/>
      <c r="N32" s="483"/>
      <c r="O32" s="756" t="s">
        <v>227</v>
      </c>
      <c r="P32" s="482"/>
      <c r="Q32" s="482"/>
      <c r="R32" s="482"/>
      <c r="S32" s="482"/>
      <c r="T32" s="482"/>
      <c r="U32" s="482"/>
      <c r="V32" s="482"/>
      <c r="W32" s="482"/>
      <c r="X32" s="483"/>
      <c r="Y32" s="757"/>
      <c r="Z32" s="758"/>
      <c r="AA32" s="758"/>
      <c r="AB32" s="759"/>
      <c r="AC32" s="554"/>
      <c r="AD32" s="555"/>
      <c r="AE32" s="556"/>
      <c r="AF32" s="753">
        <f t="shared" si="0"/>
        <v>0</v>
      </c>
      <c r="AG32" s="754"/>
      <c r="AH32" s="754"/>
      <c r="AI32" s="754"/>
      <c r="AJ32" s="755"/>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52" t="str">
        <f>IF(AS36=TRUE,"                    ERROR - Incomplete claim form
                    Expenses will not be processed unless all sections complete","")</f>
        <v/>
      </c>
      <c r="E34" s="752"/>
      <c r="F34" s="752"/>
      <c r="G34" s="752"/>
      <c r="H34" s="752"/>
      <c r="I34" s="752"/>
      <c r="J34" s="752"/>
      <c r="K34" s="752"/>
      <c r="L34" s="752"/>
      <c r="M34" s="752"/>
      <c r="N34" s="752"/>
      <c r="O34" s="752"/>
      <c r="P34" s="752"/>
      <c r="Q34" s="752"/>
      <c r="R34" s="752"/>
      <c r="S34" s="752"/>
      <c r="T34" s="752"/>
      <c r="U34" s="752"/>
      <c r="V34" s="752"/>
      <c r="W34" s="752"/>
      <c r="Y34" s="484" t="s">
        <v>241</v>
      </c>
      <c r="Z34" s="485"/>
      <c r="AA34" s="485"/>
      <c r="AB34" s="485"/>
      <c r="AC34" s="485"/>
      <c r="AD34" s="485"/>
      <c r="AE34" s="492"/>
      <c r="AF34" s="551">
        <f>SUM(AK19:AK32)</f>
        <v>0</v>
      </c>
      <c r="AG34" s="552"/>
      <c r="AH34" s="552"/>
      <c r="AI34" s="552"/>
      <c r="AJ34" s="553"/>
      <c r="AM34" s="41"/>
    </row>
    <row r="35" spans="2:45" ht="4.5" customHeight="1" x14ac:dyDescent="0.2">
      <c r="B35" s="40"/>
      <c r="D35" s="752"/>
      <c r="E35" s="752"/>
      <c r="F35" s="752"/>
      <c r="G35" s="752"/>
      <c r="H35" s="752"/>
      <c r="I35" s="752"/>
      <c r="J35" s="752"/>
      <c r="K35" s="752"/>
      <c r="L35" s="752"/>
      <c r="M35" s="752"/>
      <c r="N35" s="752"/>
      <c r="O35" s="752"/>
      <c r="P35" s="752"/>
      <c r="Q35" s="752"/>
      <c r="R35" s="752"/>
      <c r="S35" s="752"/>
      <c r="T35" s="752"/>
      <c r="U35" s="752"/>
      <c r="V35" s="752"/>
      <c r="W35" s="752"/>
      <c r="Y35" s="3"/>
      <c r="Z35" s="3"/>
      <c r="AA35" s="3"/>
      <c r="AB35" s="3"/>
      <c r="AC35" s="3"/>
      <c r="AD35" s="3"/>
      <c r="AE35" s="3"/>
      <c r="AK35" s="34"/>
      <c r="AL35" s="64"/>
      <c r="AM35" s="65"/>
      <c r="AN35" s="64"/>
    </row>
    <row r="36" spans="2:45" x14ac:dyDescent="0.2">
      <c r="B36" s="40"/>
      <c r="D36" s="752"/>
      <c r="E36" s="752"/>
      <c r="F36" s="752"/>
      <c r="G36" s="752"/>
      <c r="H36" s="752"/>
      <c r="I36" s="752"/>
      <c r="J36" s="752"/>
      <c r="K36" s="752"/>
      <c r="L36" s="752"/>
      <c r="M36" s="752"/>
      <c r="N36" s="752"/>
      <c r="O36" s="752"/>
      <c r="P36" s="752"/>
      <c r="Q36" s="752"/>
      <c r="R36" s="752"/>
      <c r="S36" s="752"/>
      <c r="T36" s="752"/>
      <c r="U36" s="752"/>
      <c r="V36" s="752"/>
      <c r="W36" s="752"/>
      <c r="Y36" s="484" t="s">
        <v>242</v>
      </c>
      <c r="Z36" s="485"/>
      <c r="AA36" s="485"/>
      <c r="AB36" s="485"/>
      <c r="AC36" s="485"/>
      <c r="AD36" s="485"/>
      <c r="AE36" s="492"/>
      <c r="AF36" s="551">
        <f>SUM(AL19:AL32)</f>
        <v>0</v>
      </c>
      <c r="AG36" s="457"/>
      <c r="AH36" s="457"/>
      <c r="AI36" s="457"/>
      <c r="AJ36" s="452"/>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65" t="s">
        <v>243</v>
      </c>
      <c r="C38" s="766"/>
      <c r="D38" s="766"/>
      <c r="E38" s="766"/>
      <c r="F38" s="766"/>
      <c r="G38" s="766"/>
      <c r="H38" s="766"/>
      <c r="I38" s="766"/>
      <c r="J38" s="766"/>
      <c r="K38" s="766"/>
      <c r="L38" s="766"/>
      <c r="M38" s="766"/>
      <c r="N38" s="766"/>
      <c r="O38" s="766"/>
      <c r="P38" s="766"/>
      <c r="Q38" s="766"/>
      <c r="R38" s="766"/>
      <c r="S38" s="766"/>
      <c r="T38" s="766"/>
      <c r="U38" s="766"/>
      <c r="V38" s="766"/>
      <c r="W38" s="766"/>
      <c r="X38" s="766"/>
      <c r="Y38" s="766"/>
      <c r="Z38" s="766"/>
      <c r="AA38" s="766"/>
      <c r="AB38" s="766"/>
      <c r="AC38" s="766"/>
      <c r="AD38" s="766"/>
      <c r="AE38" s="766"/>
      <c r="AF38" s="766"/>
      <c r="AG38" s="766"/>
      <c r="AH38" s="766"/>
      <c r="AI38" s="766"/>
      <c r="AJ38" s="766"/>
      <c r="AK38" s="766"/>
      <c r="AL38" s="766"/>
      <c r="AM38" s="767"/>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O31:X31"/>
    <mergeCell ref="O26:X26"/>
    <mergeCell ref="O27:X27"/>
    <mergeCell ref="O28:X28"/>
    <mergeCell ref="O29:X29"/>
    <mergeCell ref="O30:X30"/>
    <mergeCell ref="AC29:AE29"/>
    <mergeCell ref="AC19:AE19"/>
    <mergeCell ref="AC20:AE20"/>
    <mergeCell ref="AC21:AE21"/>
    <mergeCell ref="AC22:AE22"/>
    <mergeCell ref="AC23:AE23"/>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F26:AJ26"/>
    <mergeCell ref="AF27:AJ27"/>
    <mergeCell ref="AF28:AJ28"/>
    <mergeCell ref="AF29:AJ29"/>
    <mergeCell ref="AF30:AJ30"/>
    <mergeCell ref="D34:W36"/>
    <mergeCell ref="AF32:AJ32"/>
    <mergeCell ref="Y34:AE34"/>
    <mergeCell ref="Y36:AE36"/>
    <mergeCell ref="AF34:AJ34"/>
    <mergeCell ref="AF36:AJ36"/>
    <mergeCell ref="E32:N32"/>
    <mergeCell ref="Y32:AB32"/>
    <mergeCell ref="O32:X32"/>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244</v>
      </c>
      <c r="D2" s="284"/>
      <c r="E2" s="285"/>
      <c r="F2" s="286"/>
      <c r="G2" s="286"/>
      <c r="H2" s="287"/>
      <c r="I2" s="288"/>
    </row>
    <row r="3" spans="1:20" ht="17.25" customHeight="1" x14ac:dyDescent="0.2">
      <c r="A3" s="282"/>
      <c r="B3" s="283"/>
      <c r="C3" s="321" t="s">
        <v>245</v>
      </c>
      <c r="D3" s="320"/>
      <c r="E3"/>
      <c r="F3" s="1"/>
      <c r="G3" s="1"/>
      <c r="H3" s="287"/>
      <c r="I3" s="288"/>
    </row>
    <row r="4" spans="1:20" ht="15" customHeight="1" x14ac:dyDescent="0.2">
      <c r="A4" s="282"/>
      <c r="B4" s="289"/>
      <c r="C4" s="484" t="s">
        <v>246</v>
      </c>
      <c r="D4" s="49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84" t="s">
        <v>247</v>
      </c>
      <c r="D6" s="492"/>
      <c r="E6" s="554"/>
      <c r="F6" s="555"/>
      <c r="G6" s="556"/>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248</v>
      </c>
      <c r="E8" s="773"/>
      <c r="F8" s="774"/>
      <c r="G8" s="279" t="s">
        <v>249</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250</v>
      </c>
      <c r="E10" s="773"/>
      <c r="F10" s="774"/>
      <c r="G10" s="279" t="s">
        <v>249</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251</v>
      </c>
      <c r="E12" s="773"/>
      <c r="F12" s="774"/>
      <c r="G12" s="279" t="s">
        <v>249</v>
      </c>
      <c r="H12" s="290"/>
      <c r="I12" s="288"/>
    </row>
    <row r="13" spans="1:20" ht="4.5" customHeight="1" x14ac:dyDescent="0.2">
      <c r="A13" s="282"/>
      <c r="B13" s="289"/>
      <c r="C13" s="1"/>
      <c r="D13" s="301"/>
      <c r="E13" s="301"/>
      <c r="F13" s="301"/>
      <c r="G13" s="297"/>
      <c r="H13" s="290"/>
      <c r="I13" s="288"/>
    </row>
    <row r="14" spans="1:20" x14ac:dyDescent="0.2">
      <c r="A14" s="282"/>
      <c r="B14" s="289"/>
      <c r="C14" s="775" t="s">
        <v>252</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253</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254</v>
      </c>
    </row>
    <row r="10" spans="1:17" ht="15" customHeight="1" x14ac:dyDescent="0.2">
      <c r="C10" s="53" t="s">
        <v>19</v>
      </c>
      <c r="D10" s="429" t="s">
        <v>255</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256</v>
      </c>
      <c r="E12" s="429"/>
      <c r="F12" s="429"/>
      <c r="G12" s="429"/>
      <c r="H12" s="429"/>
      <c r="I12" s="429"/>
      <c r="J12" s="429"/>
      <c r="K12" s="429"/>
      <c r="L12" s="429"/>
      <c r="M12" s="429"/>
      <c r="N12" s="429"/>
      <c r="O12" s="429"/>
      <c r="P12" s="429"/>
      <c r="Q12" s="429"/>
    </row>
    <row r="13" spans="1:17" x14ac:dyDescent="0.2">
      <c r="B13" s="53" t="s">
        <v>19</v>
      </c>
      <c r="C13" s="1" t="s">
        <v>257</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258</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259</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260</v>
      </c>
    </row>
    <row r="20" spans="1:17" ht="15" customHeight="1" x14ac:dyDescent="0.2">
      <c r="C20" s="53" t="s">
        <v>19</v>
      </c>
      <c r="D20" s="429" t="s">
        <v>261</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262</v>
      </c>
    </row>
    <row r="41" spans="1:18" x14ac:dyDescent="0.2">
      <c r="A41" s="53"/>
      <c r="B41" s="53" t="s">
        <v>19</v>
      </c>
      <c r="C41" s="1" t="s">
        <v>49</v>
      </c>
    </row>
    <row r="42" spans="1:18" ht="15" customHeight="1" x14ac:dyDescent="0.2">
      <c r="A42" s="53"/>
      <c r="B42" s="53"/>
      <c r="C42" s="53" t="s">
        <v>19</v>
      </c>
      <c r="D42" s="429" t="s">
        <v>263</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817</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Y9bn8tVFLhoC3wWI1zkUfAKxH/22j4z/eF0Xw85ZEeXyg5pOtCrg/snT+fwbJeJz3FT2fa46uumDmk65l4sLQw==" saltValue="v1Zz4Ro0MLHREmHG7HtMBQ=="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264</v>
      </c>
      <c r="C2" s="346"/>
      <c r="D2" s="346"/>
      <c r="E2" s="346"/>
      <c r="F2" s="346"/>
    </row>
    <row r="3" spans="2:6" ht="9" customHeight="1" x14ac:dyDescent="0.2">
      <c r="B3" s="80"/>
    </row>
    <row r="4" spans="2:6" ht="24" customHeight="1" x14ac:dyDescent="0.2">
      <c r="B4" s="784" t="s">
        <v>265</v>
      </c>
      <c r="C4" s="784"/>
      <c r="D4" s="784"/>
      <c r="E4" s="784"/>
      <c r="F4" s="784"/>
    </row>
    <row r="5" spans="2:6" ht="16" thickBot="1" x14ac:dyDescent="0.25">
      <c r="B5" s="186"/>
    </row>
    <row r="6" spans="2:6" ht="43.5" customHeight="1" x14ac:dyDescent="0.2">
      <c r="B6" s="785" t="s">
        <v>266</v>
      </c>
      <c r="C6" s="785" t="s">
        <v>267</v>
      </c>
      <c r="D6" s="344" t="s">
        <v>268</v>
      </c>
      <c r="E6" s="785" t="s">
        <v>818</v>
      </c>
      <c r="F6" s="785" t="s">
        <v>269</v>
      </c>
    </row>
    <row r="7" spans="2:6" ht="23.25" customHeight="1" thickBot="1" x14ac:dyDescent="0.25">
      <c r="B7" s="786"/>
      <c r="C7" s="786"/>
      <c r="D7" s="345" t="s">
        <v>270</v>
      </c>
      <c r="E7" s="786"/>
      <c r="F7" s="786"/>
    </row>
    <row r="8" spans="2:6" ht="24.75" customHeight="1" thickBot="1" x14ac:dyDescent="0.25">
      <c r="B8" s="420" t="s">
        <v>271</v>
      </c>
      <c r="C8" s="781" t="s">
        <v>272</v>
      </c>
      <c r="D8" s="421">
        <v>44257</v>
      </c>
      <c r="E8" s="421">
        <v>44264</v>
      </c>
      <c r="F8" s="421">
        <v>44286</v>
      </c>
    </row>
    <row r="9" spans="2:6" ht="24.75" customHeight="1" thickBot="1" x14ac:dyDescent="0.25">
      <c r="B9" s="422" t="s">
        <v>273</v>
      </c>
      <c r="C9" s="782"/>
      <c r="D9" s="423">
        <v>44289</v>
      </c>
      <c r="E9" s="424">
        <v>44301</v>
      </c>
      <c r="F9" s="424">
        <v>44316</v>
      </c>
    </row>
    <row r="10" spans="2:6" ht="24.75" customHeight="1" thickBot="1" x14ac:dyDescent="0.25">
      <c r="B10" s="364" t="s">
        <v>274</v>
      </c>
      <c r="C10" s="782"/>
      <c r="D10" s="425">
        <v>44319</v>
      </c>
      <c r="E10" s="426">
        <v>44328</v>
      </c>
      <c r="F10" s="426">
        <v>44344</v>
      </c>
    </row>
    <row r="11" spans="2:6" ht="24.75" customHeight="1" thickBot="1" x14ac:dyDescent="0.25">
      <c r="B11" s="422" t="s">
        <v>275</v>
      </c>
      <c r="C11" s="782"/>
      <c r="D11" s="423">
        <v>44351</v>
      </c>
      <c r="E11" s="424">
        <v>44356</v>
      </c>
      <c r="F11" s="424">
        <v>44377</v>
      </c>
    </row>
    <row r="12" spans="2:6" ht="24.75" customHeight="1" thickBot="1" x14ac:dyDescent="0.25">
      <c r="B12" s="364" t="s">
        <v>276</v>
      </c>
      <c r="C12" s="782"/>
      <c r="D12" s="425">
        <v>44381</v>
      </c>
      <c r="E12" s="426">
        <v>44386</v>
      </c>
      <c r="F12" s="426">
        <v>44407</v>
      </c>
    </row>
    <row r="13" spans="2:6" ht="24.75" customHeight="1" thickBot="1" x14ac:dyDescent="0.25">
      <c r="B13" s="422" t="s">
        <v>277</v>
      </c>
      <c r="C13" s="782"/>
      <c r="D13" s="423">
        <v>44410</v>
      </c>
      <c r="E13" s="424">
        <v>44416</v>
      </c>
      <c r="F13" s="424">
        <v>44439</v>
      </c>
    </row>
    <row r="14" spans="2:6" ht="24.75" customHeight="1" thickBot="1" x14ac:dyDescent="0.25">
      <c r="B14" s="364" t="s">
        <v>278</v>
      </c>
      <c r="C14" s="782"/>
      <c r="D14" s="425">
        <v>44441</v>
      </c>
      <c r="E14" s="426">
        <v>44448</v>
      </c>
      <c r="F14" s="426">
        <v>44469</v>
      </c>
    </row>
    <row r="15" spans="2:6" ht="24.75" customHeight="1" thickBot="1" x14ac:dyDescent="0.25">
      <c r="B15" s="422" t="s">
        <v>279</v>
      </c>
      <c r="C15" s="782"/>
      <c r="D15" s="423">
        <v>44472</v>
      </c>
      <c r="E15" s="424">
        <v>44480</v>
      </c>
      <c r="F15" s="424">
        <v>44498</v>
      </c>
    </row>
    <row r="16" spans="2:6" ht="24.75" customHeight="1" thickBot="1" x14ac:dyDescent="0.25">
      <c r="B16" s="364" t="s">
        <v>280</v>
      </c>
      <c r="C16" s="782"/>
      <c r="D16" s="425">
        <v>44504</v>
      </c>
      <c r="E16" s="426">
        <v>44509</v>
      </c>
      <c r="F16" s="426">
        <v>44530</v>
      </c>
    </row>
    <row r="17" spans="2:6" ht="24.75" customHeight="1" thickBot="1" x14ac:dyDescent="0.25">
      <c r="B17" s="422" t="s">
        <v>281</v>
      </c>
      <c r="C17" s="782"/>
      <c r="D17" s="423">
        <v>44532</v>
      </c>
      <c r="E17" s="424">
        <v>44538</v>
      </c>
      <c r="F17" s="424">
        <v>44552</v>
      </c>
    </row>
    <row r="18" spans="2:6" ht="24.75" customHeight="1" thickBot="1" x14ac:dyDescent="0.25">
      <c r="B18" s="364" t="s">
        <v>282</v>
      </c>
      <c r="C18" s="782"/>
      <c r="D18" s="425">
        <v>44567</v>
      </c>
      <c r="E18" s="426">
        <v>44572</v>
      </c>
      <c r="F18" s="426">
        <v>44592</v>
      </c>
    </row>
    <row r="19" spans="2:6" ht="24.75" customHeight="1" thickBot="1" x14ac:dyDescent="0.25">
      <c r="B19" s="422" t="s">
        <v>283</v>
      </c>
      <c r="C19" s="782"/>
      <c r="D19" s="423">
        <v>44596</v>
      </c>
      <c r="E19" s="424">
        <v>44601</v>
      </c>
      <c r="F19" s="424">
        <v>44620</v>
      </c>
    </row>
    <row r="20" spans="2:6" ht="24.75" customHeight="1" thickBot="1" x14ac:dyDescent="0.25">
      <c r="B20" s="364" t="s">
        <v>284</v>
      </c>
      <c r="C20" s="783"/>
      <c r="D20" s="425">
        <v>44623</v>
      </c>
      <c r="E20" s="426">
        <v>44629</v>
      </c>
      <c r="F20" s="426">
        <v>44651</v>
      </c>
    </row>
    <row r="21" spans="2:6" ht="24.75" customHeight="1" x14ac:dyDescent="0.2">
      <c r="B21" s="363"/>
      <c r="C21" s="365"/>
      <c r="D21" s="366"/>
      <c r="E21" s="366"/>
      <c r="F21" s="366"/>
    </row>
    <row r="22" spans="2:6" ht="24.75" customHeight="1" x14ac:dyDescent="0.2">
      <c r="B22" s="343" t="s">
        <v>285</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ov/7vdFq2RlEnk1bhKd7Sq1t/fh2huHMq1PV3ao7GuI/RNNieo5jYPbyqWk4HV++h3HJTGQbAdqbsixUhBc6JA==" saltValue="FG0VLAk9OwDUkjLWliqfA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286</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287</v>
      </c>
      <c r="X1" s="358"/>
      <c r="Y1" s="787">
        <f>SUM(H3:AL3)</f>
        <v>127.42</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108.8</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0</v>
      </c>
      <c r="AC3" s="9"/>
      <c r="AD3" s="9">
        <f>SUM(AD4:AD99)</f>
        <v>0</v>
      </c>
      <c r="AE3" s="9"/>
      <c r="AF3" s="9">
        <f>SUM(AF4:AF99)</f>
        <v>0</v>
      </c>
      <c r="AG3" s="9"/>
      <c r="AH3" s="9">
        <f>SUM(AH4:AH99)</f>
        <v>0</v>
      </c>
      <c r="AI3" s="9"/>
      <c r="AJ3" s="9">
        <f>SUM(AJ4:AJ99)</f>
        <v>18.62</v>
      </c>
      <c r="AK3" s="9">
        <f>SUM(AK4:AK99)</f>
        <v>0</v>
      </c>
      <c r="AL3" s="9">
        <f>SUM(AL4:AL99)</f>
        <v>0</v>
      </c>
    </row>
    <row r="4" spans="1:38" hidden="1" x14ac:dyDescent="0.2">
      <c r="H4" s="9">
        <f>ROUND(IFERROR(H104*I104,0),2)</f>
        <v>40.799999999999997</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0</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40.799999999999997</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0</v>
      </c>
      <c r="AK5" s="16">
        <f t="shared" si="0"/>
        <v>0</v>
      </c>
      <c r="AL5" s="16">
        <f t="shared" ref="AL5" si="15">IFERROR(AL105*1,0)</f>
        <v>0</v>
      </c>
    </row>
    <row r="6" spans="1:38" hidden="1" x14ac:dyDescent="0.2">
      <c r="H6" s="9">
        <f t="shared" si="2"/>
        <v>27.2</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0</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18.62</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288</v>
      </c>
      <c r="B101" s="270"/>
      <c r="C101" s="270"/>
      <c r="D101" s="270"/>
      <c r="E101" s="270"/>
      <c r="F101" s="270"/>
      <c r="G101" s="270"/>
      <c r="H101" s="270"/>
      <c r="I101" s="270"/>
      <c r="J101" s="270"/>
      <c r="K101" s="270"/>
    </row>
    <row r="102" spans="1:38" x14ac:dyDescent="0.2">
      <c r="A102" s="270" t="s">
        <v>289</v>
      </c>
      <c r="B102" s="270"/>
      <c r="C102" s="270"/>
      <c r="D102" s="270" t="s">
        <v>290</v>
      </c>
      <c r="E102" s="270" t="s">
        <v>173</v>
      </c>
      <c r="F102" s="270" t="s">
        <v>174</v>
      </c>
      <c r="G102" s="270" t="s">
        <v>175</v>
      </c>
      <c r="H102" s="270" t="s">
        <v>176</v>
      </c>
      <c r="I102" s="270" t="s">
        <v>177</v>
      </c>
      <c r="J102" s="270" t="s">
        <v>178</v>
      </c>
      <c r="K102" s="270" t="s">
        <v>179</v>
      </c>
      <c r="L102" s="270" t="s">
        <v>180</v>
      </c>
      <c r="M102" s="270" t="s">
        <v>181</v>
      </c>
      <c r="N102" s="270" t="s">
        <v>182</v>
      </c>
      <c r="O102" s="270" t="s">
        <v>183</v>
      </c>
      <c r="P102" s="270" t="s">
        <v>184</v>
      </c>
      <c r="Q102" s="270" t="s">
        <v>185</v>
      </c>
      <c r="R102" s="270" t="s">
        <v>186</v>
      </c>
      <c r="S102" s="270" t="s">
        <v>187</v>
      </c>
      <c r="T102" s="270" t="s">
        <v>188</v>
      </c>
      <c r="U102" s="270" t="s">
        <v>189</v>
      </c>
      <c r="V102" s="270" t="s">
        <v>190</v>
      </c>
      <c r="W102" s="270" t="s">
        <v>191</v>
      </c>
      <c r="X102" s="270" t="s">
        <v>192</v>
      </c>
      <c r="Y102" s="270" t="s">
        <v>193</v>
      </c>
      <c r="Z102" s="270" t="s">
        <v>194</v>
      </c>
      <c r="AA102" s="270" t="s">
        <v>195</v>
      </c>
      <c r="AB102" s="270" t="s">
        <v>196</v>
      </c>
      <c r="AC102" s="270" t="s">
        <v>197</v>
      </c>
      <c r="AD102" s="270" t="s">
        <v>198</v>
      </c>
      <c r="AE102" s="270" t="s">
        <v>199</v>
      </c>
      <c r="AF102" s="270" t="s">
        <v>200</v>
      </c>
      <c r="AG102" s="270" t="s">
        <v>201</v>
      </c>
      <c r="AH102" s="270" t="s">
        <v>202</v>
      </c>
      <c r="AI102" s="270" t="s">
        <v>203</v>
      </c>
      <c r="AJ102" s="270" t="s">
        <v>206</v>
      </c>
      <c r="AK102" s="270" t="s">
        <v>207</v>
      </c>
      <c r="AL102" s="270" t="s">
        <v>208</v>
      </c>
    </row>
    <row r="103" spans="1:38" s="326" customFormat="1" x14ac:dyDescent="0.2">
      <c r="A103" s="325" t="s">
        <v>291</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Georgios</v>
      </c>
      <c r="C104" s="16" t="str">
        <f>IF(E104="","",'UniWorkforce Hourly Timesheet'!$Z$3)</f>
        <v>Giamouridis</v>
      </c>
      <c r="D104" s="16" t="str">
        <f>IF(E104="","",'UniWorkforce Hourly Timesheet'!$Y$111)</f>
        <v>0000-DEMO</v>
      </c>
      <c r="E104" s="16" t="str">
        <f>'UniWorkforce Hourly Timesheet'!AY377</f>
        <v>07/02/2022</v>
      </c>
      <c r="F104" s="16" t="str">
        <f>'UniWorkforce Hourly Timesheet'!AZ377</f>
        <v>09/02/2022</v>
      </c>
      <c r="G104" s="16" t="str">
        <f>'UniWorkforce Hourly Timesheet'!BA377</f>
        <v>000000009</v>
      </c>
      <c r="H104" s="16" t="str">
        <f>'UniWorkforce Hourly Timesheet'!BB377</f>
        <v>3.0000</v>
      </c>
      <c r="I104" s="16" t="str">
        <f>'UniWorkforce Hourly Timesheet'!BC377</f>
        <v>13.60</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
      </c>
      <c r="AC104" s="16" t="str">
        <f>'UniWorkforce Hourly Timesheet'!BW377</f>
        <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Georgios</v>
      </c>
      <c r="C105" s="16" t="str">
        <f>IF(E105="","",'UniWorkforce Hourly Timesheet'!$Z$3)</f>
        <v>Giamouridis</v>
      </c>
      <c r="D105" s="16" t="str">
        <f>IF(E105="","",'UniWorkforce Hourly Timesheet'!$Y$111)</f>
        <v>0000-DEMO</v>
      </c>
      <c r="E105" s="16" t="str">
        <f>'UniWorkforce Hourly Timesheet'!AY378</f>
        <v>14/02/2022</v>
      </c>
      <c r="F105" s="16" t="str">
        <f>'UniWorkforce Hourly Timesheet'!AZ378</f>
        <v>16/02/2022</v>
      </c>
      <c r="G105" s="16" t="str">
        <f>'UniWorkforce Hourly Timesheet'!BA378</f>
        <v>000000009</v>
      </c>
      <c r="H105" s="16" t="str">
        <f>'UniWorkforce Hourly Timesheet'!BB378</f>
        <v>3.0000</v>
      </c>
      <c r="I105" s="16" t="str">
        <f>'UniWorkforce Hourly Timesheet'!BC378</f>
        <v>13.60</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
      </c>
      <c r="AK105" s="16" t="str">
        <f>'UniWorkforce Hourly Timesheet'!CI378</f>
        <v/>
      </c>
      <c r="AL105" s="16" t="str">
        <f>'UniWorkforce Hourly Timesheet'!CJ378</f>
        <v/>
      </c>
    </row>
    <row r="106" spans="1:38" x14ac:dyDescent="0.2">
      <c r="A106" s="16" t="str">
        <f>IF(AND(E105="",E106=""),"",IF(E106="","&lt;EOD&gt;",TEXT('UniWorkforce Hourly Timesheet'!$Z$5,"0000000")))</f>
        <v>2915413</v>
      </c>
      <c r="B106" s="16" t="str">
        <f>IF(E106="","",'UniWorkforce Hourly Timesheet'!$E$3)</f>
        <v>Georgios</v>
      </c>
      <c r="C106" s="16" t="str">
        <f>IF(E106="","",'UniWorkforce Hourly Timesheet'!$Z$3)</f>
        <v>Giamouridis</v>
      </c>
      <c r="D106" s="16" t="str">
        <f>IF(E106="","",'UniWorkforce Hourly Timesheet'!$Y$111)</f>
        <v>0000-DEMO</v>
      </c>
      <c r="E106" s="16" t="str">
        <f>'UniWorkforce Hourly Timesheet'!AY379</f>
        <v>21/02/2022</v>
      </c>
      <c r="F106" s="16" t="str">
        <f>'UniWorkforce Hourly Timesheet'!AZ379</f>
        <v>23/02/2022</v>
      </c>
      <c r="G106" s="16" t="str">
        <f>'UniWorkforce Hourly Timesheet'!BA379</f>
        <v>000000009</v>
      </c>
      <c r="H106" s="16" t="str">
        <f>'UniWorkforce Hourly Timesheet'!BB379</f>
        <v>2.0000</v>
      </c>
      <c r="I106" s="16" t="str">
        <f>'UniWorkforce Hourly Timesheet'!BC379</f>
        <v>13.60</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
      </c>
      <c r="AK106" s="16" t="str">
        <f>'UniWorkforce Hourly Timesheet'!CI379</f>
        <v/>
      </c>
      <c r="AL106" s="16" t="str">
        <f>'UniWorkforce Hourly Timesheet'!CJ379</f>
        <v/>
      </c>
    </row>
    <row r="107" spans="1:38" x14ac:dyDescent="0.2">
      <c r="A107" s="16" t="str">
        <f>IF(AND(E106="",E107=""),"",IF(E107="","&lt;EOD&gt;",TEXT('UniWorkforce Hourly Timesheet'!$Z$5,"0000000")))</f>
        <v>2915413</v>
      </c>
      <c r="B107" s="16" t="str">
        <f>IF(E107="","",'UniWorkforce Hourly Timesheet'!$E$3)</f>
        <v>Georgios</v>
      </c>
      <c r="C107" s="16" t="str">
        <f>IF(E107="","",'UniWorkforce Hourly Timesheet'!$Z$3)</f>
        <v>Giamouridis</v>
      </c>
      <c r="D107" s="16" t="str">
        <f>IF(E107="","",'UniWorkforce Hourly Timesheet'!$Y$111)</f>
        <v>0000-DEMO</v>
      </c>
      <c r="E107" s="16" t="str">
        <f>'UniWorkforce Hourly Timesheet'!AY380</f>
        <v>07/02/2022</v>
      </c>
      <c r="F107" s="16" t="str">
        <f>'UniWorkforce Hourly Timesheet'!AZ380</f>
        <v>23/02/2022</v>
      </c>
      <c r="G107" s="16" t="str">
        <f>'UniWorkforce Hourly Timesheet'!BA380</f>
        <v>000000009</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18.62</v>
      </c>
      <c r="AK107" s="16" t="str">
        <f>'UniWorkforce Hourly Timesheet'!CI380</f>
        <v/>
      </c>
      <c r="AL107" s="16" t="str">
        <f>'UniWorkforce Hourly Timesheet'!CJ380</f>
        <v/>
      </c>
    </row>
    <row r="108" spans="1:38" x14ac:dyDescent="0.2">
      <c r="A108" s="16" t="str">
        <f>IF(AND(E107="",E108=""),"",IF(E108="","&lt;EOD&gt;",TEXT('UniWorkforce Hourly Timesheet'!$Z$5,"0000000")))</f>
        <v>&lt;EOD&gt;</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2BFE31-84C9-4ABA-9275-5EE9185C8243}">
  <ds:schemaRefs>
    <ds:schemaRef ds:uri="http://schemas.microsoft.com/sharepoint/events"/>
  </ds:schemaRefs>
</ds:datastoreItem>
</file>

<file path=customXml/itemProps2.xml><?xml version="1.0" encoding="utf-8"?>
<ds:datastoreItem xmlns:ds="http://schemas.openxmlformats.org/officeDocument/2006/customXml" ds:itemID="{0A9C0C66-3418-4D41-BF68-E9B689FCA7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43C41E-4833-483E-BC5C-100F4554B71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47049e72-2a7e-4ca5-865c-acf3f6bb3458"/>
    <ds:schemaRef ds:uri="http://schemas.openxmlformats.org/package/2006/metadata/core-properties"/>
    <ds:schemaRef ds:uri="http://www.w3.org/XML/1998/namespace"/>
    <ds:schemaRef ds:uri="http://schemas.microsoft.com/sharepoint/v3"/>
    <ds:schemaRef ds:uri="http://purl.org/dc/terms/"/>
    <ds:schemaRef ds:uri="http://schemas.microsoft.com/sharepoint/v4"/>
    <ds:schemaRef ds:uri="e4a1c88d-b5eb-42cd-bda4-6fd5c079ddd5"/>
    <ds:schemaRef ds:uri="http://purl.org/dc/dcmitype/"/>
    <ds:schemaRef ds:uri="56c7aab3-81b5-44ad-ad72-57c916b76c08"/>
    <ds:schemaRef ds:uri="e269b097-0687-4382-95a6-d1187d84b2a1"/>
  </ds:schemaRefs>
</ds:datastoreItem>
</file>

<file path=customXml/itemProps4.xml><?xml version="1.0" encoding="utf-8"?>
<ds:datastoreItem xmlns:ds="http://schemas.openxmlformats.org/officeDocument/2006/customXml" ds:itemID="{900D5E54-0FFD-481F-A635-BFFBFADCB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2022-03-01T13:16:08Z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