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codeName="ThisWorkbook"/>
  <mc:AlternateContent xmlns:mc="http://schemas.openxmlformats.org/markup-compatibility/2006">
    <mc:Choice Requires="x15">
      <x15ac:absPath xmlns:x15ac="http://schemas.microsoft.com/office/spreadsheetml/2010/11/ac" url="/Users/georgegiam/Desktop/Hours Claim/mentoring/November/"/>
    </mc:Choice>
  </mc:AlternateContent>
  <xr:revisionPtr revIDLastSave="0" documentId="13_ncr:1_{2749D37E-332E-E347-AD27-5E4C4D57F8A4}" xr6:coauthVersionLast="47" xr6:coauthVersionMax="47" xr10:uidLastSave="{00000000-0000-0000-0000-000000000000}"/>
  <workbookProtection workbookAlgorithmName="SHA-512" workbookHashValue="u2ccurMm6ibDRqwMwzmiFJmEUku4dj+xN0g97IFtcl1E3/K9Mx+Ngu8YkDW+OxFpg14I6VZ+qWo+49yLh6+9xQ==" workbookSaltValue="m+WAWzHjyVvShfxoSze6WA==" workbookSpinCount="100000" lockStructure="1"/>
  <bookViews>
    <workbookView xWindow="0" yWindow="500" windowWidth="38400" windowHeight="194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01" i="1" l="1"/>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C453" i="1" s="1"/>
  <c r="AI180" i="7"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C377" i="1" l="1"/>
  <c r="I104" i="7" s="1"/>
  <c r="H4" i="7" s="1"/>
  <c r="BM384" i="1"/>
  <c r="S111" i="7" s="1"/>
  <c r="R11" i="7" s="1"/>
  <c r="BK386" i="1"/>
  <c r="Q113" i="7" s="1"/>
  <c r="CA383" i="1"/>
  <c r="AG110" i="7" s="1"/>
  <c r="CA382" i="1"/>
  <c r="AG109" i="7" s="1"/>
  <c r="BM377" i="1"/>
  <c r="S104" i="7" s="1"/>
  <c r="R4" i="7" s="1"/>
  <c r="BO389" i="1"/>
  <c r="U116" i="7" s="1"/>
  <c r="T16" i="7" s="1"/>
  <c r="CA386" i="1"/>
  <c r="AG113" i="7" s="1"/>
  <c r="AF13" i="7" s="1"/>
  <c r="BJ386" i="1"/>
  <c r="P113" i="7" s="1"/>
  <c r="BZ383" i="1"/>
  <c r="AF110" i="7" s="1"/>
  <c r="BU383" i="1"/>
  <c r="AA110" i="7" s="1"/>
  <c r="CA378" i="1"/>
  <c r="AG105" i="7" s="1"/>
  <c r="AF5" i="7" s="1"/>
  <c r="BY407" i="1"/>
  <c r="AE1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V16" i="7"/>
  <c r="P4" i="7"/>
  <c r="P58" i="7"/>
  <c r="AD15" i="7"/>
  <c r="R10" i="7"/>
  <c r="AD34" i="7"/>
  <c r="AD17" i="7"/>
  <c r="J13" i="7"/>
  <c r="Z9" i="7"/>
  <c r="AH28" i="7"/>
  <c r="AB7" i="7"/>
  <c r="AF54" i="7"/>
  <c r="AF9" i="7"/>
  <c r="N5" i="7"/>
  <c r="J5" i="7"/>
  <c r="J78" i="7"/>
  <c r="J21"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AD82" i="7" l="1"/>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<sst xmlns="http://schemas.openxmlformats.org/spreadsheetml/2006/main" count="2295" uniqueCount="822">
  <si>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</si>
  <si>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</si>
  <si>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</si>
  <si>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</si>
  <si>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</si>
  <si>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</si>
  <si>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</si>
  <si>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</si>
  <si>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</si>
  <si>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</si>
  <si>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</si>
  <si>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</si>
  <si>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</si>
  <si>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</si>
  <si>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</si>
  <si>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</si>
  <si>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</si>
  <si>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</si>
  <si>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</si>
  <si>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</si>
  <si>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</si>
  <si>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</si>
  <si>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</si>
  <si>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</si>
  <si>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</si>
  <si>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</si>
  <si>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</si>
  <si>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</si>
  <si>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</si>
  <si>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</si>
  <si>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</si>
  <si>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</si>
  <si>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</si>
  <si>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</si>
  <si>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</si>
  <si>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</si>
  <si>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</si>
  <si>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</si>
  <si>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</si>
  <si>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</si>
  <si>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</si>
  <si>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</si>
  <si>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</si>
  <si>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</si>
  <si>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</si>
  <si>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</si>
  <si>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</si>
  <si>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</si>
  <si>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</si>
  <si>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</si>
  <si>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</si>
  <si>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</si>
  <si>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</si>
  <si>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</si>
  <si>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</si>
  <si>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</si>
  <si>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</si>
  <si>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</si>
  <si>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</si>
  <si>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</si>
  <si>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</si>
  <si>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</si>
  <si>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</si>
  <si>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</si>
  <si>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</si>
  <si>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</si>
  <si>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</si>
  <si>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</si>
  <si>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</si>
  <si>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</si>
  <si>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</si>
  <si>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</si>
  <si>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</si>
  <si>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</si>
  <si>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</si>
  <si>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</si>
  <si>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</si>
  <si>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</si>
  <si>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</si>
  <si>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</si>
  <si>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</si>
  <si>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</si>
  <si>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</si>
  <si>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</si>
  <si>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</si>
  <si>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</si>
  <si>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</si>
  <si>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</si>
  <si>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</si>
  <si>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</si>
  <si>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</si>
  <si>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</si>
  <si>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</si>
  <si>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</si>
  <si>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</si>
  <si>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</si>
  <si>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</si>
  <si>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</si>
  <si>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</si>
  <si>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</si>
  <si>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</si>
  <si>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</si>
  <si>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</si>
  <si>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</si>
  <si>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</si>
  <si>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</si>
  <si>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</si>
  <si>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</si>
  <si>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</si>
  <si>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</si>
  <si>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</si>
  <si>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</si>
  <si>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</si>
  <si>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</si>
  <si>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</si>
  <si>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</si>
  <si>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</si>
  <si>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</si>
  <si>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</si>
  <si>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</si>
  <si>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</si>
  <si>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</si>
  <si>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</si>
  <si>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</si>
  <si>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</si>
  <si>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</si>
  <si>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</si>
  <si>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</si>
  <si>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</si>
  <si>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</si>
  <si>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</si>
  <si>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</si>
  <si>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</si>
  <si>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</si>
  <si>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</si>
  <si>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</si>
  <si>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</si>
  <si>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</si>
  <si>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</si>
  <si>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</si>
  <si>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</si>
  <si>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</si>
  <si>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</si>
  <si>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</si>
  <si>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</si>
  <si>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</si>
  <si>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</si>
  <si>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</si>
  <si>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</si>
  <si>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</si>
  <si>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</si>
  <si>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</si>
  <si>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</si>
  <si>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</si>
  <si>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</si>
  <si>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</si>
  <si>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</si>
  <si>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</si>
  <si>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</si>
  <si>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</si>
  <si>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</si>
  <si>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</si>
  <si>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</si>
  <si>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</si>
  <si>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</si>
  <si>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</si>
  <si>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</si>
  <si>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</si>
  <si>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</si>
  <si>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</si>
  <si>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</si>
  <si>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</si>
  <si>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</si>
  <si>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</si>
  <si>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</si>
  <si>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</si>
  <si>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</si>
  <si>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</si>
  <si>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</si>
  <si>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</si>
  <si>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</si>
  <si>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</si>
  <si>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</si>
  <si>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</si>
  <si>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</si>
  <si>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</si>
  <si>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</si>
  <si>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</si>
  <si>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</si>
  <si>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</si>
  <si>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</si>
  <si>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</si>
  <si>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</si>
  <si>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</si>
  <si>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</si>
  <si>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</si>
  <si>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</si>
  <si>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</si>
  <si>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</si>
  <si>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</si>
  <si>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</si>
  <si>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</si>
  <si>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</si>
  <si>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</si>
  <si>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</si>
  <si>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</si>
  <si>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</si>
  <si>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</si>
  <si>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</si>
  <si>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</si>
  <si>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</si>
  <si>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</si>
  <si>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</si>
  <si>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</si>
  <si>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</si>
  <si>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</si>
  <si>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</si>
  <si>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</si>
  <si>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</si>
  <si>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</si>
  <si>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</si>
  <si>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</si>
  <si>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</si>
  <si>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</si>
  <si>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</si>
  <si>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</si>
  <si>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</si>
  <si>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</si>
  <si>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</si>
  <si>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</si>
  <si>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</si>
  <si>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</si>
  <si>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</si>
  <si>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</si>
  <si>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</si>
  <si>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</si>
  <si>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</si>
  <si>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</si>
  <si>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</si>
  <si>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</si>
  <si>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</si>
  <si>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</si>
  <si>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</si>
  <si>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</si>
  <si>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</si>
  <si>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</si>
  <si>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</si>
  <si>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</si>
  <si>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</si>
  <si>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</si>
  <si>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</si>
  <si>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</si>
  <si>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</si>
  <si>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</si>
  <si>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</si>
  <si>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</si>
  <si>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</si>
  <si>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</si>
  <si>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</si>
  <si>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</si>
  <si>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</si>
  <si>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</si>
  <si>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</si>
  <si>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</si>
  <si>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</si>
  <si>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</si>
  <si>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</si>
  <si>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</si>
  <si>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</si>
  <si>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Final date to be received by PAYROLL</t>
  </si>
  <si>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</si>
  <si>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</si>
  <si>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</si>
  <si>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</si>
  <si>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</si>
  <si>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</si>
  <si>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</si>
  <si>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</si>
  <si>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</si>
  <si>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</si>
  <si>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</si>
  <si>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</si>
  <si>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</si>
  <si>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</si>
  <si>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</si>
  <si>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</si>
  <si>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</si>
  <si>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</si>
  <si>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</si>
  <si>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</si>
  <si>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</si>
  <si>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</si>
  <si>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</si>
  <si>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</si>
  <si>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</si>
  <si>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</si>
  <si>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</si>
  <si>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</si>
  <si>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</si>
  <si>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</si>
  <si>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</si>
  <si>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</si>
  <si>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</si>
  <si>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</si>
  <si>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</si>
  <si>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</si>
  <si>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</si>
  <si>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</si>
  <si>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</si>
  <si>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</si>
  <si>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</si>
  <si>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</si>
  <si>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</si>
  <si>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</si>
  <si>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</si>
  <si>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</si>
  <si>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</si>
  <si>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</si>
  <si>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</si>
  <si>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</si>
  <si>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</si>
  <si>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</si>
  <si>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</si>
  <si>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</si>
  <si>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</si>
  <si>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</si>
  <si>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</si>
  <si>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</si>
  <si>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</si>
  <si>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</si>
  <si>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</si>
  <si>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</si>
  <si>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</si>
  <si>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</si>
  <si>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</si>
  <si>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</si>
  <si>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</si>
  <si>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</si>
  <si>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</si>
  <si>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</si>
  <si>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</si>
  <si>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</si>
  <si>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</si>
  <si>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</si>
  <si>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</si>
  <si>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</si>
  <si>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</si>
  <si>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</si>
  <si>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</si>
  <si>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</si>
  <si>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</si>
  <si>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</si>
  <si>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</si>
  <si>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</si>
  <si>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</si>
  <si>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</si>
  <si>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</si>
  <si>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</si>
  <si>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</si>
  <si>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</si>
  <si>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</si>
  <si>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</si>
  <si>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</si>
  <si>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</si>
  <si>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</si>
  <si>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</si>
  <si>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</si>
  <si>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</si>
  <si>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</si>
  <si>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</si>
  <si>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</si>
  <si>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</si>
  <si>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</si>
  <si>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</si>
  <si>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</si>
  <si>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</si>
  <si>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</si>
  <si>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</si>
  <si>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</si>
  <si>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</si>
  <si>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</si>
  <si>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</si>
  <si>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</si>
  <si>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</si>
  <si>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</si>
  <si>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</si>
  <si>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</si>
  <si>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</si>
  <si>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</si>
  <si>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</si>
  <si>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</si>
  <si>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</si>
  <si>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</si>
  <si>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</si>
  <si>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</si>
  <si>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</si>
  <si>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</si>
  <si>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</si>
  <si>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</si>
  <si>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</si>
  <si>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</si>
  <si>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</si>
  <si>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</si>
  <si>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</si>
  <si>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</si>
  <si>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</si>
  <si>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</si>
  <si>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</si>
  <si>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</si>
  <si>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</si>
  <si>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</si>
  <si>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</si>
  <si>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</si>
  <si>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</si>
  <si>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</si>
  <si>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</si>
  <si>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</si>
  <si>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</si>
  <si>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</si>
  <si>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</si>
  <si>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</si>
  <si>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</si>
  <si>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</si>
  <si>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</si>
  <si>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</si>
  <si>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</si>
  <si>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</si>
  <si>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</si>
  <si>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</si>
  <si>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</si>
  <si>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</si>
  <si>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</si>
  <si>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</si>
  <si>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</si>
  <si>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</si>
  <si>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</si>
  <si>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</si>
  <si>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</si>
  <si>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</si>
  <si>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</si>
  <si>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</si>
  <si>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</si>
  <si>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</si>
  <si>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</si>
  <si>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</si>
  <si>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</si>
  <si>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</si>
  <si>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</si>
  <si>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</si>
  <si>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</si>
  <si>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</si>
  <si>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</si>
  <si>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</si>
  <si>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</si>
  <si>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</si>
  <si>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</si>
  <si>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</si>
  <si>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</si>
  <si>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</si>
  <si>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</si>
  <si>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</si>
  <si>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</si>
  <si>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</si>
  <si>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</si>
  <si>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</si>
  <si>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</si>
  <si>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</si>
  <si>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</si>
  <si>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</si>
  <si>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</si>
  <si>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</si>
  <si>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</si>
  <si>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</si>
  <si>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</si>
  <si>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</si>
  <si>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</si>
  <si>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</si>
  <si>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</si>
  <si>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</si>
  <si>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</si>
  <si>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</si>
  <si>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</si>
  <si>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</si>
  <si>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</si>
  <si>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</si>
  <si>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</si>
  <si>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</si>
  <si>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</si>
  <si>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</si>
  <si>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</si>
  <si>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</si>
  <si>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</si>
  <si>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</si>
  <si>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</si>
  <si>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</si>
  <si>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</si>
  <si>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</si>
  <si>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</si>
  <si>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</si>
  <si>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</si>
  <si>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</si>
  <si>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</si>
  <si>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</si>
  <si>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</si>
  <si>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</si>
  <si>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</si>
  <si>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</si>
  <si>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</si>
  <si>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</si>
  <si>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</si>
  <si>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</si>
  <si>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</si>
  <si>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</si>
  <si>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</si>
  <si>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</si>
  <si>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</si>
  <si>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</si>
  <si>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</si>
  <si>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</si>
  <si>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</si>
  <si>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</si>
  <si>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</si>
  <si>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</si>
  <si>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</si>
  <si>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</si>
  <si>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</si>
  <si>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</si>
  <si>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</si>
  <si>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</si>
  <si>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</si>
  <si>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</si>
  <si>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</si>
  <si>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</si>
  <si>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</si>
  <si>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</si>
  <si>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</si>
  <si>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</si>
  <si>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</si>
  <si>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</si>
  <si>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</si>
  <si>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</si>
  <si>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</si>
  <si>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</si>
  <si>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</si>
  <si>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</si>
  <si>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</si>
  <si>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</si>
  <si>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</si>
  <si>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</si>
  <si>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</si>
  <si>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</si>
  <si>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</si>
  <si>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</si>
  <si>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</si>
  <si>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</si>
  <si>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</si>
  <si>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</si>
  <si>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</si>
  <si>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</si>
  <si>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</si>
  <si>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</si>
  <si>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</si>
  <si>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</si>
  <si>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</si>
  <si>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</si>
  <si>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</si>
  <si>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</si>
  <si>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</si>
  <si>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</si>
  <si>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</si>
  <si>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</si>
  <si>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</si>
  <si>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</si>
  <si>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</si>
  <si>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</si>
  <si>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</si>
  <si>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</si>
  <si>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</si>
  <si>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</si>
  <si>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</si>
  <si>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</si>
  <si>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</si>
  <si>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</si>
  <si>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</si>
  <si>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</si>
  <si>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</si>
  <si>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</si>
  <si>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</si>
  <si>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</si>
  <si>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</si>
  <si>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</si>
  <si>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</si>
  <si>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</si>
  <si>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</si>
  <si>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</si>
  <si>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</si>
  <si>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</si>
  <si>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</si>
  <si>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</si>
  <si>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</si>
  <si>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</si>
  <si>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</si>
  <si>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</si>
  <si>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</si>
  <si>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</si>
  <si>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</si>
  <si>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</si>
  <si>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</si>
  <si>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</si>
  <si>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</si>
  <si>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</si>
  <si>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</si>
  <si>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</si>
  <si>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</si>
  <si>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</si>
  <si>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</si>
  <si>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</si>
  <si>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</si>
  <si>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</si>
  <si>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</si>
  <si>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</si>
  <si>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</si>
  <si>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</si>
  <si>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</si>
  <si>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</si>
  <si>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</si>
  <si>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</si>
  <si>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</si>
  <si>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</si>
  <si>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</si>
  <si>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</si>
  <si>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</si>
  <si>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</si>
  <si>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</si>
  <si>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</si>
  <si>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</si>
  <si>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</si>
  <si>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</si>
  <si>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</si>
  <si>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</si>
  <si>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</si>
  <si>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</si>
  <si>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</si>
  <si>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</si>
  <si>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</si>
  <si>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</si>
  <si>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</si>
  <si>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</si>
  <si>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</si>
  <si>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</si>
  <si>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</si>
  <si>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</si>
  <si>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</si>
  <si>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</si>
  <si>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</si>
  <si>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</si>
  <si>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</si>
  <si>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</si>
  <si>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</si>
  <si>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</si>
  <si>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</si>
  <si>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</si>
  <si>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</si>
  <si>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</si>
  <si>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</si>
  <si>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</si>
  <si>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</si>
  <si>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</si>
  <si>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</si>
  <si>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</si>
  <si>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</si>
  <si>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</si>
  <si>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</si>
  <si>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</si>
  <si>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</si>
  <si>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</si>
  <si>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</si>
  <si>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</si>
  <si>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</si>
  <si>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</si>
  <si>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</si>
  <si>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</si>
  <si>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</si>
  <si>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</si>
  <si>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</si>
  <si>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</si>
  <si>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</si>
  <si>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</si>
  <si>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</si>
  <si>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</si>
  <si>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</si>
  <si>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</si>
  <si>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</si>
  <si>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</si>
  <si>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</si>
  <si>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</si>
  <si>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</si>
  <si>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</si>
  <si>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</si>
  <si>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</si>
  <si>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</si>
  <si>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</si>
  <si>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</si>
  <si>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</si>
  <si>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</si>
  <si>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</si>
  <si>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</si>
  <si>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</si>
  <si>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</si>
  <si>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</si>
  <si>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</si>
  <si>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</si>
  <si>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</si>
  <si>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</si>
  <si>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</si>
  <si>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</si>
  <si>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</si>
  <si>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</si>
  <si>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</si>
  <si>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</si>
  <si>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</si>
  <si>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</si>
  <si>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</si>
  <si>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</si>
  <si>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</si>
  <si>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</si>
  <si>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</si>
  <si>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</si>
  <si>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</si>
  <si>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</si>
  <si>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</si>
  <si>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</si>
  <si>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</si>
  <si>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</si>
  <si>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</si>
  <si>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</si>
  <si>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</si>
  <si>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</si>
  <si>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</si>
  <si>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</si>
  <si>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</si>
  <si>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</si>
  <si>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</si>
  <si>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</si>
  <si>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</si>
  <si>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</si>
  <si>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</si>
  <si>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</si>
  <si>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</si>
  <si>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</si>
  <si>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</si>
  <si>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</si>
  <si>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</si>
  <si>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</si>
  <si>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</si>
  <si>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</si>
  <si>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</si>
  <si>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</si>
  <si>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</si>
  <si>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</si>
  <si>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</si>
  <si>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</si>
  <si>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</si>
  <si>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</si>
  <si>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</si>
  <si>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</si>
  <si>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</si>
  <si>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</si>
  <si>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</si>
  <si>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</si>
  <si>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</si>
  <si>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</si>
  <si>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</si>
  <si>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</si>
  <si>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</si>
  <si>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</si>
  <si>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</si>
  <si>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</si>
  <si>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</si>
  <si>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</si>
  <si>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</si>
  <si>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</si>
  <si>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</si>
  <si>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</si>
  <si>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</si>
  <si>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</si>
  <si>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</si>
  <si>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</si>
  <si>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</si>
  <si>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</si>
  <si>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</si>
  <si>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</si>
  <si>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</si>
  <si>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</si>
  <si>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</si>
  <si>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</si>
  <si>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</si>
  <si>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</si>
  <si>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</si>
  <si>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</si>
  <si>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</si>
  <si>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</si>
  <si>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</si>
  <si>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</si>
  <si>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</si>
  <si>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</si>
  <si>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</si>
  <si>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</si>
  <si>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</si>
  <si>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</si>
  <si>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</si>
  <si>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</si>
  <si>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</si>
  <si>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</si>
  <si>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</si>
  <si>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</si>
  <si>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</si>
  <si>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</si>
  <si>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t xml:space="preserve">Georgios </t>
  </si>
  <si>
    <t>Giamouridis</t>
  </si>
  <si>
    <t>Computer Systems 1                                                                        Every Wednesday: demonstrating lab (2h)</t>
  </si>
  <si>
    <t>Sebastian Mititelu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</si>
</sst>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5" fillId="3" borderId="15" xfId="0" applyFont="1" applyFill="1" applyBorder="1" applyAlignment="1">
      <alignment horizontal="center"/>
    </xf>
    <xf numFmtId="0" fontId="5" fillId="3" borderId="5" xfId="0"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168" fontId="1" fillId="7" borderId="94" xfId="0" applyNumberFormat="1" applyFont="1" applyFill="1" applyBorder="1" applyAlignment="1">
      <alignment horizontal="center" vertical="center"/>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1" fillId="3" borderId="94" xfId="0" applyNumberFormat="1" applyFont="1" applyFill="1" applyBorder="1" applyAlignment="1" applyProtection="1">
      <alignment horizontal="center" vertical="center"/>
      <protection locked="0" hidden="1"/>
    </xf>
    <xf numFmtId="0" fontId="16" fillId="3" borderId="11" xfId="0" applyFont="1" applyFill="1" applyBorder="1" applyAlignment="1">
      <alignment horizont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1" fillId="3" borderId="94" xfId="0" applyNumberFormat="1" applyFont="1" applyFill="1" applyBorder="1" applyAlignment="1">
      <alignment horizontal="center" vertical="center"/>
    </xf>
    <xf numFmtId="172" fontId="1" fillId="3" borderId="4" xfId="0" applyNumberFormat="1" applyFont="1" applyFill="1" applyBorder="1" applyAlignment="1">
      <alignment horizontal="center"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0" fillId="3" borderId="4" xfId="0" applyFill="1" applyBorder="1" applyAlignment="1">
      <alignment horizontal="center"/>
    </xf>
    <xf numFmtId="0" fontId="5" fillId="3" borderId="9" xfId="0" applyFont="1" applyFill="1" applyBorder="1" applyAlignment="1">
      <alignment horizontal="center"/>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0" fontId="7" fillId="2" borderId="9" xfId="0" applyFont="1" applyFill="1" applyBorder="1" applyAlignment="1" applyProtection="1">
      <alignment horizontal="center"/>
      <protection locked="0"/>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5" xfId="0" applyNumberFormat="1" applyFont="1" applyFill="1" applyBorder="1" applyAlignment="1">
      <alignment horizontal="center"/>
    </xf>
    <xf numFmtId="179" fontId="1" fillId="3" borderId="15" xfId="0" applyNumberFormat="1"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0" fontId="1" fillId="3" borderId="15"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184" fontId="9" fillId="3" borderId="206" xfId="0" applyNumberFormat="1" applyFont="1" applyFill="1" applyBorder="1" applyAlignment="1">
      <alignment horizont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182" fontId="4" fillId="6" borderId="40" xfId="0" applyNumberFormat="1" applyFont="1" applyFill="1" applyBorder="1" applyAlignment="1">
      <alignment horizontal="center" vertical="center"/>
    </xf>
    <xf numFmtId="182" fontId="4" fillId="6" borderId="102"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190"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40" xfId="0" applyFont="1" applyFill="1" applyBorder="1" applyAlignment="1">
      <alignment horizontal="center" vertical="center"/>
    </xf>
    <xf numFmtId="0" fontId="14" fillId="3" borderId="9" xfId="0" applyFont="1" applyFill="1" applyBorder="1" applyAlignment="1">
      <alignment horizontal="center" vertical="center" wrapText="1"/>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6" xfId="0" applyFont="1" applyFill="1" applyBorder="1" applyAlignment="1">
      <alignment horizontal="center"/>
    </xf>
    <xf numFmtId="0" fontId="9" fillId="3" borderId="127" xfId="0" applyFont="1" applyFill="1" applyBorder="1" applyAlignment="1">
      <alignment horizontal="center"/>
    </xf>
    <xf numFmtId="181" fontId="29" fillId="3" borderId="5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0" fontId="49" fillId="3" borderId="129" xfId="0" applyFont="1" applyFill="1" applyBorder="1" applyAlignment="1">
      <alignment horizontal="center" vertic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181" fontId="29" fillId="3" borderId="56" xfId="0" applyNumberFormat="1" applyFont="1" applyFill="1" applyBorder="1" applyAlignment="1">
      <alignment horizontal="center" vertical="center"/>
    </xf>
    <xf numFmtId="168" fontId="2" fillId="6" borderId="119"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3" xfId="0" applyNumberFormat="1" applyFont="1" applyFill="1" applyBorder="1" applyAlignment="1">
      <alignment horizontal="center" vertical="center"/>
    </xf>
    <xf numFmtId="166" fontId="4" fillId="7" borderId="64"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14" fillId="3" borderId="0" xfId="0" applyNumberFormat="1" applyFont="1" applyFill="1" applyAlignment="1">
      <alignment horizontal="left" vertical="center" textRotation="180"/>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8" xfId="0" applyNumberFormat="1"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0" fontId="5" fillId="3" borderId="11"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9" fillId="2" borderId="9" xfId="0" applyFont="1" applyFill="1" applyBorder="1" applyAlignment="1" applyProtection="1">
      <alignment horizontal="center"/>
      <protection locked="0"/>
    </xf>
    <xf numFmtId="0" fontId="88" fillId="3" borderId="9" xfId="0" applyFont="1" applyFill="1" applyBorder="1" applyAlignment="1">
      <alignment horizontal="center"/>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9" fillId="3" borderId="131"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168" fontId="30" fillId="6" borderId="117"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8"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66" fontId="0" fillId="3" borderId="0" xfId="0" applyNumberFormat="1" applyFill="1" applyAlignment="1">
      <alignment horizont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84" fontId="9" fillId="3" borderId="191" xfId="0" applyNumberFormat="1" applyFont="1" applyFill="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7" fillId="0" borderId="9" xfId="0" applyFont="1" applyBorder="1" applyAlignment="1">
      <alignment horizontal="center"/>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14" fontId="7" fillId="2" borderId="15" xfId="0" quotePrefix="1" applyNumberFormat="1" applyFont="1" applyFill="1" applyBorder="1" applyAlignment="1" applyProtection="1">
      <alignment horizontal="center"/>
      <protection locked="0"/>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0" fontId="17" fillId="3"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293</v>
      </c>
      <c r="B1" s="16" t="s">
        <v>294</v>
      </c>
      <c r="C1" s="16" t="s">
        <v>295</v>
      </c>
      <c r="D1" s="16" t="s">
        <v>296</v>
      </c>
      <c r="E1" s="16" t="s">
        <v>297</v>
      </c>
      <c r="F1" s="16" t="s">
        <v>298</v>
      </c>
      <c r="G1" s="16" t="s">
        <v>299</v>
      </c>
      <c r="I1" s="16" t="s">
        <v>300</v>
      </c>
      <c r="J1" s="16" t="s">
        <v>301</v>
      </c>
      <c r="K1" s="16"/>
      <c r="L1" s="16"/>
      <c r="M1" s="16" t="s">
        <v>302</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44501</v>
      </c>
      <c r="G2" s="356">
        <f>IF('UniWorkforce Hourly Timesheet'!E7="Please select claim period",VLOOKUP('UniWorkforce Fixed Fee Claim'!F7,Parameters!A:C,3,FALSE),VLOOKUP('UniWorkforce Hourly Timesheet'!E7,Parameters!A:C,3,FALSE))</f>
        <v>44528</v>
      </c>
      <c r="I2" s="408">
        <v>43983</v>
      </c>
      <c r="J2" s="16" t="s">
        <v>303</v>
      </c>
      <c r="K2" s="16"/>
      <c r="L2" s="16"/>
      <c r="M2" s="408">
        <v>43824</v>
      </c>
      <c r="T2" s="408"/>
    </row>
    <row r="3" spans="1:23" x14ac:dyDescent="0.2">
      <c r="A3" s="335" t="s">
        <v>304</v>
      </c>
      <c r="B3" s="409">
        <v>44193</v>
      </c>
      <c r="C3" s="409">
        <f t="shared" ref="C3:C15" si="0">B4-1</f>
        <v>44227</v>
      </c>
      <c r="D3" s="335">
        <f t="shared" ref="D3:D17" si="1">(C3-B3+1)/7</f>
        <v>5</v>
      </c>
      <c r="E3" s="408" t="str">
        <f t="shared" ref="E3:E17" si="2">TEXT(C3,"mmm")&amp;TEXT(C3,"yy")</f>
        <v>Jan21</v>
      </c>
      <c r="F3" s="24"/>
      <c r="I3" s="408">
        <f t="shared" ref="I3:I41" si="3">I2+7</f>
        <v>43990</v>
      </c>
      <c r="J3" s="16" t="s">
        <v>303</v>
      </c>
      <c r="K3" s="16"/>
      <c r="L3" s="16"/>
      <c r="M3" s="408">
        <v>43825</v>
      </c>
      <c r="T3" s="408"/>
    </row>
    <row r="4" spans="1:23" x14ac:dyDescent="0.2">
      <c r="A4" s="335" t="s">
        <v>272</v>
      </c>
      <c r="B4" s="409">
        <v>44228</v>
      </c>
      <c r="C4" s="409">
        <f t="shared" si="0"/>
        <v>44255</v>
      </c>
      <c r="D4" s="335">
        <f t="shared" si="1"/>
        <v>4</v>
      </c>
      <c r="E4" s="408" t="str">
        <f t="shared" si="2"/>
        <v>Feb21</v>
      </c>
      <c r="F4" s="24"/>
      <c r="I4" s="408">
        <f t="shared" si="3"/>
        <v>43997</v>
      </c>
      <c r="J4" s="16" t="s">
        <v>305</v>
      </c>
      <c r="K4" s="16"/>
      <c r="L4" s="16"/>
      <c r="M4" s="408">
        <v>43831</v>
      </c>
      <c r="T4" s="408"/>
      <c r="W4" s="419"/>
    </row>
    <row r="5" spans="1:23" x14ac:dyDescent="0.2">
      <c r="A5" s="335" t="s">
        <v>306</v>
      </c>
      <c r="B5" s="409">
        <v>44256</v>
      </c>
      <c r="C5" s="409">
        <f t="shared" si="0"/>
        <v>44283</v>
      </c>
      <c r="D5" s="335">
        <f t="shared" si="1"/>
        <v>4</v>
      </c>
      <c r="E5" s="408" t="str">
        <f t="shared" si="2"/>
        <v>Mar21</v>
      </c>
      <c r="F5" s="24"/>
      <c r="I5" s="408">
        <f t="shared" si="3"/>
        <v>44004</v>
      </c>
      <c r="J5" s="16" t="s">
        <v>305</v>
      </c>
      <c r="K5" s="16"/>
      <c r="L5" s="16"/>
      <c r="M5" s="408">
        <v>43931</v>
      </c>
      <c r="T5" s="408"/>
      <c r="W5" s="419"/>
    </row>
    <row r="6" spans="1:23" x14ac:dyDescent="0.2">
      <c r="A6" s="335" t="s">
        <v>307</v>
      </c>
      <c r="B6" s="409">
        <v>44284</v>
      </c>
      <c r="C6" s="409">
        <f t="shared" si="0"/>
        <v>44311</v>
      </c>
      <c r="D6" s="335">
        <f t="shared" si="1"/>
        <v>4</v>
      </c>
      <c r="E6" s="408" t="str">
        <f t="shared" si="2"/>
        <v>Apr21</v>
      </c>
      <c r="F6" s="24"/>
      <c r="I6" s="408">
        <f t="shared" si="3"/>
        <v>44011</v>
      </c>
      <c r="J6" s="16" t="s">
        <v>305</v>
      </c>
      <c r="K6" s="16"/>
      <c r="L6" s="16"/>
      <c r="M6" s="408">
        <v>43934</v>
      </c>
      <c r="T6" s="408"/>
      <c r="W6" s="419"/>
    </row>
    <row r="7" spans="1:23" x14ac:dyDescent="0.2">
      <c r="A7" s="335" t="s">
        <v>308</v>
      </c>
      <c r="B7" s="409">
        <v>44312</v>
      </c>
      <c r="C7" s="409">
        <f t="shared" si="0"/>
        <v>44346</v>
      </c>
      <c r="D7" s="335">
        <f t="shared" si="1"/>
        <v>5</v>
      </c>
      <c r="E7" s="408" t="str">
        <f t="shared" si="2"/>
        <v>May21</v>
      </c>
      <c r="F7" s="151"/>
      <c r="I7" s="408">
        <f t="shared" si="3"/>
        <v>44018</v>
      </c>
      <c r="J7" s="16" t="s">
        <v>305</v>
      </c>
      <c r="K7" s="16"/>
      <c r="L7" s="16"/>
      <c r="M7" s="408">
        <v>43959</v>
      </c>
      <c r="T7" s="408"/>
      <c r="W7" s="419"/>
    </row>
    <row r="8" spans="1:23" x14ac:dyDescent="0.2">
      <c r="A8" s="335" t="s">
        <v>309</v>
      </c>
      <c r="B8" s="409">
        <v>44347</v>
      </c>
      <c r="C8" s="409">
        <f t="shared" si="0"/>
        <v>44374</v>
      </c>
      <c r="D8" s="335">
        <f t="shared" si="1"/>
        <v>4</v>
      </c>
      <c r="E8" s="408" t="str">
        <f t="shared" si="2"/>
        <v>Jun21</v>
      </c>
      <c r="F8" s="24"/>
      <c r="I8" s="408">
        <f t="shared" si="3"/>
        <v>44025</v>
      </c>
      <c r="J8" s="16" t="s">
        <v>305</v>
      </c>
      <c r="K8" s="16"/>
      <c r="L8" s="16"/>
      <c r="M8" s="408">
        <v>43976</v>
      </c>
      <c r="T8" s="408"/>
      <c r="W8" s="419"/>
    </row>
    <row r="9" spans="1:23" x14ac:dyDescent="0.2">
      <c r="A9" s="335" t="s">
        <v>310</v>
      </c>
      <c r="B9" s="409">
        <v>44375</v>
      </c>
      <c r="C9" s="409">
        <f t="shared" si="0"/>
        <v>44402</v>
      </c>
      <c r="D9" s="335">
        <f t="shared" si="1"/>
        <v>4</v>
      </c>
      <c r="E9" s="408" t="str">
        <f t="shared" si="2"/>
        <v>Jul21</v>
      </c>
      <c r="F9" s="24"/>
      <c r="I9" s="408">
        <f t="shared" si="3"/>
        <v>44032</v>
      </c>
      <c r="J9" s="16" t="s">
        <v>305</v>
      </c>
      <c r="K9" s="16"/>
      <c r="L9" s="16"/>
      <c r="M9" s="408">
        <v>44074</v>
      </c>
      <c r="T9" s="408"/>
      <c r="W9" s="419"/>
    </row>
    <row r="10" spans="1:23" x14ac:dyDescent="0.2">
      <c r="A10" s="335" t="s">
        <v>311</v>
      </c>
      <c r="B10" s="409">
        <v>44403</v>
      </c>
      <c r="C10" s="409">
        <f t="shared" si="0"/>
        <v>44437</v>
      </c>
      <c r="D10" s="335">
        <f t="shared" si="1"/>
        <v>5</v>
      </c>
      <c r="E10" s="408" t="str">
        <f t="shared" si="2"/>
        <v>Aug21</v>
      </c>
      <c r="F10" s="24"/>
      <c r="I10" s="408">
        <f t="shared" si="3"/>
        <v>44039</v>
      </c>
      <c r="J10" s="16" t="s">
        <v>305</v>
      </c>
      <c r="K10" s="16"/>
      <c r="L10" s="16"/>
      <c r="M10" s="408">
        <v>44190</v>
      </c>
      <c r="T10" s="408"/>
      <c r="W10" s="419"/>
    </row>
    <row r="11" spans="1:23" x14ac:dyDescent="0.2">
      <c r="A11" s="335" t="s">
        <v>312</v>
      </c>
      <c r="B11" s="409">
        <v>44438</v>
      </c>
      <c r="C11" s="409">
        <f t="shared" si="0"/>
        <v>44465</v>
      </c>
      <c r="D11" s="335">
        <f t="shared" si="1"/>
        <v>4</v>
      </c>
      <c r="E11" s="408" t="str">
        <f t="shared" si="2"/>
        <v>Sep21</v>
      </c>
      <c r="F11" s="24"/>
      <c r="I11" s="408">
        <f t="shared" si="3"/>
        <v>44046</v>
      </c>
      <c r="J11" s="16" t="s">
        <v>305</v>
      </c>
      <c r="K11" s="411"/>
      <c r="L11" s="16"/>
      <c r="M11" s="408">
        <v>44193</v>
      </c>
      <c r="T11" s="408"/>
      <c r="W11" s="419"/>
    </row>
    <row r="12" spans="1:23" x14ac:dyDescent="0.2">
      <c r="A12" s="335" t="s">
        <v>313</v>
      </c>
      <c r="B12" s="409">
        <v>44466</v>
      </c>
      <c r="C12" s="409">
        <f t="shared" si="0"/>
        <v>44500</v>
      </c>
      <c r="D12" s="335">
        <f t="shared" si="1"/>
        <v>5</v>
      </c>
      <c r="E12" s="408" t="str">
        <f t="shared" si="2"/>
        <v>Oct21</v>
      </c>
      <c r="F12" s="24"/>
      <c r="I12" s="409">
        <f t="shared" si="3"/>
        <v>44053</v>
      </c>
      <c r="J12" s="335" t="s">
        <v>305</v>
      </c>
      <c r="K12" s="411"/>
      <c r="L12" s="16"/>
      <c r="M12" s="408">
        <v>44531</v>
      </c>
      <c r="T12" s="408"/>
      <c r="W12" s="419"/>
    </row>
    <row r="13" spans="1:23" x14ac:dyDescent="0.2">
      <c r="A13" s="335" t="s">
        <v>314</v>
      </c>
      <c r="B13" s="409">
        <v>44501</v>
      </c>
      <c r="C13" s="409">
        <f t="shared" si="0"/>
        <v>44528</v>
      </c>
      <c r="D13" s="335">
        <f t="shared" si="1"/>
        <v>4</v>
      </c>
      <c r="E13" s="408" t="str">
        <f t="shared" si="2"/>
        <v>Nov21</v>
      </c>
      <c r="F13" s="24"/>
      <c r="I13" s="409">
        <f t="shared" si="3"/>
        <v>44060</v>
      </c>
      <c r="J13" s="335" t="s">
        <v>305</v>
      </c>
      <c r="K13" s="411"/>
      <c r="L13" s="16"/>
      <c r="M13" s="408">
        <v>44288</v>
      </c>
      <c r="T13" s="408"/>
      <c r="W13" s="419"/>
    </row>
    <row r="14" spans="1:23" x14ac:dyDescent="0.2">
      <c r="A14" s="335" t="s">
        <v>315</v>
      </c>
      <c r="B14" s="409">
        <v>44529</v>
      </c>
      <c r="C14" s="409">
        <f t="shared" si="0"/>
        <v>44556</v>
      </c>
      <c r="D14" s="335">
        <f t="shared" si="1"/>
        <v>4</v>
      </c>
      <c r="E14" s="408" t="str">
        <f t="shared" si="2"/>
        <v>Dec21</v>
      </c>
      <c r="F14" s="24"/>
      <c r="I14" s="409">
        <f t="shared" si="3"/>
        <v>44067</v>
      </c>
      <c r="J14" s="335" t="s">
        <v>305</v>
      </c>
      <c r="K14" s="411"/>
      <c r="L14" s="16"/>
      <c r="M14" s="408">
        <v>44291</v>
      </c>
      <c r="T14" s="408"/>
      <c r="W14" s="419"/>
    </row>
    <row r="15" spans="1:23" x14ac:dyDescent="0.2">
      <c r="A15" s="335" t="s">
        <v>316</v>
      </c>
      <c r="B15" s="409">
        <v>44557</v>
      </c>
      <c r="C15" s="409">
        <f t="shared" si="0"/>
        <v>44591</v>
      </c>
      <c r="D15" s="335">
        <f t="shared" si="1"/>
        <v>5</v>
      </c>
      <c r="E15" s="408" t="str">
        <f t="shared" si="2"/>
        <v>Jan22</v>
      </c>
      <c r="F15" s="24"/>
      <c r="G15" s="24"/>
      <c r="H15" s="24"/>
      <c r="I15" s="409">
        <f t="shared" si="3"/>
        <v>44074</v>
      </c>
      <c r="J15" s="335" t="s">
        <v>305</v>
      </c>
      <c r="K15" s="411"/>
      <c r="L15" s="16"/>
      <c r="M15" s="408">
        <v>44319</v>
      </c>
      <c r="T15" s="408"/>
    </row>
    <row r="16" spans="1:23" x14ac:dyDescent="0.2">
      <c r="A16" s="335" t="s">
        <v>317</v>
      </c>
      <c r="B16" s="409">
        <v>44592</v>
      </c>
      <c r="C16" s="409">
        <v>44619</v>
      </c>
      <c r="D16" s="335">
        <f t="shared" si="1"/>
        <v>4</v>
      </c>
      <c r="E16" s="408" t="str">
        <f t="shared" si="2"/>
        <v>Feb22</v>
      </c>
      <c r="F16" s="24"/>
      <c r="G16" s="24"/>
      <c r="H16" s="24"/>
      <c r="I16" s="409">
        <f t="shared" si="3"/>
        <v>44081</v>
      </c>
      <c r="J16" s="335" t="s">
        <v>305</v>
      </c>
      <c r="K16" s="411"/>
      <c r="L16" s="16"/>
      <c r="M16" s="408">
        <v>44347</v>
      </c>
      <c r="T16" s="408"/>
    </row>
    <row r="17" spans="1:20" x14ac:dyDescent="0.2">
      <c r="A17" s="335" t="s">
        <v>318</v>
      </c>
      <c r="B17" s="409">
        <v>44620</v>
      </c>
      <c r="C17" s="409">
        <v>44647</v>
      </c>
      <c r="D17" s="335">
        <f t="shared" si="1"/>
        <v>4</v>
      </c>
      <c r="E17" s="408" t="str">
        <f t="shared" si="2"/>
        <v>Mar22</v>
      </c>
      <c r="F17" s="24"/>
      <c r="G17" s="24"/>
      <c r="H17" s="24"/>
      <c r="I17" s="409">
        <f t="shared" si="3"/>
        <v>44088</v>
      </c>
      <c r="J17" s="335" t="s">
        <v>305</v>
      </c>
      <c r="K17" s="411"/>
      <c r="L17" s="16"/>
      <c r="M17" s="408">
        <v>44438</v>
      </c>
      <c r="T17" s="408"/>
    </row>
    <row r="18" spans="1:20" ht="12.75" customHeight="1" x14ac:dyDescent="0.2">
      <c r="A18" s="335"/>
      <c r="C18" s="409"/>
      <c r="D18" s="335"/>
      <c r="E18" s="408"/>
      <c r="F18" s="24"/>
      <c r="G18" s="24"/>
      <c r="H18" s="24"/>
      <c r="I18" s="409">
        <f t="shared" si="3"/>
        <v>44095</v>
      </c>
      <c r="J18" s="335" t="s">
        <v>305</v>
      </c>
      <c r="K18" s="412" t="s">
        <v>319</v>
      </c>
      <c r="L18" s="16"/>
      <c r="M18" s="408">
        <v>44557</v>
      </c>
      <c r="T18" s="408"/>
    </row>
    <row r="19" spans="1:20" x14ac:dyDescent="0.2">
      <c r="A19" s="335"/>
      <c r="C19" s="409"/>
      <c r="D19" s="335"/>
      <c r="E19" s="408"/>
      <c r="F19" s="24"/>
      <c r="G19" s="24"/>
      <c r="H19" s="24"/>
      <c r="I19" s="409">
        <f t="shared" si="3"/>
        <v>44102</v>
      </c>
      <c r="J19" s="335" t="s">
        <v>305</v>
      </c>
      <c r="K19" s="412"/>
      <c r="L19" s="16"/>
      <c r="M19" s="408">
        <v>44558</v>
      </c>
      <c r="T19" s="408"/>
    </row>
    <row r="20" spans="1:20" x14ac:dyDescent="0.2">
      <c r="A20" s="335"/>
      <c r="C20" s="409"/>
      <c r="D20" s="335"/>
      <c r="E20" s="408"/>
      <c r="F20" s="24"/>
      <c r="G20" s="24"/>
      <c r="H20" s="24"/>
      <c r="I20" s="409">
        <f t="shared" si="3"/>
        <v>44109</v>
      </c>
      <c r="J20" s="335" t="s">
        <v>303</v>
      </c>
      <c r="K20" s="16"/>
      <c r="L20" s="16"/>
      <c r="M20" s="408">
        <v>44564</v>
      </c>
      <c r="T20" s="408"/>
    </row>
    <row r="21" spans="1:20" x14ac:dyDescent="0.2">
      <c r="A21" s="335"/>
      <c r="C21" s="409"/>
      <c r="D21" s="335"/>
      <c r="E21" s="408"/>
      <c r="F21" s="24"/>
      <c r="G21" s="24"/>
      <c r="H21" s="24"/>
      <c r="I21" s="409">
        <f t="shared" si="3"/>
        <v>44116</v>
      </c>
      <c r="J21" s="335" t="s">
        <v>303</v>
      </c>
      <c r="K21" s="16"/>
      <c r="L21" s="16"/>
      <c r="M21" s="408"/>
      <c r="T21" s="408"/>
    </row>
    <row r="22" spans="1:20" x14ac:dyDescent="0.2">
      <c r="A22" s="335"/>
      <c r="B22" s="408"/>
      <c r="C22" s="409"/>
      <c r="D22" s="335"/>
      <c r="E22" s="408"/>
      <c r="F22" s="24"/>
      <c r="G22" s="24"/>
      <c r="H22" s="24"/>
      <c r="I22" s="409">
        <f t="shared" si="3"/>
        <v>44123</v>
      </c>
      <c r="J22" s="335" t="s">
        <v>303</v>
      </c>
      <c r="K22" s="16"/>
      <c r="L22" s="16"/>
      <c r="M22" s="408"/>
      <c r="T22" s="408"/>
    </row>
    <row r="23" spans="1:20" x14ac:dyDescent="0.2">
      <c r="A23" s="335"/>
      <c r="C23" s="409"/>
      <c r="D23" s="335"/>
      <c r="E23" s="408"/>
      <c r="F23" s="24"/>
      <c r="G23" s="24"/>
      <c r="H23" s="24"/>
      <c r="I23" s="409">
        <f t="shared" si="3"/>
        <v>44130</v>
      </c>
      <c r="J23" s="335" t="s">
        <v>303</v>
      </c>
      <c r="K23" s="16"/>
      <c r="L23" s="16"/>
      <c r="M23" s="408"/>
      <c r="T23" s="408"/>
    </row>
    <row r="24" spans="1:20" x14ac:dyDescent="0.2">
      <c r="F24" s="24"/>
      <c r="G24" s="24"/>
      <c r="H24" s="24"/>
      <c r="I24" s="409">
        <f t="shared" si="3"/>
        <v>44137</v>
      </c>
      <c r="J24" s="335" t="s">
        <v>303</v>
      </c>
      <c r="K24" s="16"/>
      <c r="L24" s="16"/>
      <c r="M24" s="408"/>
      <c r="T24" s="408"/>
    </row>
    <row r="25" spans="1:20" x14ac:dyDescent="0.2">
      <c r="A25" s="405" t="s">
        <v>320</v>
      </c>
      <c r="I25" s="409">
        <f t="shared" si="3"/>
        <v>44144</v>
      </c>
      <c r="J25" s="335" t="s">
        <v>303</v>
      </c>
      <c r="K25" s="16"/>
      <c r="L25" s="16"/>
      <c r="M25" s="408"/>
      <c r="T25" s="408"/>
    </row>
    <row r="26" spans="1:20" x14ac:dyDescent="0.2">
      <c r="I26" s="409">
        <f t="shared" si="3"/>
        <v>44151</v>
      </c>
      <c r="J26" s="335" t="s">
        <v>303</v>
      </c>
      <c r="K26" s="16"/>
      <c r="L26" s="16"/>
      <c r="M26" s="16"/>
      <c r="T26" s="408"/>
    </row>
    <row r="27" spans="1:20" x14ac:dyDescent="0.2">
      <c r="I27" s="409">
        <f t="shared" si="3"/>
        <v>44158</v>
      </c>
      <c r="J27" s="335" t="s">
        <v>303</v>
      </c>
      <c r="K27" s="16"/>
      <c r="L27" s="16"/>
      <c r="M27" s="16"/>
      <c r="T27" s="408"/>
    </row>
    <row r="28" spans="1:20" x14ac:dyDescent="0.2">
      <c r="I28" s="409">
        <f t="shared" si="3"/>
        <v>44165</v>
      </c>
      <c r="J28" s="335" t="s">
        <v>303</v>
      </c>
      <c r="K28" s="16"/>
      <c r="L28" s="16"/>
      <c r="M28" s="16"/>
      <c r="T28" s="408"/>
    </row>
    <row r="29" spans="1:20" x14ac:dyDescent="0.2">
      <c r="I29" s="409">
        <f t="shared" si="3"/>
        <v>44172</v>
      </c>
      <c r="J29" s="335" t="s">
        <v>303</v>
      </c>
      <c r="K29" s="16"/>
      <c r="L29" s="16"/>
      <c r="M29" s="16"/>
      <c r="T29" s="408"/>
    </row>
    <row r="30" spans="1:20" x14ac:dyDescent="0.2">
      <c r="I30" s="409">
        <f t="shared" si="3"/>
        <v>44179</v>
      </c>
      <c r="J30" s="335" t="s">
        <v>305</v>
      </c>
      <c r="K30" s="16"/>
      <c r="L30" s="16"/>
      <c r="M30" s="16"/>
      <c r="T30" s="408"/>
    </row>
    <row r="31" spans="1:20" x14ac:dyDescent="0.2">
      <c r="I31" s="409">
        <f t="shared" si="3"/>
        <v>44186</v>
      </c>
      <c r="J31" s="335" t="s">
        <v>305</v>
      </c>
      <c r="K31" s="16"/>
      <c r="L31" s="16"/>
      <c r="M31" s="16"/>
      <c r="T31" s="408"/>
    </row>
    <row r="32" spans="1:20" x14ac:dyDescent="0.2">
      <c r="I32" s="409">
        <f t="shared" si="3"/>
        <v>44193</v>
      </c>
      <c r="J32" s="335" t="s">
        <v>305</v>
      </c>
      <c r="K32" s="16"/>
      <c r="L32" s="16"/>
      <c r="M32" s="16"/>
      <c r="T32" s="408"/>
    </row>
    <row r="33" spans="9:20" x14ac:dyDescent="0.2">
      <c r="I33" s="409">
        <f t="shared" si="3"/>
        <v>44200</v>
      </c>
      <c r="J33" s="335" t="s">
        <v>303</v>
      </c>
      <c r="K33" s="16"/>
      <c r="L33" s="16"/>
      <c r="M33" s="16"/>
      <c r="T33" s="408"/>
    </row>
    <row r="34" spans="9:20" x14ac:dyDescent="0.2">
      <c r="I34" s="409">
        <f t="shared" si="3"/>
        <v>44207</v>
      </c>
      <c r="J34" s="335" t="s">
        <v>303</v>
      </c>
      <c r="K34" s="16"/>
      <c r="L34" s="16"/>
      <c r="M34" s="16"/>
      <c r="T34" s="408"/>
    </row>
    <row r="35" spans="9:20" x14ac:dyDescent="0.2">
      <c r="I35" s="409">
        <f t="shared" si="3"/>
        <v>44214</v>
      </c>
      <c r="J35" s="335" t="s">
        <v>303</v>
      </c>
      <c r="K35" s="16"/>
      <c r="L35" s="16"/>
      <c r="M35" s="16"/>
      <c r="T35" s="408"/>
    </row>
    <row r="36" spans="9:20" x14ac:dyDescent="0.2">
      <c r="I36" s="409">
        <f t="shared" si="3"/>
        <v>44221</v>
      </c>
      <c r="J36" s="335" t="s">
        <v>303</v>
      </c>
      <c r="K36" s="16"/>
      <c r="L36" s="16"/>
      <c r="M36" s="16"/>
      <c r="T36" s="408"/>
    </row>
    <row r="37" spans="9:20" x14ac:dyDescent="0.2">
      <c r="I37" s="409">
        <f t="shared" si="3"/>
        <v>44228</v>
      </c>
      <c r="J37" s="335" t="s">
        <v>303</v>
      </c>
      <c r="K37" s="16"/>
      <c r="L37" s="16"/>
      <c r="M37" s="16"/>
      <c r="T37" s="408"/>
    </row>
    <row r="38" spans="9:20" x14ac:dyDescent="0.2">
      <c r="I38" s="409">
        <f t="shared" si="3"/>
        <v>44235</v>
      </c>
      <c r="J38" s="335" t="s">
        <v>303</v>
      </c>
      <c r="K38" s="16"/>
      <c r="L38" s="16"/>
      <c r="M38" s="16"/>
      <c r="T38" s="408"/>
    </row>
    <row r="39" spans="9:20" x14ac:dyDescent="0.2">
      <c r="I39" s="409">
        <f t="shared" si="3"/>
        <v>44242</v>
      </c>
      <c r="J39" s="335" t="s">
        <v>303</v>
      </c>
      <c r="K39" s="335"/>
      <c r="L39" s="335"/>
      <c r="M39" s="335"/>
      <c r="T39" s="408"/>
    </row>
    <row r="40" spans="9:20" x14ac:dyDescent="0.2">
      <c r="I40" s="409">
        <f t="shared" si="3"/>
        <v>44249</v>
      </c>
      <c r="J40" s="335" t="s">
        <v>303</v>
      </c>
      <c r="K40" s="335"/>
      <c r="L40" s="335"/>
      <c r="M40" s="335"/>
      <c r="T40" s="408"/>
    </row>
    <row r="41" spans="9:20" x14ac:dyDescent="0.2">
      <c r="I41" s="409">
        <f t="shared" si="3"/>
        <v>44256</v>
      </c>
      <c r="J41" s="335" t="s">
        <v>303</v>
      </c>
      <c r="K41" s="335"/>
      <c r="L41" s="335"/>
      <c r="M41" s="335"/>
      <c r="T41" s="408"/>
    </row>
    <row r="42" spans="9:20" x14ac:dyDescent="0.2">
      <c r="I42" s="409">
        <f t="shared" ref="I42:I96" si="4">I41+7</f>
        <v>44263</v>
      </c>
      <c r="J42" s="335" t="s">
        <v>303</v>
      </c>
      <c r="K42" s="335"/>
      <c r="L42" s="335"/>
      <c r="M42" s="335"/>
      <c r="T42" s="408"/>
    </row>
    <row r="43" spans="9:20" x14ac:dyDescent="0.2">
      <c r="I43" s="409">
        <f t="shared" si="4"/>
        <v>44270</v>
      </c>
      <c r="J43" s="335" t="s">
        <v>303</v>
      </c>
      <c r="K43" s="335"/>
      <c r="L43" s="335"/>
      <c r="M43" s="335"/>
      <c r="T43" s="408"/>
    </row>
    <row r="44" spans="9:20" x14ac:dyDescent="0.2">
      <c r="I44" s="409">
        <f t="shared" si="4"/>
        <v>44277</v>
      </c>
      <c r="J44" s="335" t="s">
        <v>305</v>
      </c>
      <c r="K44" s="335"/>
      <c r="L44" s="335"/>
      <c r="M44" s="335"/>
      <c r="T44" s="408"/>
    </row>
    <row r="45" spans="9:20" x14ac:dyDescent="0.2">
      <c r="I45" s="409">
        <f t="shared" si="4"/>
        <v>44284</v>
      </c>
      <c r="J45" s="335" t="s">
        <v>305</v>
      </c>
      <c r="K45" s="335"/>
      <c r="L45" s="335"/>
      <c r="M45" s="335"/>
      <c r="T45" s="408"/>
    </row>
    <row r="46" spans="9:20" x14ac:dyDescent="0.2">
      <c r="I46" s="409">
        <f t="shared" si="4"/>
        <v>44291</v>
      </c>
      <c r="J46" s="335" t="s">
        <v>305</v>
      </c>
      <c r="K46" s="335"/>
      <c r="L46" s="335"/>
      <c r="M46" s="335"/>
      <c r="T46" s="408"/>
    </row>
    <row r="47" spans="9:20" x14ac:dyDescent="0.2">
      <c r="I47" s="409">
        <f t="shared" si="4"/>
        <v>44298</v>
      </c>
      <c r="J47" s="335" t="s">
        <v>303</v>
      </c>
      <c r="K47" s="335"/>
      <c r="L47" s="335"/>
      <c r="M47" s="335"/>
      <c r="T47" s="408"/>
    </row>
    <row r="48" spans="9:20" x14ac:dyDescent="0.2">
      <c r="I48" s="409">
        <f t="shared" si="4"/>
        <v>44305</v>
      </c>
      <c r="J48" s="335" t="s">
        <v>303</v>
      </c>
      <c r="K48" s="335"/>
      <c r="L48" s="335"/>
      <c r="M48" s="335"/>
      <c r="T48" s="408"/>
    </row>
    <row r="49" spans="9:20" x14ac:dyDescent="0.2">
      <c r="I49" s="409">
        <f t="shared" si="4"/>
        <v>44312</v>
      </c>
      <c r="J49" s="335" t="s">
        <v>303</v>
      </c>
      <c r="K49" s="335"/>
      <c r="L49" s="335"/>
      <c r="M49" s="335"/>
      <c r="T49" s="408"/>
    </row>
    <row r="50" spans="9:20" x14ac:dyDescent="0.2">
      <c r="I50" s="409">
        <f t="shared" si="4"/>
        <v>44319</v>
      </c>
      <c r="J50" s="335" t="s">
        <v>303</v>
      </c>
      <c r="K50" s="335"/>
      <c r="L50" s="335"/>
      <c r="M50" s="335"/>
      <c r="T50" s="408"/>
    </row>
    <row r="51" spans="9:20" x14ac:dyDescent="0.2">
      <c r="I51" s="409">
        <f t="shared" si="4"/>
        <v>44326</v>
      </c>
      <c r="J51" s="335" t="s">
        <v>303</v>
      </c>
      <c r="K51" s="335"/>
      <c r="L51" s="335"/>
      <c r="M51" s="335"/>
      <c r="T51" s="408"/>
    </row>
    <row r="52" spans="9:20" x14ac:dyDescent="0.2">
      <c r="I52" s="409">
        <f t="shared" si="4"/>
        <v>44333</v>
      </c>
      <c r="J52" s="335" t="s">
        <v>303</v>
      </c>
      <c r="K52" s="335"/>
      <c r="L52" s="335"/>
      <c r="M52" s="335"/>
      <c r="T52" s="408"/>
    </row>
    <row r="53" spans="9:20" x14ac:dyDescent="0.2">
      <c r="I53" s="409">
        <f t="shared" si="4"/>
        <v>44340</v>
      </c>
      <c r="J53" s="335" t="s">
        <v>303</v>
      </c>
      <c r="K53" s="335"/>
      <c r="L53" s="335"/>
      <c r="M53" s="335"/>
      <c r="T53" s="408"/>
    </row>
    <row r="54" spans="9:20" x14ac:dyDescent="0.2">
      <c r="I54" s="409">
        <f t="shared" si="4"/>
        <v>44347</v>
      </c>
      <c r="J54" s="335" t="s">
        <v>303</v>
      </c>
      <c r="K54" s="335"/>
      <c r="L54" s="335"/>
      <c r="M54" s="335"/>
      <c r="T54" s="408"/>
    </row>
    <row r="55" spans="9:20" x14ac:dyDescent="0.2">
      <c r="I55" s="409">
        <f t="shared" si="4"/>
        <v>44354</v>
      </c>
      <c r="J55" s="335" t="s">
        <v>303</v>
      </c>
      <c r="K55" s="335"/>
      <c r="L55" s="335"/>
      <c r="M55" s="335"/>
      <c r="T55" s="408"/>
    </row>
    <row r="56" spans="9:20" x14ac:dyDescent="0.2">
      <c r="I56" s="427">
        <f t="shared" si="4"/>
        <v>44361</v>
      </c>
      <c r="J56" s="428" t="s">
        <v>305</v>
      </c>
      <c r="K56" s="335"/>
      <c r="L56" s="335"/>
      <c r="M56" s="335"/>
      <c r="T56" s="408"/>
    </row>
    <row r="57" spans="9:20" x14ac:dyDescent="0.2">
      <c r="I57" s="427">
        <f t="shared" si="4"/>
        <v>44368</v>
      </c>
      <c r="J57" s="428" t="s">
        <v>305</v>
      </c>
      <c r="K57" s="335"/>
      <c r="L57" s="335"/>
      <c r="M57" s="335"/>
      <c r="T57" s="408"/>
    </row>
    <row r="58" spans="9:20" x14ac:dyDescent="0.2">
      <c r="I58" s="427">
        <f t="shared" si="4"/>
        <v>44375</v>
      </c>
      <c r="J58" s="428" t="s">
        <v>305</v>
      </c>
      <c r="K58" s="335"/>
      <c r="L58" s="335"/>
      <c r="M58" s="335"/>
      <c r="T58" s="408"/>
    </row>
    <row r="59" spans="9:20" x14ac:dyDescent="0.2">
      <c r="I59" s="427">
        <f t="shared" si="4"/>
        <v>44382</v>
      </c>
      <c r="J59" s="428" t="s">
        <v>305</v>
      </c>
      <c r="K59" s="335"/>
      <c r="L59" s="335"/>
      <c r="M59" s="335"/>
      <c r="T59" s="408"/>
    </row>
    <row r="60" spans="9:20" x14ac:dyDescent="0.2">
      <c r="I60" s="427">
        <f t="shared" si="4"/>
        <v>44389</v>
      </c>
      <c r="J60" s="428" t="s">
        <v>305</v>
      </c>
      <c r="K60" s="335"/>
      <c r="L60" s="335"/>
      <c r="M60" s="335"/>
      <c r="T60" s="408"/>
    </row>
    <row r="61" spans="9:20" x14ac:dyDescent="0.2">
      <c r="I61" s="427">
        <f t="shared" si="4"/>
        <v>44396</v>
      </c>
      <c r="J61" s="428" t="s">
        <v>305</v>
      </c>
      <c r="K61" s="335"/>
      <c r="L61" s="335"/>
      <c r="M61" s="335"/>
      <c r="T61" s="408"/>
    </row>
    <row r="62" spans="9:20" x14ac:dyDescent="0.2">
      <c r="I62" s="427">
        <f t="shared" si="4"/>
        <v>44403</v>
      </c>
      <c r="J62" s="428" t="s">
        <v>305</v>
      </c>
      <c r="K62" s="335"/>
      <c r="L62" s="335"/>
      <c r="M62" s="335"/>
      <c r="T62" s="408"/>
    </row>
    <row r="63" spans="9:20" x14ac:dyDescent="0.2">
      <c r="I63" s="427">
        <f t="shared" si="4"/>
        <v>44410</v>
      </c>
      <c r="J63" s="428" t="s">
        <v>305</v>
      </c>
      <c r="K63" s="335"/>
      <c r="L63" s="335"/>
      <c r="M63" s="335"/>
      <c r="T63" s="408"/>
    </row>
    <row r="64" spans="9:20" x14ac:dyDescent="0.2">
      <c r="I64" s="427">
        <f t="shared" si="4"/>
        <v>44417</v>
      </c>
      <c r="J64" s="428" t="s">
        <v>305</v>
      </c>
      <c r="K64" s="335"/>
      <c r="L64" s="335"/>
      <c r="M64" s="335"/>
      <c r="T64" s="408"/>
    </row>
    <row r="65" spans="9:20" x14ac:dyDescent="0.2">
      <c r="I65" s="427">
        <f t="shared" si="4"/>
        <v>44424</v>
      </c>
      <c r="J65" s="428" t="s">
        <v>305</v>
      </c>
      <c r="K65" s="335"/>
      <c r="L65" s="335"/>
      <c r="M65" s="335"/>
      <c r="T65" s="408"/>
    </row>
    <row r="66" spans="9:20" x14ac:dyDescent="0.2">
      <c r="I66" s="427">
        <f t="shared" si="4"/>
        <v>44431</v>
      </c>
      <c r="J66" s="428" t="s">
        <v>305</v>
      </c>
      <c r="K66" s="335"/>
      <c r="L66" s="335"/>
      <c r="M66" s="335"/>
      <c r="T66" s="408"/>
    </row>
    <row r="67" spans="9:20" x14ac:dyDescent="0.2">
      <c r="I67" s="427">
        <f t="shared" si="4"/>
        <v>44438</v>
      </c>
      <c r="J67" s="428" t="s">
        <v>305</v>
      </c>
      <c r="K67" s="335"/>
      <c r="L67" s="335"/>
      <c r="M67" s="335"/>
      <c r="T67" s="408"/>
    </row>
    <row r="68" spans="9:20" x14ac:dyDescent="0.2">
      <c r="I68" s="427">
        <f t="shared" si="4"/>
        <v>44445</v>
      </c>
      <c r="J68" s="428" t="s">
        <v>305</v>
      </c>
      <c r="K68" s="335"/>
      <c r="L68" s="335"/>
      <c r="M68" s="335"/>
      <c r="T68" s="408"/>
    </row>
    <row r="69" spans="9:20" x14ac:dyDescent="0.2">
      <c r="I69" s="427">
        <f t="shared" si="4"/>
        <v>44452</v>
      </c>
      <c r="J69" s="428" t="s">
        <v>305</v>
      </c>
      <c r="K69" s="335"/>
      <c r="L69" s="335"/>
      <c r="M69" s="335"/>
      <c r="T69" s="408"/>
    </row>
    <row r="70" spans="9:20" x14ac:dyDescent="0.2">
      <c r="I70" s="427">
        <f t="shared" si="4"/>
        <v>44459</v>
      </c>
      <c r="J70" s="428" t="s">
        <v>305</v>
      </c>
      <c r="K70" s="335"/>
      <c r="L70" s="335"/>
      <c r="M70" s="335"/>
      <c r="T70" s="408"/>
    </row>
    <row r="71" spans="9:20" x14ac:dyDescent="0.2">
      <c r="I71" s="427">
        <f t="shared" si="4"/>
        <v>44466</v>
      </c>
      <c r="J71" s="428" t="s">
        <v>305</v>
      </c>
      <c r="K71" s="335"/>
      <c r="L71" s="335"/>
      <c r="M71" s="335"/>
      <c r="T71" s="408"/>
    </row>
    <row r="72" spans="9:20" x14ac:dyDescent="0.2">
      <c r="I72" s="427">
        <f t="shared" si="4"/>
        <v>44473</v>
      </c>
      <c r="J72" s="428" t="s">
        <v>303</v>
      </c>
      <c r="K72" s="335"/>
      <c r="L72" s="335"/>
      <c r="M72" s="335"/>
      <c r="T72" s="408"/>
    </row>
    <row r="73" spans="9:20" x14ac:dyDescent="0.2">
      <c r="I73" s="427">
        <f t="shared" si="4"/>
        <v>44480</v>
      </c>
      <c r="J73" s="428" t="s">
        <v>303</v>
      </c>
      <c r="K73" s="335"/>
      <c r="L73" s="335"/>
      <c r="M73" s="335"/>
      <c r="T73" s="408"/>
    </row>
    <row r="74" spans="9:20" x14ac:dyDescent="0.2">
      <c r="I74" s="427">
        <f t="shared" si="4"/>
        <v>44487</v>
      </c>
      <c r="J74" s="428" t="s">
        <v>303</v>
      </c>
      <c r="K74" s="335"/>
      <c r="L74" s="335"/>
      <c r="M74" s="335"/>
      <c r="T74" s="408"/>
    </row>
    <row r="75" spans="9:20" x14ac:dyDescent="0.2">
      <c r="I75" s="427">
        <f t="shared" si="4"/>
        <v>44494</v>
      </c>
      <c r="J75" s="428" t="s">
        <v>303</v>
      </c>
      <c r="K75" s="335"/>
      <c r="L75" s="335"/>
      <c r="M75" s="335"/>
      <c r="T75" s="408"/>
    </row>
    <row r="76" spans="9:20" x14ac:dyDescent="0.2">
      <c r="I76" s="427">
        <f t="shared" si="4"/>
        <v>44501</v>
      </c>
      <c r="J76" s="428" t="s">
        <v>303</v>
      </c>
      <c r="K76" s="335"/>
      <c r="L76" s="335"/>
      <c r="M76" s="335"/>
      <c r="T76" s="408"/>
    </row>
    <row r="77" spans="9:20" x14ac:dyDescent="0.2">
      <c r="I77" s="427">
        <f t="shared" si="4"/>
        <v>44508</v>
      </c>
      <c r="J77" s="428" t="s">
        <v>303</v>
      </c>
      <c r="K77" s="335"/>
      <c r="L77" s="335"/>
      <c r="M77" s="335"/>
      <c r="T77" s="408"/>
    </row>
    <row r="78" spans="9:20" x14ac:dyDescent="0.2">
      <c r="I78" s="427">
        <f t="shared" si="4"/>
        <v>44515</v>
      </c>
      <c r="J78" s="428" t="s">
        <v>303</v>
      </c>
      <c r="K78" s="335"/>
      <c r="L78" s="335"/>
      <c r="M78" s="335"/>
      <c r="T78" s="408"/>
    </row>
    <row r="79" spans="9:20" x14ac:dyDescent="0.2">
      <c r="I79" s="427">
        <f t="shared" si="4"/>
        <v>44522</v>
      </c>
      <c r="J79" s="428" t="s">
        <v>303</v>
      </c>
      <c r="K79" s="335"/>
      <c r="L79" s="335"/>
      <c r="M79" s="335"/>
      <c r="T79" s="408"/>
    </row>
    <row r="80" spans="9:20" x14ac:dyDescent="0.2">
      <c r="I80" s="427">
        <f t="shared" si="4"/>
        <v>44529</v>
      </c>
      <c r="J80" s="428" t="s">
        <v>303</v>
      </c>
      <c r="K80" s="335"/>
      <c r="L80" s="335"/>
      <c r="M80" s="335"/>
      <c r="T80" s="408"/>
    </row>
    <row r="81" spans="9:20" x14ac:dyDescent="0.2">
      <c r="I81" s="427">
        <f t="shared" si="4"/>
        <v>44536</v>
      </c>
      <c r="J81" s="428" t="s">
        <v>303</v>
      </c>
      <c r="K81" s="335"/>
      <c r="L81" s="335"/>
      <c r="M81" s="335"/>
      <c r="T81" s="408"/>
    </row>
    <row r="82" spans="9:20" x14ac:dyDescent="0.2">
      <c r="I82" s="427">
        <f t="shared" si="4"/>
        <v>44543</v>
      </c>
      <c r="J82" s="428" t="s">
        <v>303</v>
      </c>
      <c r="K82" s="335"/>
      <c r="L82" s="335"/>
      <c r="M82" s="335"/>
      <c r="T82" s="408"/>
    </row>
    <row r="83" spans="9:20" x14ac:dyDescent="0.2">
      <c r="I83" s="427">
        <f t="shared" si="4"/>
        <v>44550</v>
      </c>
      <c r="J83" s="428" t="s">
        <v>305</v>
      </c>
      <c r="K83" s="406" t="s">
        <v>321</v>
      </c>
      <c r="T83" s="408"/>
    </row>
    <row r="84" spans="9:20" x14ac:dyDescent="0.2">
      <c r="I84" s="427">
        <f t="shared" si="4"/>
        <v>44557</v>
      </c>
      <c r="J84" s="428" t="s">
        <v>305</v>
      </c>
      <c r="T84" s="408"/>
    </row>
    <row r="85" spans="9:20" x14ac:dyDescent="0.2">
      <c r="I85" s="427">
        <f t="shared" si="4"/>
        <v>44564</v>
      </c>
      <c r="J85" s="428" t="s">
        <v>305</v>
      </c>
      <c r="T85" s="408"/>
    </row>
    <row r="86" spans="9:20" x14ac:dyDescent="0.2">
      <c r="I86" s="427">
        <f t="shared" si="4"/>
        <v>44571</v>
      </c>
      <c r="J86" s="428" t="s">
        <v>303</v>
      </c>
      <c r="T86" s="408"/>
    </row>
    <row r="87" spans="9:20" x14ac:dyDescent="0.2">
      <c r="I87" s="427">
        <f t="shared" si="4"/>
        <v>44578</v>
      </c>
      <c r="J87" s="428" t="s">
        <v>303</v>
      </c>
      <c r="T87" s="408"/>
    </row>
    <row r="88" spans="9:20" x14ac:dyDescent="0.2">
      <c r="I88" s="427">
        <f t="shared" si="4"/>
        <v>44585</v>
      </c>
      <c r="J88" s="428" t="s">
        <v>303</v>
      </c>
      <c r="T88" s="408"/>
    </row>
    <row r="89" spans="9:20" x14ac:dyDescent="0.2">
      <c r="I89" s="427">
        <f t="shared" si="4"/>
        <v>44592</v>
      </c>
      <c r="J89" s="428" t="s">
        <v>303</v>
      </c>
      <c r="T89" s="408"/>
    </row>
    <row r="90" spans="9:20" x14ac:dyDescent="0.2">
      <c r="I90" s="427">
        <f t="shared" si="4"/>
        <v>44599</v>
      </c>
      <c r="J90" s="428" t="s">
        <v>303</v>
      </c>
      <c r="T90" s="408"/>
    </row>
    <row r="91" spans="9:20" x14ac:dyDescent="0.2">
      <c r="I91" s="427">
        <f t="shared" si="4"/>
        <v>44606</v>
      </c>
      <c r="J91" s="428" t="s">
        <v>303</v>
      </c>
      <c r="T91" s="408"/>
    </row>
    <row r="92" spans="9:20" x14ac:dyDescent="0.2">
      <c r="I92" s="427">
        <f t="shared" si="4"/>
        <v>44613</v>
      </c>
      <c r="J92" s="428" t="s">
        <v>303</v>
      </c>
      <c r="T92" s="408"/>
    </row>
    <row r="93" spans="9:20" x14ac:dyDescent="0.2">
      <c r="I93" s="427">
        <f t="shared" si="4"/>
        <v>44620</v>
      </c>
      <c r="J93" s="428" t="s">
        <v>303</v>
      </c>
      <c r="T93" s="408"/>
    </row>
    <row r="94" spans="9:20" x14ac:dyDescent="0.2">
      <c r="I94" s="427">
        <f t="shared" si="4"/>
        <v>44627</v>
      </c>
      <c r="J94" s="428" t="s">
        <v>303</v>
      </c>
      <c r="T94" s="408"/>
    </row>
    <row r="95" spans="9:20" x14ac:dyDescent="0.2">
      <c r="I95" s="427">
        <f t="shared" si="4"/>
        <v>44634</v>
      </c>
      <c r="J95" s="428" t="s">
        <v>303</v>
      </c>
      <c r="T95" s="408"/>
    </row>
    <row r="96" spans="9:20" x14ac:dyDescent="0.2">
      <c r="I96" s="427">
        <f t="shared" si="4"/>
        <v>44641</v>
      </c>
      <c r="J96" s="428" t="s">
        <v>303</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322</v>
      </c>
    </row>
    <row r="2" spans="1:22" x14ac:dyDescent="0.2">
      <c r="A2" s="16"/>
      <c r="B2" s="16"/>
      <c r="C2" s="16" t="s">
        <v>323</v>
      </c>
      <c r="D2" s="414" t="s">
        <v>324</v>
      </c>
      <c r="E2" s="414" t="s">
        <v>325</v>
      </c>
      <c r="F2" s="414" t="s">
        <v>326</v>
      </c>
      <c r="G2" s="16" t="s">
        <v>327</v>
      </c>
      <c r="H2" s="16" t="s">
        <v>328</v>
      </c>
      <c r="I2" s="16" t="s">
        <v>329</v>
      </c>
      <c r="J2" s="16" t="s">
        <v>330</v>
      </c>
      <c r="K2" s="16"/>
    </row>
    <row r="3" spans="1:22" x14ac:dyDescent="0.2">
      <c r="A3" s="16" t="s">
        <v>331</v>
      </c>
      <c r="B3" s="16">
        <v>0</v>
      </c>
      <c r="C3" s="16">
        <v>2</v>
      </c>
      <c r="D3" s="415">
        <v>4.3499999999999996</v>
      </c>
      <c r="E3" s="415">
        <v>4.3499999999999996</v>
      </c>
      <c r="F3" s="415">
        <v>4.55</v>
      </c>
      <c r="G3" s="22">
        <v>4.55</v>
      </c>
      <c r="H3" s="22">
        <v>4.55</v>
      </c>
      <c r="I3" s="22">
        <v>4.62</v>
      </c>
      <c r="J3" s="22">
        <v>4.62</v>
      </c>
      <c r="K3" s="16"/>
    </row>
    <row r="4" spans="1:22" x14ac:dyDescent="0.2">
      <c r="A4" s="16" t="s">
        <v>332</v>
      </c>
      <c r="B4" s="16">
        <v>18</v>
      </c>
      <c r="C4" s="16">
        <v>3</v>
      </c>
      <c r="D4" s="415">
        <v>6.15</v>
      </c>
      <c r="E4" s="415">
        <v>6.15</v>
      </c>
      <c r="F4" s="415">
        <v>6.45</v>
      </c>
      <c r="G4" s="22">
        <v>6.45</v>
      </c>
      <c r="H4" s="22">
        <v>6.45</v>
      </c>
      <c r="I4" s="22">
        <v>6.56</v>
      </c>
      <c r="J4" s="22">
        <v>6.56</v>
      </c>
      <c r="K4" s="16"/>
    </row>
    <row r="5" spans="1:22" x14ac:dyDescent="0.2">
      <c r="A5" s="16" t="s">
        <v>333</v>
      </c>
      <c r="B5" s="16">
        <v>21</v>
      </c>
      <c r="C5" s="16">
        <v>4</v>
      </c>
      <c r="D5" s="415">
        <v>7.7</v>
      </c>
      <c r="E5" s="415">
        <v>7.7</v>
      </c>
      <c r="F5" s="415">
        <v>8.1999999999999993</v>
      </c>
      <c r="G5" s="22">
        <v>8.1999999999999993</v>
      </c>
      <c r="H5" s="22">
        <v>8.1999999999999993</v>
      </c>
      <c r="I5" s="22">
        <v>8.36</v>
      </c>
      <c r="J5" s="22">
        <v>8.36</v>
      </c>
      <c r="K5" s="16"/>
    </row>
    <row r="6" spans="1:22" x14ac:dyDescent="0.2">
      <c r="A6" s="16" t="s">
        <v>334</v>
      </c>
      <c r="B6" s="16">
        <v>23</v>
      </c>
      <c r="C6" s="16">
        <v>5</v>
      </c>
      <c r="D6" s="415">
        <v>7.7</v>
      </c>
      <c r="E6" s="415">
        <v>7.7</v>
      </c>
      <c r="F6" s="415">
        <v>8.1999999999999993</v>
      </c>
      <c r="G6" s="22">
        <v>8.1999999999999993</v>
      </c>
      <c r="H6" s="22">
        <v>8.1999999999999993</v>
      </c>
      <c r="I6" s="22">
        <v>8.91</v>
      </c>
      <c r="J6" s="22">
        <v>8.91</v>
      </c>
      <c r="K6" s="16"/>
    </row>
    <row r="7" spans="1:22" x14ac:dyDescent="0.2">
      <c r="A7" s="16" t="s">
        <v>335</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336</v>
      </c>
      <c r="B8" s="16" t="s">
        <v>100</v>
      </c>
      <c r="C8" s="16">
        <v>7</v>
      </c>
      <c r="D8" s="416">
        <v>8.75</v>
      </c>
      <c r="E8" s="416">
        <v>8.75</v>
      </c>
      <c r="F8" s="416">
        <v>8.92</v>
      </c>
      <c r="G8" s="331">
        <v>9.42</v>
      </c>
      <c r="H8" s="331">
        <v>9.42</v>
      </c>
      <c r="I8" s="331">
        <v>9.6300000000000008</v>
      </c>
      <c r="J8" s="331">
        <v>9.6999999999999993</v>
      </c>
      <c r="K8" s="16" t="s">
        <v>337</v>
      </c>
      <c r="T8" s="12"/>
      <c r="U8" s="12"/>
      <c r="V8" s="12"/>
    </row>
    <row r="9" spans="1:22" x14ac:dyDescent="0.2">
      <c r="A9" s="16" t="s">
        <v>338</v>
      </c>
      <c r="B9" s="16" t="s">
        <v>100</v>
      </c>
      <c r="C9" s="16">
        <v>8</v>
      </c>
      <c r="D9" s="416">
        <v>8.92</v>
      </c>
      <c r="E9" s="416">
        <v>8.92</v>
      </c>
      <c r="F9" s="416">
        <v>8.92</v>
      </c>
      <c r="G9" s="331">
        <v>9.59</v>
      </c>
      <c r="H9" s="331">
        <v>9.59</v>
      </c>
      <c r="I9" s="331">
        <v>9.6999999999999993</v>
      </c>
      <c r="J9" s="331">
        <v>9.8699999999999992</v>
      </c>
      <c r="K9" s="16" t="s">
        <v>339</v>
      </c>
    </row>
    <row r="10" spans="1:22" x14ac:dyDescent="0.2">
      <c r="A10" s="16" t="s">
        <v>340</v>
      </c>
      <c r="B10" s="16" t="s">
        <v>100</v>
      </c>
      <c r="C10" s="16">
        <v>9</v>
      </c>
      <c r="D10" s="416">
        <v>9.59</v>
      </c>
      <c r="E10" s="416">
        <v>9.59</v>
      </c>
      <c r="F10" s="416">
        <v>9.59</v>
      </c>
      <c r="G10" s="331">
        <v>9.9700000000000006</v>
      </c>
      <c r="H10" s="331">
        <v>9.9700000000000006</v>
      </c>
      <c r="I10" s="331">
        <v>9.9700000000000006</v>
      </c>
      <c r="J10" s="331">
        <v>10.23</v>
      </c>
      <c r="K10" s="16" t="s">
        <v>341</v>
      </c>
    </row>
    <row r="11" spans="1:22" x14ac:dyDescent="0.2">
      <c r="A11" s="16" t="s">
        <v>342</v>
      </c>
      <c r="B11" s="16" t="s">
        <v>100</v>
      </c>
      <c r="C11" s="16">
        <v>10</v>
      </c>
      <c r="D11" s="416">
        <v>11.01</v>
      </c>
      <c r="E11" s="416">
        <v>11.01</v>
      </c>
      <c r="F11" s="416">
        <v>11.01</v>
      </c>
      <c r="G11" s="331">
        <v>11.01</v>
      </c>
      <c r="H11" s="331">
        <v>11.01</v>
      </c>
      <c r="I11" s="331">
        <v>11.01</v>
      </c>
      <c r="J11" s="331">
        <v>11.26</v>
      </c>
      <c r="K11" s="16"/>
    </row>
    <row r="12" spans="1:22" x14ac:dyDescent="0.2">
      <c r="A12" s="16" t="s">
        <v>343</v>
      </c>
      <c r="B12" s="16" t="s">
        <v>100</v>
      </c>
      <c r="C12" s="16">
        <v>11</v>
      </c>
      <c r="D12" s="416">
        <v>13.82</v>
      </c>
      <c r="E12" s="416">
        <v>13.82</v>
      </c>
      <c r="F12" s="416">
        <v>13.82</v>
      </c>
      <c r="G12" s="331">
        <v>13.82</v>
      </c>
      <c r="H12" s="331">
        <v>13.82</v>
      </c>
      <c r="I12" s="331">
        <v>13.82</v>
      </c>
      <c r="J12" s="331">
        <v>14.04</v>
      </c>
      <c r="K12" s="16"/>
    </row>
    <row r="13" spans="1:22" x14ac:dyDescent="0.2">
      <c r="A13" s="16" t="s">
        <v>344</v>
      </c>
      <c r="B13" s="16" t="s">
        <v>100</v>
      </c>
      <c r="C13" s="16">
        <v>12</v>
      </c>
      <c r="D13" s="416">
        <v>16.95</v>
      </c>
      <c r="E13" s="416">
        <v>16.95</v>
      </c>
      <c r="F13" s="416">
        <v>16.95</v>
      </c>
      <c r="G13" s="331">
        <v>16.95</v>
      </c>
      <c r="H13" s="331">
        <v>16.95</v>
      </c>
      <c r="I13" s="331">
        <v>16.95</v>
      </c>
      <c r="J13" s="331">
        <v>17.21</v>
      </c>
      <c r="K13" s="16"/>
    </row>
    <row r="14" spans="1:22" x14ac:dyDescent="0.2">
      <c r="A14" s="16" t="s">
        <v>345</v>
      </c>
      <c r="B14" s="16" t="s">
        <v>100</v>
      </c>
      <c r="C14" s="16">
        <v>13</v>
      </c>
      <c r="D14" s="416">
        <v>18.52</v>
      </c>
      <c r="E14" s="416">
        <v>18.52</v>
      </c>
      <c r="F14" s="416">
        <v>18.52</v>
      </c>
      <c r="G14" s="331">
        <v>18.52</v>
      </c>
      <c r="H14" s="331">
        <v>18.52</v>
      </c>
      <c r="I14" s="331">
        <v>18.52</v>
      </c>
      <c r="J14" s="331">
        <v>18.8</v>
      </c>
      <c r="K14" s="16"/>
    </row>
    <row r="15" spans="1:22" x14ac:dyDescent="0.2">
      <c r="A15" s="16" t="s">
        <v>346</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347</v>
      </c>
      <c r="B16" s="16" t="s">
        <v>100</v>
      </c>
      <c r="C16" s="16">
        <v>15</v>
      </c>
      <c r="D16" s="417">
        <v>8.75</v>
      </c>
      <c r="E16" s="417">
        <v>8.92</v>
      </c>
      <c r="F16" s="417">
        <v>8.92</v>
      </c>
      <c r="G16" s="329">
        <v>8.92</v>
      </c>
      <c r="H16" s="329">
        <v>9.42</v>
      </c>
      <c r="I16" s="329">
        <v>9.6999999999999993</v>
      </c>
      <c r="J16" s="329">
        <v>9.8699999999999992</v>
      </c>
      <c r="K16" s="330" t="s">
        <v>348</v>
      </c>
      <c r="L16" s="49"/>
      <c r="M16" s="49"/>
      <c r="N16" s="49"/>
      <c r="O16" s="49"/>
    </row>
    <row r="17" spans="1:15" x14ac:dyDescent="0.2">
      <c r="A17" s="16" t="s">
        <v>349</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350</v>
      </c>
    </row>
    <row r="18" spans="1:15" x14ac:dyDescent="0.2">
      <c r="A18" s="16" t="s">
        <v>351</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352</v>
      </c>
      <c r="B19" s="16" t="s">
        <v>100</v>
      </c>
      <c r="C19" s="16">
        <v>18</v>
      </c>
      <c r="D19" s="418">
        <v>9.42</v>
      </c>
      <c r="E19" s="418">
        <v>9.42</v>
      </c>
      <c r="F19" s="418">
        <v>9.42</v>
      </c>
      <c r="G19" s="332">
        <v>9.59</v>
      </c>
      <c r="H19" s="332">
        <v>9.59</v>
      </c>
      <c r="I19" s="332">
        <v>9.6999999999999993</v>
      </c>
      <c r="J19" s="331">
        <v>9.8699999999999992</v>
      </c>
      <c r="K19" s="16" t="s">
        <v>353</v>
      </c>
    </row>
    <row r="20" spans="1:15" x14ac:dyDescent="0.2">
      <c r="A20" s="16" t="s">
        <v>354</v>
      </c>
      <c r="B20" s="16" t="s">
        <v>100</v>
      </c>
      <c r="C20" s="16">
        <v>19</v>
      </c>
      <c r="D20" s="418">
        <v>12.65</v>
      </c>
      <c r="E20" s="418">
        <v>12.65</v>
      </c>
      <c r="F20" s="418">
        <v>12.65</v>
      </c>
      <c r="G20" s="332">
        <v>12.65</v>
      </c>
      <c r="H20" s="332">
        <v>12.65</v>
      </c>
      <c r="I20" s="332">
        <v>12.65</v>
      </c>
      <c r="J20" s="332">
        <v>12.88</v>
      </c>
      <c r="K20" s="16" t="s">
        <v>355</v>
      </c>
    </row>
    <row r="21" spans="1:15" x14ac:dyDescent="0.2">
      <c r="A21" s="16" t="s">
        <v>356</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357</v>
      </c>
    </row>
    <row r="22" spans="1:15" x14ac:dyDescent="0.2">
      <c r="A22" s="16" t="s">
        <v>358</v>
      </c>
      <c r="B22" s="16" t="s">
        <v>100</v>
      </c>
      <c r="C22" s="16">
        <v>21</v>
      </c>
      <c r="D22" s="418">
        <v>9.08</v>
      </c>
      <c r="E22" s="418">
        <v>9.08</v>
      </c>
      <c r="F22" s="418">
        <v>9.42</v>
      </c>
      <c r="G22" s="332">
        <v>9.42</v>
      </c>
      <c r="H22" s="332">
        <v>9.42</v>
      </c>
      <c r="I22" s="332">
        <v>9.6300000000000008</v>
      </c>
      <c r="J22" s="331">
        <v>9.6999999999999993</v>
      </c>
      <c r="K22" s="16" t="s">
        <v>359</v>
      </c>
    </row>
    <row r="23" spans="1:15" x14ac:dyDescent="0.2">
      <c r="A23" s="16" t="s">
        <v>360</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357</v>
      </c>
    </row>
    <row r="24" spans="1:15" x14ac:dyDescent="0.2">
      <c r="A24" s="16" t="s">
        <v>361</v>
      </c>
      <c r="B24" s="16" t="s">
        <v>100</v>
      </c>
      <c r="C24" s="16">
        <v>23</v>
      </c>
      <c r="D24" s="418">
        <v>9.42</v>
      </c>
      <c r="E24" s="418">
        <v>9.42</v>
      </c>
      <c r="F24" s="418">
        <v>9.42</v>
      </c>
      <c r="G24" s="332">
        <v>9.42</v>
      </c>
      <c r="H24" s="332">
        <v>9.42</v>
      </c>
      <c r="I24" s="332">
        <v>9.6300000000000008</v>
      </c>
      <c r="J24" s="331">
        <v>9.6999999999999993</v>
      </c>
      <c r="K24" s="16" t="s">
        <v>359</v>
      </c>
    </row>
    <row r="25" spans="1:15" x14ac:dyDescent="0.2">
      <c r="A25" s="16" t="s">
        <v>362</v>
      </c>
      <c r="B25" s="16" t="s">
        <v>100</v>
      </c>
      <c r="C25" s="16">
        <v>24</v>
      </c>
      <c r="D25" s="417">
        <f>D10</f>
        <v>9.59</v>
      </c>
      <c r="E25" s="417">
        <f>E10</f>
        <v>9.59</v>
      </c>
      <c r="F25" s="417">
        <f>F10</f>
        <v>9.59</v>
      </c>
      <c r="G25" s="329">
        <v>9.59</v>
      </c>
      <c r="H25" s="329">
        <v>9.59</v>
      </c>
      <c r="I25" s="329">
        <v>9.6999999999999993</v>
      </c>
      <c r="J25" s="329">
        <v>9.8699999999999992</v>
      </c>
      <c r="K25" s="16" t="s">
        <v>363</v>
      </c>
    </row>
    <row r="26" spans="1:15" x14ac:dyDescent="0.2">
      <c r="A26" s="16" t="s">
        <v>364</v>
      </c>
      <c r="B26" s="16" t="s">
        <v>100</v>
      </c>
      <c r="C26" s="16">
        <v>25</v>
      </c>
      <c r="D26" s="418">
        <v>11.31</v>
      </c>
      <c r="E26" s="418">
        <v>11.31</v>
      </c>
      <c r="F26" s="418">
        <v>11.31</v>
      </c>
      <c r="G26" s="332">
        <v>11.31</v>
      </c>
      <c r="H26" s="332">
        <v>11.31</v>
      </c>
      <c r="I26" s="332">
        <v>11.31</v>
      </c>
      <c r="J26" s="332">
        <v>11.55</v>
      </c>
      <c r="K26" s="16" t="s">
        <v>365</v>
      </c>
    </row>
    <row r="27" spans="1:15" x14ac:dyDescent="0.2">
      <c r="A27" s="16" t="s">
        <v>366</v>
      </c>
      <c r="B27" s="16" t="s">
        <v>100</v>
      </c>
      <c r="C27" s="16">
        <v>26</v>
      </c>
      <c r="D27" s="418">
        <v>21.45</v>
      </c>
      <c r="E27" s="418">
        <v>21.45</v>
      </c>
      <c r="F27" s="418">
        <v>21.45</v>
      </c>
      <c r="G27" s="332">
        <v>21.45</v>
      </c>
      <c r="H27" s="332">
        <v>21.45</v>
      </c>
      <c r="I27" s="332">
        <v>21.45</v>
      </c>
      <c r="J27" s="332">
        <v>21.77</v>
      </c>
      <c r="K27" s="16" t="s">
        <v>367</v>
      </c>
    </row>
    <row r="28" spans="1:15" x14ac:dyDescent="0.2">
      <c r="A28" s="16" t="s">
        <v>368</v>
      </c>
      <c r="B28" s="16" t="s">
        <v>100</v>
      </c>
      <c r="C28" s="16">
        <v>27</v>
      </c>
      <c r="D28" s="418">
        <v>13.03</v>
      </c>
      <c r="E28" s="418">
        <v>13.03</v>
      </c>
      <c r="F28" s="418">
        <v>13.03</v>
      </c>
      <c r="G28" s="332">
        <v>13.03</v>
      </c>
      <c r="H28" s="332">
        <v>13.03</v>
      </c>
      <c r="I28" s="332">
        <v>13.03</v>
      </c>
      <c r="J28" s="332">
        <v>13.25</v>
      </c>
      <c r="K28" s="16" t="s">
        <v>369</v>
      </c>
    </row>
    <row r="29" spans="1:15" x14ac:dyDescent="0.2">
      <c r="A29" s="16" t="s">
        <v>370</v>
      </c>
      <c r="B29" s="16" t="s">
        <v>100</v>
      </c>
      <c r="C29" s="16">
        <v>28</v>
      </c>
      <c r="D29" s="416">
        <v>8.75</v>
      </c>
      <c r="E29" s="416">
        <v>8.75</v>
      </c>
      <c r="F29" s="416">
        <v>8.92</v>
      </c>
      <c r="G29" s="331">
        <v>9.59</v>
      </c>
      <c r="H29" s="331">
        <v>9.59</v>
      </c>
      <c r="I29" s="331">
        <v>9.6999999999999993</v>
      </c>
      <c r="J29" s="331">
        <v>9.6999999999999993</v>
      </c>
      <c r="K29" s="330" t="s">
        <v>371</v>
      </c>
    </row>
    <row r="30" spans="1:15" x14ac:dyDescent="0.2">
      <c r="A30" s="16" t="s">
        <v>372</v>
      </c>
      <c r="B30" s="16" t="s">
        <v>100</v>
      </c>
      <c r="C30" s="16">
        <v>29</v>
      </c>
      <c r="D30" s="416">
        <v>8.92</v>
      </c>
      <c r="E30" s="416">
        <v>8.92</v>
      </c>
      <c r="F30" s="416">
        <v>9.42</v>
      </c>
      <c r="G30" s="331">
        <v>9.77</v>
      </c>
      <c r="H30" s="331">
        <v>10.19</v>
      </c>
      <c r="I30" s="331">
        <v>10.19</v>
      </c>
      <c r="J30" s="331">
        <v>10.45</v>
      </c>
      <c r="K30" s="16" t="s">
        <v>373</v>
      </c>
    </row>
    <row r="31" spans="1:15" x14ac:dyDescent="0.2">
      <c r="A31" s="16" t="s">
        <v>374</v>
      </c>
      <c r="B31" s="16" t="s">
        <v>100</v>
      </c>
      <c r="C31" s="16">
        <v>30</v>
      </c>
      <c r="D31" s="416">
        <v>13.03</v>
      </c>
      <c r="E31" s="416">
        <v>13.03</v>
      </c>
      <c r="F31" s="416">
        <v>13.03</v>
      </c>
      <c r="G31" s="331">
        <v>13.03</v>
      </c>
      <c r="H31" s="331">
        <v>13.03</v>
      </c>
      <c r="I31" s="331">
        <v>13.03</v>
      </c>
      <c r="J31" s="332">
        <v>13.25</v>
      </c>
      <c r="K31" s="16" t="s">
        <v>369</v>
      </c>
    </row>
    <row r="32" spans="1:15" x14ac:dyDescent="0.2">
      <c r="A32" s="16" t="s">
        <v>351</v>
      </c>
      <c r="B32" s="16" t="s">
        <v>100</v>
      </c>
      <c r="C32" s="16">
        <v>31</v>
      </c>
      <c r="D32" s="416">
        <v>0</v>
      </c>
      <c r="E32" s="416">
        <v>0</v>
      </c>
      <c r="F32" s="416">
        <v>0</v>
      </c>
      <c r="G32" s="331">
        <v>0</v>
      </c>
      <c r="H32" s="331">
        <v>0</v>
      </c>
      <c r="I32" s="331">
        <v>0</v>
      </c>
      <c r="J32" s="331">
        <v>0</v>
      </c>
      <c r="K32" s="16"/>
    </row>
    <row r="33" spans="1:11" x14ac:dyDescent="0.2">
      <c r="A33" s="16" t="s">
        <v>351</v>
      </c>
      <c r="B33" s="16" t="s">
        <v>100</v>
      </c>
      <c r="C33" s="16">
        <v>32</v>
      </c>
      <c r="D33" s="416">
        <v>0</v>
      </c>
      <c r="E33" s="416">
        <v>0</v>
      </c>
      <c r="F33" s="416">
        <v>0</v>
      </c>
      <c r="G33" s="331">
        <v>0</v>
      </c>
      <c r="H33" s="331">
        <v>0</v>
      </c>
      <c r="I33" s="331">
        <v>0</v>
      </c>
      <c r="J33" s="331">
        <v>0</v>
      </c>
      <c r="K33" s="16"/>
    </row>
    <row r="34" spans="1:11" x14ac:dyDescent="0.2">
      <c r="A34" s="16" t="s">
        <v>351</v>
      </c>
      <c r="B34" s="16" t="s">
        <v>100</v>
      </c>
      <c r="C34" s="16">
        <v>33</v>
      </c>
      <c r="D34" s="416">
        <v>0</v>
      </c>
      <c r="E34" s="416">
        <v>0</v>
      </c>
      <c r="F34" s="416">
        <v>0</v>
      </c>
      <c r="G34" s="331">
        <v>0</v>
      </c>
      <c r="H34" s="331">
        <v>0</v>
      </c>
      <c r="I34" s="331">
        <v>0</v>
      </c>
      <c r="J34" s="331">
        <v>0</v>
      </c>
      <c r="K34" s="16"/>
    </row>
    <row r="35" spans="1:11" x14ac:dyDescent="0.2">
      <c r="A35" s="16" t="s">
        <v>351</v>
      </c>
      <c r="B35" s="16" t="s">
        <v>100</v>
      </c>
      <c r="C35" s="16">
        <v>34</v>
      </c>
      <c r="D35" s="416">
        <v>0</v>
      </c>
      <c r="E35" s="416">
        <v>0</v>
      </c>
      <c r="F35" s="416">
        <v>0</v>
      </c>
      <c r="G35" s="331">
        <v>0</v>
      </c>
      <c r="H35" s="331">
        <v>0</v>
      </c>
      <c r="I35" s="331">
        <v>0</v>
      </c>
      <c r="J35" s="331">
        <v>0</v>
      </c>
      <c r="K35" s="16"/>
    </row>
    <row r="36" spans="1:11" x14ac:dyDescent="0.2">
      <c r="A36" s="16" t="s">
        <v>375</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376</v>
      </c>
      <c r="B3" s="16"/>
      <c r="C3" s="16"/>
      <c r="D3" s="16"/>
      <c r="E3" s="17" t="s">
        <v>377</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378</v>
      </c>
      <c r="V3" s="16"/>
      <c r="W3" s="17" t="str">
        <f>A13</f>
        <v>Internship Third Sector</v>
      </c>
      <c r="X3" s="16"/>
      <c r="Y3" s="17" t="str">
        <f>A14</f>
        <v>Internship UoS</v>
      </c>
      <c r="Z3" s="16"/>
      <c r="AA3" s="17" t="s">
        <v>379</v>
      </c>
      <c r="AB3" s="16"/>
      <c r="AC3" s="17" t="str">
        <f>A16</f>
        <v>Lecturing</v>
      </c>
      <c r="AD3" s="16"/>
      <c r="AE3" s="17" t="str">
        <f>A17</f>
        <v>Library Work</v>
      </c>
      <c r="AF3" s="16"/>
      <c r="AG3" s="17" t="str">
        <f>A18</f>
        <v>Marking</v>
      </c>
      <c r="AH3" s="16"/>
      <c r="AI3" s="341" t="s">
        <v>380</v>
      </c>
      <c r="AJ3" s="17" t="s">
        <v>381</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382</v>
      </c>
      <c r="C5" s="24" t="s">
        <v>382</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383</v>
      </c>
      <c r="B6" s="16">
        <v>4011</v>
      </c>
      <c r="C6" s="16" t="s">
        <v>384</v>
      </c>
      <c r="D6" s="16"/>
      <c r="E6" s="16" t="s">
        <v>336</v>
      </c>
      <c r="F6" s="16"/>
      <c r="G6" s="16" t="s">
        <v>336</v>
      </c>
      <c r="H6" s="16"/>
      <c r="I6" s="16" t="s">
        <v>349</v>
      </c>
      <c r="J6" s="16"/>
      <c r="K6" s="16" t="s">
        <v>375</v>
      </c>
      <c r="L6" s="16"/>
      <c r="M6" s="16" t="s">
        <v>375</v>
      </c>
      <c r="N6" s="16"/>
      <c r="O6" s="16" t="s">
        <v>117</v>
      </c>
      <c r="P6" s="16"/>
      <c r="Q6" s="16" t="s">
        <v>336</v>
      </c>
      <c r="R6" s="16"/>
      <c r="S6" s="16" t="s">
        <v>352</v>
      </c>
      <c r="T6" s="16"/>
      <c r="U6" s="16" t="s">
        <v>117</v>
      </c>
      <c r="V6" s="16"/>
      <c r="W6" s="16" t="s">
        <v>347</v>
      </c>
      <c r="X6" s="16"/>
      <c r="Y6" s="16" t="s">
        <v>347</v>
      </c>
      <c r="Z6" s="16"/>
      <c r="AA6" s="16" t="s">
        <v>364</v>
      </c>
      <c r="AB6" s="16"/>
      <c r="AC6" s="16" t="s">
        <v>345</v>
      </c>
      <c r="AD6" s="16"/>
      <c r="AE6" s="16" t="s">
        <v>338</v>
      </c>
      <c r="AF6" s="16"/>
      <c r="AG6" s="16" t="s">
        <v>346</v>
      </c>
      <c r="AH6" s="16"/>
      <c r="AI6" s="16" t="s">
        <v>336</v>
      </c>
      <c r="AJ6" s="16" t="s">
        <v>336</v>
      </c>
      <c r="AK6" s="16" t="s">
        <v>336</v>
      </c>
      <c r="AL6" s="16"/>
      <c r="AM6" s="16" t="s">
        <v>336</v>
      </c>
      <c r="AN6" s="16"/>
      <c r="AO6" s="16" t="s">
        <v>346</v>
      </c>
      <c r="AP6" s="16"/>
      <c r="AQ6" s="335" t="s">
        <v>368</v>
      </c>
      <c r="AR6" s="16"/>
      <c r="AS6" s="16"/>
      <c r="AT6" s="16"/>
      <c r="AV6" s="16"/>
      <c r="AX6" s="16"/>
      <c r="AZ6" s="16"/>
      <c r="BB6" s="16"/>
      <c r="BC6" s="16"/>
    </row>
    <row r="7" spans="1:55" x14ac:dyDescent="0.2">
      <c r="A7" s="16" t="s">
        <v>385</v>
      </c>
      <c r="B7" s="16">
        <v>4006</v>
      </c>
      <c r="C7" s="16" t="s">
        <v>384</v>
      </c>
      <c r="D7" s="16"/>
      <c r="E7" s="16" t="s">
        <v>338</v>
      </c>
      <c r="F7" s="16"/>
      <c r="G7" s="16" t="s">
        <v>338</v>
      </c>
      <c r="H7" s="16"/>
      <c r="I7" s="16" t="s">
        <v>336</v>
      </c>
      <c r="J7" s="16"/>
      <c r="K7" s="16" t="s">
        <v>336</v>
      </c>
      <c r="L7" s="16"/>
      <c r="M7" s="16" t="s">
        <v>336</v>
      </c>
      <c r="N7" s="16"/>
      <c r="O7" s="16"/>
      <c r="P7" s="16"/>
      <c r="Q7" s="16" t="s">
        <v>117</v>
      </c>
      <c r="R7" s="16"/>
      <c r="S7" s="16" t="s">
        <v>354</v>
      </c>
      <c r="T7" s="16"/>
      <c r="U7" s="16"/>
      <c r="V7" s="16"/>
      <c r="W7" s="16" t="s">
        <v>117</v>
      </c>
      <c r="X7" s="16"/>
      <c r="Y7" s="16" t="s">
        <v>117</v>
      </c>
      <c r="Z7" s="16"/>
      <c r="AA7" s="16" t="s">
        <v>117</v>
      </c>
      <c r="AB7" s="16"/>
      <c r="AC7" s="16" t="s">
        <v>117</v>
      </c>
      <c r="AD7" s="16"/>
      <c r="AE7" s="16" t="s">
        <v>340</v>
      </c>
      <c r="AF7" s="16"/>
      <c r="AG7" s="16" t="s">
        <v>117</v>
      </c>
      <c r="AH7" s="16"/>
      <c r="AI7" s="16" t="s">
        <v>338</v>
      </c>
      <c r="AJ7" s="16" t="s">
        <v>338</v>
      </c>
      <c r="AK7" s="16" t="s">
        <v>338</v>
      </c>
      <c r="AL7" s="16"/>
      <c r="AM7" s="16" t="s">
        <v>338</v>
      </c>
      <c r="AN7" s="16"/>
      <c r="AO7" s="16" t="s">
        <v>117</v>
      </c>
      <c r="AP7" s="16"/>
      <c r="AQ7" s="16" t="s">
        <v>356</v>
      </c>
      <c r="AR7" s="16"/>
      <c r="AT7" s="16"/>
      <c r="AV7" s="16"/>
      <c r="AX7" s="16"/>
      <c r="AZ7" s="16"/>
      <c r="BB7" s="16"/>
      <c r="BC7" s="16"/>
    </row>
    <row r="8" spans="1:55" x14ac:dyDescent="0.2">
      <c r="A8" s="16" t="s">
        <v>386</v>
      </c>
      <c r="B8" s="16">
        <v>4012</v>
      </c>
      <c r="C8" s="16" t="s">
        <v>384</v>
      </c>
      <c r="D8" s="19"/>
      <c r="E8" s="16" t="s">
        <v>340</v>
      </c>
      <c r="F8" s="16"/>
      <c r="G8" s="16" t="s">
        <v>340</v>
      </c>
      <c r="H8" s="16"/>
      <c r="I8" s="16" t="s">
        <v>338</v>
      </c>
      <c r="J8" s="16"/>
      <c r="K8" s="16" t="s">
        <v>338</v>
      </c>
      <c r="L8" s="16"/>
      <c r="M8" s="16" t="s">
        <v>338</v>
      </c>
      <c r="N8" s="16"/>
      <c r="O8" s="16"/>
      <c r="P8" s="16"/>
      <c r="Q8" s="16"/>
      <c r="R8" s="16"/>
      <c r="S8" s="16" t="s">
        <v>117</v>
      </c>
      <c r="T8" s="16"/>
      <c r="U8" s="16"/>
      <c r="V8" s="16"/>
      <c r="X8" s="16"/>
      <c r="Y8" s="16"/>
      <c r="Z8" s="16"/>
      <c r="AA8" s="16"/>
      <c r="AB8" s="16"/>
      <c r="AC8" s="16"/>
      <c r="AD8" s="16"/>
      <c r="AE8" s="16" t="s">
        <v>342</v>
      </c>
      <c r="AF8" s="16"/>
      <c r="AG8" s="16"/>
      <c r="AH8" s="16"/>
      <c r="AI8" s="16" t="s">
        <v>340</v>
      </c>
      <c r="AJ8" s="16" t="s">
        <v>340</v>
      </c>
      <c r="AK8" s="16" t="s">
        <v>340</v>
      </c>
      <c r="AL8" s="16"/>
      <c r="AM8" s="16" t="s">
        <v>340</v>
      </c>
      <c r="AN8" s="16"/>
      <c r="AO8" s="16"/>
      <c r="AP8" s="16"/>
      <c r="AQ8" s="16" t="s">
        <v>362</v>
      </c>
      <c r="AR8" s="16"/>
      <c r="AT8" s="16"/>
      <c r="AV8" s="16"/>
      <c r="AW8" s="16"/>
      <c r="AX8" s="16"/>
      <c r="AZ8" s="16"/>
      <c r="BA8" s="16"/>
      <c r="BB8" s="16"/>
      <c r="BC8" s="16"/>
    </row>
    <row r="9" spans="1:55" x14ac:dyDescent="0.2">
      <c r="A9" s="16" t="s">
        <v>387</v>
      </c>
      <c r="B9" s="16">
        <v>4013</v>
      </c>
      <c r="C9" s="16" t="s">
        <v>384</v>
      </c>
      <c r="D9" s="19"/>
      <c r="E9" s="16" t="s">
        <v>342</v>
      </c>
      <c r="F9" s="16"/>
      <c r="G9" s="16" t="s">
        <v>342</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343</v>
      </c>
      <c r="AF9" s="16"/>
      <c r="AG9" s="16"/>
      <c r="AH9" s="16"/>
      <c r="AI9" s="16" t="s">
        <v>342</v>
      </c>
      <c r="AJ9" s="16" t="s">
        <v>342</v>
      </c>
      <c r="AK9" s="16" t="s">
        <v>342</v>
      </c>
      <c r="AL9" s="16"/>
      <c r="AM9" s="16" t="s">
        <v>342</v>
      </c>
      <c r="AN9" s="16"/>
      <c r="AO9" s="16"/>
      <c r="AP9" s="16"/>
      <c r="AQ9" s="16" t="s">
        <v>370</v>
      </c>
      <c r="AR9" s="16"/>
      <c r="AT9" s="16"/>
      <c r="AV9" s="16"/>
      <c r="AW9" s="16"/>
      <c r="AX9" s="16"/>
      <c r="AZ9" s="16"/>
      <c r="BA9" s="16"/>
      <c r="BB9" s="16"/>
      <c r="BC9" s="16"/>
    </row>
    <row r="10" spans="1:55" x14ac:dyDescent="0.2">
      <c r="A10" s="16" t="s">
        <v>388</v>
      </c>
      <c r="B10" s="16">
        <v>4005</v>
      </c>
      <c r="C10" s="16" t="s">
        <v>384</v>
      </c>
      <c r="D10" s="19"/>
      <c r="E10" s="16" t="s">
        <v>343</v>
      </c>
      <c r="F10" s="16"/>
      <c r="G10" s="16" t="s">
        <v>343</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343</v>
      </c>
      <c r="AJ10" s="16" t="s">
        <v>343</v>
      </c>
      <c r="AK10" s="16" t="s">
        <v>343</v>
      </c>
      <c r="AL10" s="16"/>
      <c r="AM10" s="16" t="s">
        <v>343</v>
      </c>
      <c r="AN10" s="16"/>
      <c r="AO10" s="16"/>
      <c r="AP10" s="16"/>
      <c r="AQ10" s="335" t="s">
        <v>372</v>
      </c>
      <c r="AR10" s="16"/>
      <c r="AS10" s="16"/>
      <c r="AT10" s="16"/>
      <c r="AV10" s="16"/>
      <c r="AW10" s="16"/>
      <c r="AX10" s="16"/>
      <c r="AZ10" s="16"/>
      <c r="BA10" s="16"/>
      <c r="BB10" s="16"/>
      <c r="BC10" s="16"/>
    </row>
    <row r="11" spans="1:55" x14ac:dyDescent="0.2">
      <c r="A11" s="16" t="s">
        <v>389</v>
      </c>
      <c r="B11" s="16">
        <v>4007</v>
      </c>
      <c r="C11" s="16" t="s">
        <v>384</v>
      </c>
      <c r="D11" s="19"/>
      <c r="E11" s="16" t="s">
        <v>344</v>
      </c>
      <c r="F11" s="16"/>
      <c r="G11" s="16" t="s">
        <v>344</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344</v>
      </c>
      <c r="AJ11" s="16" t="s">
        <v>344</v>
      </c>
      <c r="AK11" s="16" t="s">
        <v>344</v>
      </c>
      <c r="AL11" s="16"/>
      <c r="AM11" s="16" t="s">
        <v>117</v>
      </c>
      <c r="AN11" s="16"/>
      <c r="AO11" s="16"/>
      <c r="AP11" s="16"/>
      <c r="AQ11" s="16" t="s">
        <v>361</v>
      </c>
      <c r="AR11" s="16"/>
      <c r="AS11" s="16"/>
      <c r="AT11" s="16"/>
      <c r="AV11" s="16"/>
      <c r="AW11" s="16"/>
      <c r="AX11" s="16"/>
      <c r="AZ11" s="16"/>
      <c r="BA11" s="16"/>
      <c r="BB11" s="16"/>
      <c r="BC11" s="16"/>
    </row>
    <row r="12" spans="1:55" x14ac:dyDescent="0.2">
      <c r="A12" s="16" t="s">
        <v>390</v>
      </c>
      <c r="B12" s="16">
        <v>4016</v>
      </c>
      <c r="C12" s="16" t="s">
        <v>391</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366</v>
      </c>
      <c r="AJ12" s="16" t="s">
        <v>366</v>
      </c>
      <c r="AK12" s="16" t="s">
        <v>346</v>
      </c>
      <c r="AL12" s="16"/>
      <c r="AM12" s="16"/>
      <c r="AN12" s="16"/>
      <c r="AO12" s="16"/>
      <c r="AP12" s="16"/>
      <c r="AQ12" s="16" t="s">
        <v>358</v>
      </c>
      <c r="AR12" s="16"/>
      <c r="AS12" s="16"/>
      <c r="AT12" s="16"/>
      <c r="AU12" s="16"/>
      <c r="AV12" s="16"/>
      <c r="AW12" s="16"/>
      <c r="AX12" s="16"/>
      <c r="AZ12" s="16"/>
      <c r="BA12" s="16"/>
      <c r="BB12" s="16"/>
      <c r="BC12" s="16"/>
    </row>
    <row r="13" spans="1:55" x14ac:dyDescent="0.2">
      <c r="A13" s="16" t="s">
        <v>392</v>
      </c>
      <c r="B13" s="16">
        <v>4040</v>
      </c>
      <c r="C13" s="16" t="s">
        <v>393</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360</v>
      </c>
      <c r="AR13" s="16"/>
      <c r="AS13" s="16"/>
      <c r="AT13" s="16"/>
      <c r="AU13" s="16"/>
      <c r="AV13" s="16"/>
      <c r="AW13" s="16"/>
      <c r="AX13" s="16"/>
      <c r="AY13" s="16"/>
      <c r="AZ13" s="16"/>
      <c r="BA13" s="16"/>
      <c r="BB13" s="16"/>
      <c r="BC13" s="16"/>
    </row>
    <row r="14" spans="1:55" x14ac:dyDescent="0.2">
      <c r="A14" s="16" t="s">
        <v>394</v>
      </c>
      <c r="B14" s="16">
        <v>4040</v>
      </c>
      <c r="C14" s="16" t="s">
        <v>393</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374</v>
      </c>
      <c r="AR14" s="16"/>
      <c r="AS14" s="16"/>
      <c r="AT14" s="16"/>
      <c r="AU14" s="16"/>
      <c r="AV14" s="16"/>
      <c r="AW14" s="16"/>
      <c r="AX14" s="16"/>
      <c r="AY14" s="16"/>
      <c r="AZ14" s="16"/>
      <c r="BA14" s="16"/>
      <c r="BB14" s="16"/>
      <c r="BC14" s="16"/>
    </row>
    <row r="15" spans="1:55" x14ac:dyDescent="0.2">
      <c r="A15" s="16" t="s">
        <v>379</v>
      </c>
      <c r="B15" s="16">
        <v>4023</v>
      </c>
      <c r="C15" s="16" t="s">
        <v>384</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395</v>
      </c>
      <c r="B16" s="16">
        <v>4015</v>
      </c>
      <c r="C16" s="16" t="s">
        <v>384</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396</v>
      </c>
      <c r="B17" s="16">
        <v>4004</v>
      </c>
      <c r="C17" s="16" t="s">
        <v>384</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397</v>
      </c>
      <c r="B18" s="16">
        <v>4016</v>
      </c>
      <c r="C18" s="16" t="s">
        <v>384</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381</v>
      </c>
      <c r="B19" s="16">
        <v>4006</v>
      </c>
      <c r="C19" s="16" t="s">
        <v>384</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398</v>
      </c>
      <c r="B20" s="16">
        <v>4000</v>
      </c>
      <c r="C20" s="16" t="s">
        <v>384</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399</v>
      </c>
      <c r="B21" s="16">
        <v>4005</v>
      </c>
      <c r="C21" s="16" t="s">
        <v>384</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400</v>
      </c>
      <c r="B22" s="16">
        <v>4009</v>
      </c>
      <c r="C22" s="16" t="s">
        <v>384</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401</v>
      </c>
      <c r="B23" s="16">
        <v>4019</v>
      </c>
      <c r="C23" s="16" t="s">
        <v>384</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402</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382</v>
      </c>
      <c r="C32" s="24" t="s">
        <v>382</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388</v>
      </c>
      <c r="B33" s="16">
        <v>4114</v>
      </c>
      <c r="C33" s="16" t="s">
        <v>384</v>
      </c>
      <c r="G33" s="16"/>
      <c r="H33" s="16"/>
      <c r="I33" s="16"/>
      <c r="K33" s="16"/>
      <c r="S33" s="16"/>
      <c r="AN33" s="16"/>
      <c r="AP33" s="16"/>
      <c r="AR33" s="16"/>
    </row>
    <row r="34" spans="1:44" x14ac:dyDescent="0.2">
      <c r="A34" s="16" t="s">
        <v>395</v>
      </c>
      <c r="B34" s="16">
        <v>4015</v>
      </c>
      <c r="C34" s="16" t="s">
        <v>384</v>
      </c>
      <c r="G34" s="16"/>
      <c r="H34" s="16"/>
      <c r="I34" s="16"/>
      <c r="K34" s="16"/>
      <c r="AP34" s="16"/>
      <c r="AR34" s="16"/>
    </row>
    <row r="35" spans="1:44" x14ac:dyDescent="0.2">
      <c r="A35" s="16" t="s">
        <v>397</v>
      </c>
      <c r="B35" s="16">
        <v>4106</v>
      </c>
      <c r="C35" s="16" t="s">
        <v>384</v>
      </c>
      <c r="I35" s="16"/>
      <c r="AP35" s="16"/>
    </row>
    <row r="36" spans="1:44" x14ac:dyDescent="0.2">
      <c r="A36" s="16" t="s">
        <v>403</v>
      </c>
      <c r="B36" s="16">
        <v>4112</v>
      </c>
      <c r="C36" s="16" t="s">
        <v>384</v>
      </c>
      <c r="I36" s="16"/>
    </row>
    <row r="37" spans="1:44" x14ac:dyDescent="0.2">
      <c r="A37" s="16" t="s">
        <v>404</v>
      </c>
      <c r="B37" s="16">
        <v>4106</v>
      </c>
      <c r="C37" s="16" t="s">
        <v>384</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405</v>
      </c>
      <c r="C1" s="338" t="s">
        <v>406</v>
      </c>
      <c r="D1" s="338" t="s">
        <v>407</v>
      </c>
      <c r="E1" s="338" t="s">
        <v>408</v>
      </c>
      <c r="F1" s="338" t="s">
        <v>409</v>
      </c>
      <c r="G1" s="338" t="s">
        <v>352</v>
      </c>
    </row>
    <row r="2" spans="1:7" s="338" customFormat="1" x14ac:dyDescent="0.2">
      <c r="A2" s="339" t="s">
        <v>410</v>
      </c>
      <c r="B2" s="339" t="s">
        <v>411</v>
      </c>
      <c r="C2" s="339" t="s">
        <v>412</v>
      </c>
      <c r="D2" s="339"/>
      <c r="E2" s="339"/>
      <c r="F2" s="339"/>
    </row>
    <row r="3" spans="1:7" x14ac:dyDescent="0.2">
      <c r="A3" t="s">
        <v>413</v>
      </c>
      <c r="C3" t="s">
        <v>414</v>
      </c>
      <c r="D3" t="s">
        <v>415</v>
      </c>
      <c r="E3" t="s">
        <v>416</v>
      </c>
      <c r="F3" t="s">
        <v>417</v>
      </c>
    </row>
    <row r="4" spans="1:7" x14ac:dyDescent="0.2">
      <c r="A4" t="s">
        <v>413</v>
      </c>
      <c r="B4" t="s">
        <v>418</v>
      </c>
      <c r="C4" t="s">
        <v>419</v>
      </c>
      <c r="D4" t="s">
        <v>420</v>
      </c>
      <c r="E4" t="s">
        <v>421</v>
      </c>
      <c r="F4" t="s">
        <v>422</v>
      </c>
    </row>
    <row r="5" spans="1:7" x14ac:dyDescent="0.2">
      <c r="A5" t="s">
        <v>413</v>
      </c>
      <c r="B5" t="s">
        <v>423</v>
      </c>
      <c r="C5" t="s">
        <v>424</v>
      </c>
      <c r="D5" t="s">
        <v>425</v>
      </c>
      <c r="E5" t="s">
        <v>426</v>
      </c>
      <c r="F5" t="s">
        <v>427</v>
      </c>
    </row>
    <row r="6" spans="1:7" x14ac:dyDescent="0.2">
      <c r="A6" t="s">
        <v>413</v>
      </c>
      <c r="B6" s="350" t="s">
        <v>428</v>
      </c>
      <c r="C6" t="s">
        <v>429</v>
      </c>
      <c r="D6" t="s">
        <v>430</v>
      </c>
      <c r="E6" t="s">
        <v>431</v>
      </c>
      <c r="F6" t="s">
        <v>432</v>
      </c>
    </row>
    <row r="7" spans="1:7" x14ac:dyDescent="0.2">
      <c r="A7" t="s">
        <v>413</v>
      </c>
      <c r="B7" s="350" t="s">
        <v>433</v>
      </c>
      <c r="C7" t="s">
        <v>434</v>
      </c>
      <c r="D7" t="s">
        <v>435</v>
      </c>
      <c r="E7" t="s">
        <v>436</v>
      </c>
      <c r="F7" t="s">
        <v>437</v>
      </c>
    </row>
    <row r="8" spans="1:7" x14ac:dyDescent="0.2">
      <c r="A8" t="s">
        <v>413</v>
      </c>
      <c r="B8" s="350" t="s">
        <v>438</v>
      </c>
      <c r="C8" t="s">
        <v>439</v>
      </c>
      <c r="D8" t="s">
        <v>440</v>
      </c>
      <c r="E8" t="s">
        <v>441</v>
      </c>
      <c r="F8" t="s">
        <v>442</v>
      </c>
    </row>
    <row r="9" spans="1:7" x14ac:dyDescent="0.2">
      <c r="A9" t="s">
        <v>413</v>
      </c>
      <c r="B9" s="350" t="s">
        <v>443</v>
      </c>
      <c r="C9" t="s">
        <v>444</v>
      </c>
      <c r="D9" t="s">
        <v>445</v>
      </c>
      <c r="E9" t="s">
        <v>446</v>
      </c>
      <c r="F9" t="s">
        <v>447</v>
      </c>
    </row>
    <row r="10" spans="1:7" x14ac:dyDescent="0.2">
      <c r="A10" t="s">
        <v>413</v>
      </c>
      <c r="B10" s="350" t="s">
        <v>448</v>
      </c>
      <c r="C10" t="s">
        <v>449</v>
      </c>
      <c r="D10" t="s">
        <v>450</v>
      </c>
      <c r="E10" t="s">
        <v>451</v>
      </c>
      <c r="F10" t="s">
        <v>452</v>
      </c>
    </row>
    <row r="11" spans="1:7" x14ac:dyDescent="0.2">
      <c r="A11" t="s">
        <v>413</v>
      </c>
      <c r="B11" s="350" t="s">
        <v>453</v>
      </c>
      <c r="C11" t="s">
        <v>454</v>
      </c>
      <c r="D11" t="s">
        <v>455</v>
      </c>
      <c r="E11" t="s">
        <v>456</v>
      </c>
      <c r="F11" t="s">
        <v>457</v>
      </c>
    </row>
    <row r="12" spans="1:7" x14ac:dyDescent="0.2">
      <c r="A12" t="s">
        <v>413</v>
      </c>
      <c r="B12" s="350" t="s">
        <v>458</v>
      </c>
      <c r="C12" t="s">
        <v>459</v>
      </c>
      <c r="D12" t="s">
        <v>460</v>
      </c>
      <c r="E12" t="s">
        <v>461</v>
      </c>
      <c r="F12" t="s">
        <v>462</v>
      </c>
    </row>
    <row r="13" spans="1:7" x14ac:dyDescent="0.2">
      <c r="A13" t="s">
        <v>413</v>
      </c>
      <c r="B13" t="s">
        <v>463</v>
      </c>
      <c r="C13" t="s">
        <v>464</v>
      </c>
      <c r="D13" t="s">
        <v>465</v>
      </c>
      <c r="E13" t="s">
        <v>466</v>
      </c>
      <c r="F13" t="s">
        <v>467</v>
      </c>
    </row>
    <row r="14" spans="1:7" x14ac:dyDescent="0.2">
      <c r="A14" t="s">
        <v>468</v>
      </c>
      <c r="C14" t="s">
        <v>469</v>
      </c>
      <c r="D14" t="s">
        <v>470</v>
      </c>
      <c r="E14" t="s">
        <v>471</v>
      </c>
      <c r="F14" t="s">
        <v>472</v>
      </c>
    </row>
    <row r="15" spans="1:7" x14ac:dyDescent="0.2">
      <c r="A15" t="s">
        <v>468</v>
      </c>
      <c r="B15" t="s">
        <v>473</v>
      </c>
      <c r="C15" t="s">
        <v>474</v>
      </c>
      <c r="D15" t="s">
        <v>475</v>
      </c>
      <c r="E15" t="s">
        <v>476</v>
      </c>
      <c r="F15" t="s">
        <v>477</v>
      </c>
    </row>
    <row r="16" spans="1:7" x14ac:dyDescent="0.2">
      <c r="A16" t="s">
        <v>468</v>
      </c>
      <c r="B16" t="s">
        <v>478</v>
      </c>
      <c r="C16" t="s">
        <v>479</v>
      </c>
      <c r="D16" t="s">
        <v>480</v>
      </c>
      <c r="E16" t="s">
        <v>481</v>
      </c>
      <c r="F16" t="s">
        <v>482</v>
      </c>
    </row>
    <row r="17" spans="1:6" x14ac:dyDescent="0.2">
      <c r="A17" t="s">
        <v>468</v>
      </c>
      <c r="B17" s="350" t="s">
        <v>483</v>
      </c>
      <c r="C17" t="s">
        <v>484</v>
      </c>
      <c r="D17" t="s">
        <v>485</v>
      </c>
      <c r="E17" t="s">
        <v>486</v>
      </c>
      <c r="F17" t="s">
        <v>487</v>
      </c>
    </row>
    <row r="18" spans="1:6" x14ac:dyDescent="0.2">
      <c r="A18" t="s">
        <v>468</v>
      </c>
      <c r="B18" s="350" t="s">
        <v>488</v>
      </c>
      <c r="C18" t="s">
        <v>489</v>
      </c>
      <c r="D18" t="s">
        <v>490</v>
      </c>
      <c r="E18" t="s">
        <v>491</v>
      </c>
      <c r="F18" t="s">
        <v>492</v>
      </c>
    </row>
    <row r="19" spans="1:6" x14ac:dyDescent="0.2">
      <c r="A19" t="s">
        <v>468</v>
      </c>
      <c r="B19" s="350" t="s">
        <v>493</v>
      </c>
      <c r="C19" t="s">
        <v>494</v>
      </c>
      <c r="D19" t="s">
        <v>495</v>
      </c>
      <c r="E19" t="s">
        <v>496</v>
      </c>
      <c r="F19" t="s">
        <v>497</v>
      </c>
    </row>
    <row r="20" spans="1:6" x14ac:dyDescent="0.2">
      <c r="A20" t="s">
        <v>468</v>
      </c>
      <c r="B20" s="350" t="s">
        <v>498</v>
      </c>
      <c r="C20" t="s">
        <v>499</v>
      </c>
      <c r="D20" t="s">
        <v>500</v>
      </c>
      <c r="E20" t="s">
        <v>501</v>
      </c>
      <c r="F20" t="s">
        <v>502</v>
      </c>
    </row>
    <row r="21" spans="1:6" x14ac:dyDescent="0.2">
      <c r="A21" t="s">
        <v>468</v>
      </c>
      <c r="B21" s="350" t="s">
        <v>503</v>
      </c>
      <c r="C21" t="s">
        <v>504</v>
      </c>
      <c r="D21" t="s">
        <v>505</v>
      </c>
      <c r="E21" t="s">
        <v>506</v>
      </c>
      <c r="F21" t="s">
        <v>507</v>
      </c>
    </row>
    <row r="22" spans="1:6" x14ac:dyDescent="0.2">
      <c r="A22" t="s">
        <v>468</v>
      </c>
      <c r="B22" t="s">
        <v>508</v>
      </c>
      <c r="C22" t="s">
        <v>509</v>
      </c>
      <c r="D22" t="s">
        <v>510</v>
      </c>
      <c r="E22" t="s">
        <v>511</v>
      </c>
      <c r="F22" t="s">
        <v>512</v>
      </c>
    </row>
    <row r="23" spans="1:6" x14ac:dyDescent="0.2">
      <c r="A23" t="s">
        <v>468</v>
      </c>
      <c r="B23" t="s">
        <v>513</v>
      </c>
      <c r="C23" t="s">
        <v>514</v>
      </c>
      <c r="D23" t="s">
        <v>515</v>
      </c>
      <c r="E23" t="s">
        <v>516</v>
      </c>
      <c r="F23" t="s">
        <v>517</v>
      </c>
    </row>
    <row r="24" spans="1:6" x14ac:dyDescent="0.2">
      <c r="A24" t="s">
        <v>468</v>
      </c>
      <c r="B24" t="s">
        <v>518</v>
      </c>
      <c r="C24" t="s">
        <v>519</v>
      </c>
      <c r="D24" t="s">
        <v>520</v>
      </c>
      <c r="E24" t="s">
        <v>521</v>
      </c>
      <c r="F24" t="s">
        <v>522</v>
      </c>
    </row>
    <row r="25" spans="1:6" x14ac:dyDescent="0.2">
      <c r="A25" t="s">
        <v>468</v>
      </c>
      <c r="B25" t="s">
        <v>523</v>
      </c>
      <c r="C25" t="s">
        <v>524</v>
      </c>
      <c r="D25" t="s">
        <v>525</v>
      </c>
      <c r="E25" t="s">
        <v>526</v>
      </c>
      <c r="F25" t="s">
        <v>527</v>
      </c>
    </row>
    <row r="26" spans="1:6" x14ac:dyDescent="0.2">
      <c r="A26" t="s">
        <v>468</v>
      </c>
      <c r="B26" t="s">
        <v>528</v>
      </c>
      <c r="C26" t="s">
        <v>529</v>
      </c>
      <c r="D26" t="s">
        <v>530</v>
      </c>
      <c r="E26" t="s">
        <v>531</v>
      </c>
      <c r="F26" t="s">
        <v>532</v>
      </c>
    </row>
    <row r="27" spans="1:6" x14ac:dyDescent="0.2">
      <c r="A27" t="s">
        <v>533</v>
      </c>
      <c r="C27" t="s">
        <v>534</v>
      </c>
      <c r="D27" t="s">
        <v>535</v>
      </c>
      <c r="E27" t="s">
        <v>536</v>
      </c>
      <c r="F27" t="s">
        <v>537</v>
      </c>
    </row>
    <row r="28" spans="1:6" x14ac:dyDescent="0.2">
      <c r="A28" t="s">
        <v>533</v>
      </c>
      <c r="B28" t="s">
        <v>538</v>
      </c>
      <c r="C28" t="s">
        <v>539</v>
      </c>
      <c r="D28" t="s">
        <v>540</v>
      </c>
      <c r="E28" t="s">
        <v>541</v>
      </c>
      <c r="F28" t="s">
        <v>542</v>
      </c>
    </row>
    <row r="29" spans="1:6" x14ac:dyDescent="0.2">
      <c r="A29" t="s">
        <v>533</v>
      </c>
      <c r="B29" t="s">
        <v>543</v>
      </c>
      <c r="C29" t="s">
        <v>544</v>
      </c>
      <c r="D29" t="s">
        <v>545</v>
      </c>
      <c r="E29" t="s">
        <v>546</v>
      </c>
      <c r="F29" t="s">
        <v>547</v>
      </c>
    </row>
    <row r="30" spans="1:6" x14ac:dyDescent="0.2">
      <c r="A30" t="s">
        <v>533</v>
      </c>
      <c r="B30" t="s">
        <v>548</v>
      </c>
      <c r="C30" t="s">
        <v>549</v>
      </c>
      <c r="D30" t="s">
        <v>550</v>
      </c>
      <c r="E30" t="s">
        <v>551</v>
      </c>
      <c r="F30" t="s">
        <v>552</v>
      </c>
    </row>
    <row r="31" spans="1:6" x14ac:dyDescent="0.2">
      <c r="A31" t="s">
        <v>533</v>
      </c>
      <c r="B31" t="s">
        <v>553</v>
      </c>
      <c r="C31" t="s">
        <v>554</v>
      </c>
      <c r="D31" t="s">
        <v>555</v>
      </c>
      <c r="E31" t="s">
        <v>556</v>
      </c>
      <c r="F31" t="s">
        <v>557</v>
      </c>
    </row>
    <row r="32" spans="1:6" x14ac:dyDescent="0.2">
      <c r="A32" t="s">
        <v>533</v>
      </c>
      <c r="B32" s="350" t="s">
        <v>558</v>
      </c>
      <c r="C32" t="s">
        <v>559</v>
      </c>
      <c r="D32" t="s">
        <v>560</v>
      </c>
      <c r="E32" t="s">
        <v>561</v>
      </c>
      <c r="F32" t="s">
        <v>562</v>
      </c>
    </row>
    <row r="33" spans="1:6" x14ac:dyDescent="0.2">
      <c r="A33" t="s">
        <v>533</v>
      </c>
      <c r="B33" s="350" t="s">
        <v>563</v>
      </c>
      <c r="C33" t="s">
        <v>564</v>
      </c>
      <c r="D33" t="s">
        <v>565</v>
      </c>
      <c r="E33" t="s">
        <v>566</v>
      </c>
      <c r="F33" t="s">
        <v>567</v>
      </c>
    </row>
    <row r="34" spans="1:6" x14ac:dyDescent="0.2">
      <c r="A34" t="s">
        <v>533</v>
      </c>
      <c r="B34" t="s">
        <v>568</v>
      </c>
      <c r="C34" t="s">
        <v>569</v>
      </c>
      <c r="D34" t="s">
        <v>570</v>
      </c>
      <c r="E34" t="s">
        <v>571</v>
      </c>
      <c r="F34" t="s">
        <v>572</v>
      </c>
    </row>
    <row r="35" spans="1:6" x14ac:dyDescent="0.2">
      <c r="A35" t="s">
        <v>533</v>
      </c>
      <c r="B35" t="s">
        <v>573</v>
      </c>
      <c r="C35" t="s">
        <v>574</v>
      </c>
      <c r="D35" t="s">
        <v>575</v>
      </c>
      <c r="E35" t="s">
        <v>576</v>
      </c>
      <c r="F35" t="s">
        <v>577</v>
      </c>
    </row>
    <row r="36" spans="1:6" x14ac:dyDescent="0.2">
      <c r="A36" t="s">
        <v>533</v>
      </c>
      <c r="B36" t="s">
        <v>578</v>
      </c>
      <c r="C36" t="s">
        <v>579</v>
      </c>
      <c r="D36" t="s">
        <v>580</v>
      </c>
      <c r="E36" t="s">
        <v>581</v>
      </c>
      <c r="F36" t="s">
        <v>582</v>
      </c>
    </row>
    <row r="37" spans="1:6" x14ac:dyDescent="0.2">
      <c r="A37" t="s">
        <v>533</v>
      </c>
      <c r="B37" t="s">
        <v>583</v>
      </c>
      <c r="C37" t="s">
        <v>584</v>
      </c>
      <c r="D37" t="s">
        <v>585</v>
      </c>
      <c r="E37" t="s">
        <v>586</v>
      </c>
      <c r="F37" t="s">
        <v>587</v>
      </c>
    </row>
    <row r="38" spans="1:6" x14ac:dyDescent="0.2">
      <c r="A38" t="s">
        <v>588</v>
      </c>
      <c r="C38" t="s">
        <v>589</v>
      </c>
      <c r="D38" t="s">
        <v>590</v>
      </c>
      <c r="E38" t="s">
        <v>591</v>
      </c>
      <c r="F38" t="s">
        <v>592</v>
      </c>
    </row>
    <row r="39" spans="1:6" x14ac:dyDescent="0.2">
      <c r="A39" t="s">
        <v>588</v>
      </c>
      <c r="B39" t="s">
        <v>593</v>
      </c>
      <c r="C39" t="s">
        <v>594</v>
      </c>
      <c r="D39" t="s">
        <v>595</v>
      </c>
      <c r="E39" t="s">
        <v>596</v>
      </c>
      <c r="F39" t="s">
        <v>597</v>
      </c>
    </row>
    <row r="40" spans="1:6" x14ac:dyDescent="0.2">
      <c r="A40" t="s">
        <v>588</v>
      </c>
      <c r="B40" t="s">
        <v>598</v>
      </c>
      <c r="C40" t="s">
        <v>599</v>
      </c>
      <c r="D40" t="s">
        <v>600</v>
      </c>
      <c r="E40" t="s">
        <v>601</v>
      </c>
      <c r="F40" t="s">
        <v>602</v>
      </c>
    </row>
    <row r="41" spans="1:6" x14ac:dyDescent="0.2">
      <c r="A41" t="s">
        <v>588</v>
      </c>
      <c r="B41" t="s">
        <v>603</v>
      </c>
      <c r="C41" t="s">
        <v>604</v>
      </c>
      <c r="D41" t="s">
        <v>605</v>
      </c>
      <c r="E41" t="s">
        <v>606</v>
      </c>
      <c r="F41" t="s">
        <v>607</v>
      </c>
    </row>
    <row r="42" spans="1:6" x14ac:dyDescent="0.2">
      <c r="A42" t="s">
        <v>588</v>
      </c>
      <c r="B42" t="s">
        <v>608</v>
      </c>
      <c r="C42" t="s">
        <v>609</v>
      </c>
      <c r="D42" t="s">
        <v>610</v>
      </c>
      <c r="E42" t="s">
        <v>611</v>
      </c>
      <c r="F42" t="s">
        <v>612</v>
      </c>
    </row>
    <row r="43" spans="1:6" x14ac:dyDescent="0.2">
      <c r="A43" t="s">
        <v>588</v>
      </c>
      <c r="B43" t="s">
        <v>613</v>
      </c>
      <c r="C43" t="s">
        <v>614</v>
      </c>
      <c r="D43" t="s">
        <v>615</v>
      </c>
      <c r="E43" t="s">
        <v>616</v>
      </c>
      <c r="F43" t="s">
        <v>617</v>
      </c>
    </row>
    <row r="44" spans="1:6" x14ac:dyDescent="0.2">
      <c r="A44" t="s">
        <v>588</v>
      </c>
      <c r="B44" t="s">
        <v>618</v>
      </c>
      <c r="C44" t="s">
        <v>619</v>
      </c>
      <c r="D44" t="s">
        <v>620</v>
      </c>
      <c r="E44" t="s">
        <v>621</v>
      </c>
      <c r="F44" t="s">
        <v>622</v>
      </c>
    </row>
    <row r="45" spans="1:6" x14ac:dyDescent="0.2">
      <c r="A45" t="s">
        <v>588</v>
      </c>
      <c r="B45" t="s">
        <v>623</v>
      </c>
      <c r="C45" t="s">
        <v>624</v>
      </c>
      <c r="D45" t="s">
        <v>625</v>
      </c>
      <c r="E45" t="s">
        <v>626</v>
      </c>
      <c r="F45" t="s">
        <v>627</v>
      </c>
    </row>
    <row r="46" spans="1:6" x14ac:dyDescent="0.2">
      <c r="A46" t="s">
        <v>588</v>
      </c>
      <c r="B46" t="s">
        <v>628</v>
      </c>
      <c r="C46" t="s">
        <v>629</v>
      </c>
      <c r="D46" t="s">
        <v>630</v>
      </c>
      <c r="E46" t="s">
        <v>631</v>
      </c>
      <c r="F46" t="s">
        <v>632</v>
      </c>
    </row>
    <row r="47" spans="1:6" x14ac:dyDescent="0.2">
      <c r="A47" t="s">
        <v>633</v>
      </c>
      <c r="C47" t="s">
        <v>634</v>
      </c>
      <c r="D47" t="s">
        <v>635</v>
      </c>
      <c r="E47" t="s">
        <v>636</v>
      </c>
      <c r="F47" t="s">
        <v>637</v>
      </c>
    </row>
    <row r="48" spans="1:6" x14ac:dyDescent="0.2">
      <c r="A48" t="s">
        <v>633</v>
      </c>
      <c r="B48" t="s">
        <v>638</v>
      </c>
      <c r="C48" t="s">
        <v>639</v>
      </c>
      <c r="D48" t="s">
        <v>640</v>
      </c>
      <c r="E48" t="s">
        <v>641</v>
      </c>
      <c r="F48" t="s">
        <v>642</v>
      </c>
    </row>
    <row r="49" spans="1:6" x14ac:dyDescent="0.2">
      <c r="A49" t="s">
        <v>633</v>
      </c>
      <c r="B49" t="s">
        <v>643</v>
      </c>
      <c r="C49" t="s">
        <v>644</v>
      </c>
      <c r="D49" t="s">
        <v>645</v>
      </c>
      <c r="E49" t="s">
        <v>646</v>
      </c>
      <c r="F49" t="s">
        <v>647</v>
      </c>
    </row>
    <row r="50" spans="1:6" x14ac:dyDescent="0.2">
      <c r="A50" t="s">
        <v>633</v>
      </c>
      <c r="B50" s="350" t="s">
        <v>648</v>
      </c>
      <c r="C50" t="s">
        <v>649</v>
      </c>
      <c r="D50" t="s">
        <v>650</v>
      </c>
      <c r="E50" t="s">
        <v>651</v>
      </c>
      <c r="F50" t="s">
        <v>652</v>
      </c>
    </row>
    <row r="51" spans="1:6" x14ac:dyDescent="0.2">
      <c r="A51" t="s">
        <v>633</v>
      </c>
      <c r="B51" t="s">
        <v>653</v>
      </c>
      <c r="C51" t="s">
        <v>654</v>
      </c>
      <c r="D51" t="s">
        <v>655</v>
      </c>
      <c r="E51" t="s">
        <v>656</v>
      </c>
      <c r="F51" t="s">
        <v>657</v>
      </c>
    </row>
    <row r="52" spans="1:6" x14ac:dyDescent="0.2">
      <c r="A52" t="s">
        <v>633</v>
      </c>
      <c r="B52" t="s">
        <v>658</v>
      </c>
      <c r="C52" t="s">
        <v>659</v>
      </c>
      <c r="D52" t="s">
        <v>660</v>
      </c>
      <c r="E52" t="s">
        <v>661</v>
      </c>
      <c r="F52" t="s">
        <v>662</v>
      </c>
    </row>
    <row r="53" spans="1:6" x14ac:dyDescent="0.2">
      <c r="A53" t="s">
        <v>633</v>
      </c>
      <c r="B53" t="s">
        <v>663</v>
      </c>
      <c r="C53" t="s">
        <v>664</v>
      </c>
      <c r="D53" t="s">
        <v>665</v>
      </c>
      <c r="E53" t="s">
        <v>666</v>
      </c>
      <c r="F53" t="s">
        <v>667</v>
      </c>
    </row>
    <row r="54" spans="1:6" x14ac:dyDescent="0.2">
      <c r="A54" t="s">
        <v>633</v>
      </c>
      <c r="B54" t="s">
        <v>668</v>
      </c>
      <c r="C54" t="s">
        <v>669</v>
      </c>
      <c r="D54" t="s">
        <v>670</v>
      </c>
      <c r="E54" t="s">
        <v>671</v>
      </c>
      <c r="F54" t="s">
        <v>672</v>
      </c>
    </row>
    <row r="55" spans="1:6" x14ac:dyDescent="0.2">
      <c r="A55" t="s">
        <v>673</v>
      </c>
      <c r="B55" t="s">
        <v>674</v>
      </c>
      <c r="C55" t="s">
        <v>675</v>
      </c>
      <c r="D55" t="s">
        <v>676</v>
      </c>
      <c r="E55" t="s">
        <v>677</v>
      </c>
      <c r="F55" t="s">
        <v>678</v>
      </c>
    </row>
    <row r="56" spans="1:6" x14ac:dyDescent="0.2">
      <c r="A56" t="s">
        <v>673</v>
      </c>
      <c r="B56" t="s">
        <v>679</v>
      </c>
      <c r="C56" t="s">
        <v>680</v>
      </c>
      <c r="D56" t="s">
        <v>681</v>
      </c>
      <c r="E56" t="s">
        <v>682</v>
      </c>
      <c r="F56" t="s">
        <v>683</v>
      </c>
    </row>
    <row r="57" spans="1:6" x14ac:dyDescent="0.2">
      <c r="A57" t="s">
        <v>673</v>
      </c>
      <c r="B57" t="s">
        <v>684</v>
      </c>
      <c r="C57" t="s">
        <v>685</v>
      </c>
      <c r="D57" t="s">
        <v>686</v>
      </c>
      <c r="E57" t="s">
        <v>687</v>
      </c>
      <c r="F57" t="s">
        <v>688</v>
      </c>
    </row>
    <row r="58" spans="1:6" x14ac:dyDescent="0.2">
      <c r="A58" t="s">
        <v>673</v>
      </c>
      <c r="B58" t="s">
        <v>689</v>
      </c>
      <c r="C58" t="s">
        <v>690</v>
      </c>
      <c r="D58" t="s">
        <v>691</v>
      </c>
      <c r="E58" t="s">
        <v>692</v>
      </c>
      <c r="F58" t="s">
        <v>693</v>
      </c>
    </row>
    <row r="59" spans="1:6" x14ac:dyDescent="0.2">
      <c r="A59" t="s">
        <v>673</v>
      </c>
      <c r="B59" s="350" t="s">
        <v>694</v>
      </c>
      <c r="C59" t="s">
        <v>695</v>
      </c>
      <c r="D59" t="s">
        <v>696</v>
      </c>
      <c r="E59" t="s">
        <v>697</v>
      </c>
      <c r="F59" t="s">
        <v>698</v>
      </c>
    </row>
    <row r="60" spans="1:6" x14ac:dyDescent="0.2">
      <c r="A60" t="s">
        <v>673</v>
      </c>
      <c r="B60" s="350" t="s">
        <v>699</v>
      </c>
      <c r="C60" t="s">
        <v>700</v>
      </c>
      <c r="D60" t="s">
        <v>701</v>
      </c>
      <c r="E60" t="s">
        <v>702</v>
      </c>
      <c r="F60" t="s">
        <v>703</v>
      </c>
    </row>
    <row r="61" spans="1:6" x14ac:dyDescent="0.2">
      <c r="A61" t="s">
        <v>673</v>
      </c>
      <c r="B61" s="350" t="s">
        <v>704</v>
      </c>
      <c r="C61" t="s">
        <v>705</v>
      </c>
      <c r="D61" t="s">
        <v>706</v>
      </c>
      <c r="E61" t="s">
        <v>707</v>
      </c>
      <c r="F61" t="s">
        <v>708</v>
      </c>
    </row>
    <row r="62" spans="1:6" x14ac:dyDescent="0.2">
      <c r="A62" t="s">
        <v>673</v>
      </c>
      <c r="B62" s="350" t="s">
        <v>709</v>
      </c>
      <c r="C62" t="s">
        <v>710</v>
      </c>
      <c r="D62" t="s">
        <v>711</v>
      </c>
      <c r="E62" t="s">
        <v>712</v>
      </c>
      <c r="F62" t="s">
        <v>713</v>
      </c>
    </row>
    <row r="63" spans="1:6" x14ac:dyDescent="0.2">
      <c r="A63" t="s">
        <v>673</v>
      </c>
      <c r="B63" s="350" t="s">
        <v>714</v>
      </c>
      <c r="C63" t="s">
        <v>715</v>
      </c>
      <c r="D63" t="s">
        <v>716</v>
      </c>
      <c r="E63" t="s">
        <v>717</v>
      </c>
      <c r="F63" t="s">
        <v>718</v>
      </c>
    </row>
    <row r="64" spans="1:6" x14ac:dyDescent="0.2">
      <c r="A64" t="s">
        <v>673</v>
      </c>
      <c r="B64" t="s">
        <v>719</v>
      </c>
      <c r="C64" t="s">
        <v>720</v>
      </c>
      <c r="D64" t="s">
        <v>721</v>
      </c>
      <c r="E64" t="s">
        <v>722</v>
      </c>
      <c r="F64" t="s">
        <v>723</v>
      </c>
    </row>
    <row r="65" spans="1:6" x14ac:dyDescent="0.2">
      <c r="A65" t="s">
        <v>673</v>
      </c>
      <c r="B65" s="350" t="s">
        <v>724</v>
      </c>
      <c r="C65" t="s">
        <v>725</v>
      </c>
      <c r="D65" t="s">
        <v>726</v>
      </c>
      <c r="E65" t="s">
        <v>727</v>
      </c>
      <c r="F65" t="s">
        <v>728</v>
      </c>
    </row>
    <row r="66" spans="1:6" x14ac:dyDescent="0.2">
      <c r="A66" t="s">
        <v>673</v>
      </c>
      <c r="B66" t="s">
        <v>729</v>
      </c>
      <c r="C66" t="s">
        <v>730</v>
      </c>
      <c r="D66" t="s">
        <v>731</v>
      </c>
      <c r="E66" t="s">
        <v>732</v>
      </c>
      <c r="F66" t="s">
        <v>733</v>
      </c>
    </row>
    <row r="67" spans="1:6" x14ac:dyDescent="0.2">
      <c r="A67" t="s">
        <v>673</v>
      </c>
      <c r="B67" t="s">
        <v>734</v>
      </c>
      <c r="C67" t="s">
        <v>735</v>
      </c>
      <c r="D67" t="s">
        <v>736</v>
      </c>
      <c r="E67" t="s">
        <v>737</v>
      </c>
      <c r="F67" t="s">
        <v>738</v>
      </c>
    </row>
    <row r="68" spans="1:6" x14ac:dyDescent="0.2">
      <c r="A68" t="s">
        <v>673</v>
      </c>
      <c r="B68" s="350" t="s">
        <v>739</v>
      </c>
      <c r="C68" t="s">
        <v>740</v>
      </c>
      <c r="D68" t="s">
        <v>741</v>
      </c>
      <c r="E68" t="s">
        <v>742</v>
      </c>
      <c r="F68" t="s">
        <v>743</v>
      </c>
    </row>
    <row r="69" spans="1:6" x14ac:dyDescent="0.2">
      <c r="A69" t="s">
        <v>673</v>
      </c>
      <c r="B69" s="350" t="s">
        <v>744</v>
      </c>
      <c r="C69" t="s">
        <v>745</v>
      </c>
      <c r="D69" t="s">
        <v>746</v>
      </c>
      <c r="E69" t="s">
        <v>746</v>
      </c>
      <c r="F69" t="s">
        <v>746</v>
      </c>
    </row>
    <row r="70" spans="1:6" x14ac:dyDescent="0.2">
      <c r="A70" t="s">
        <v>673</v>
      </c>
      <c r="B70" t="s">
        <v>747</v>
      </c>
      <c r="C70" t="s">
        <v>748</v>
      </c>
      <c r="D70" t="s">
        <v>749</v>
      </c>
      <c r="E70" t="s">
        <v>750</v>
      </c>
      <c r="F70" t="s">
        <v>751</v>
      </c>
    </row>
    <row r="71" spans="1:6" x14ac:dyDescent="0.2">
      <c r="A71" t="s">
        <v>673</v>
      </c>
      <c r="B71" s="350" t="s">
        <v>752</v>
      </c>
      <c r="C71" t="s">
        <v>753</v>
      </c>
      <c r="D71" t="s">
        <v>754</v>
      </c>
      <c r="E71" t="s">
        <v>755</v>
      </c>
      <c r="F71" t="s">
        <v>756</v>
      </c>
    </row>
    <row r="72" spans="1:6" x14ac:dyDescent="0.2">
      <c r="A72" t="s">
        <v>673</v>
      </c>
      <c r="B72" t="s">
        <v>757</v>
      </c>
      <c r="C72" t="s">
        <v>758</v>
      </c>
      <c r="D72" t="s">
        <v>759</v>
      </c>
      <c r="E72" t="s">
        <v>760</v>
      </c>
      <c r="F72" t="s">
        <v>761</v>
      </c>
    </row>
    <row r="73" spans="1:6" x14ac:dyDescent="0.2">
      <c r="A73" t="s">
        <v>673</v>
      </c>
      <c r="B73" s="350" t="s">
        <v>762</v>
      </c>
      <c r="C73" t="s">
        <v>763</v>
      </c>
      <c r="D73" t="s">
        <v>764</v>
      </c>
      <c r="E73" t="s">
        <v>765</v>
      </c>
      <c r="F73" t="s">
        <v>766</v>
      </c>
    </row>
    <row r="74" spans="1:6" x14ac:dyDescent="0.2">
      <c r="A74" t="s">
        <v>673</v>
      </c>
      <c r="B74" t="s">
        <v>767</v>
      </c>
      <c r="C74" t="s">
        <v>768</v>
      </c>
      <c r="D74" t="s">
        <v>769</v>
      </c>
      <c r="E74" t="s">
        <v>770</v>
      </c>
      <c r="F74" t="s">
        <v>771</v>
      </c>
    </row>
    <row r="75" spans="1:6" x14ac:dyDescent="0.2">
      <c r="A75" t="s">
        <v>673</v>
      </c>
      <c r="B75" t="s">
        <v>772</v>
      </c>
      <c r="C75" t="s">
        <v>773</v>
      </c>
      <c r="D75" t="s">
        <v>774</v>
      </c>
      <c r="E75" t="s">
        <v>775</v>
      </c>
      <c r="F75" t="s">
        <v>776</v>
      </c>
    </row>
    <row r="76" spans="1:6" x14ac:dyDescent="0.2">
      <c r="A76" t="s">
        <v>673</v>
      </c>
      <c r="B76" t="s">
        <v>777</v>
      </c>
      <c r="C76" t="s">
        <v>778</v>
      </c>
      <c r="D76" t="s">
        <v>779</v>
      </c>
      <c r="E76" t="s">
        <v>780</v>
      </c>
      <c r="F76" t="s">
        <v>781</v>
      </c>
    </row>
    <row r="77" spans="1:6" x14ac:dyDescent="0.2">
      <c r="A77" t="s">
        <v>673</v>
      </c>
      <c r="B77" t="s">
        <v>782</v>
      </c>
      <c r="C77" t="s">
        <v>783</v>
      </c>
      <c r="D77" t="s">
        <v>784</v>
      </c>
      <c r="E77" t="s">
        <v>785</v>
      </c>
      <c r="F77" t="s">
        <v>786</v>
      </c>
    </row>
    <row r="78" spans="1:6" x14ac:dyDescent="0.2">
      <c r="A78" t="s">
        <v>673</v>
      </c>
      <c r="B78" t="s">
        <v>787</v>
      </c>
      <c r="C78" t="s">
        <v>788</v>
      </c>
      <c r="D78" t="s">
        <v>789</v>
      </c>
      <c r="E78" t="s">
        <v>790</v>
      </c>
      <c r="F78" t="s">
        <v>791</v>
      </c>
    </row>
    <row r="79" spans="1:6" x14ac:dyDescent="0.2">
      <c r="A79" t="s">
        <v>673</v>
      </c>
      <c r="B79" t="s">
        <v>792</v>
      </c>
      <c r="C79" t="s">
        <v>793</v>
      </c>
      <c r="D79" t="s">
        <v>794</v>
      </c>
      <c r="E79" t="s">
        <v>795</v>
      </c>
      <c r="F79" t="s">
        <v>796</v>
      </c>
    </row>
    <row r="80" spans="1:6" x14ac:dyDescent="0.2">
      <c r="A80" t="s">
        <v>673</v>
      </c>
      <c r="B80" s="350" t="s">
        <v>797</v>
      </c>
      <c r="C80" t="s">
        <v>798</v>
      </c>
      <c r="D80" t="s">
        <v>799</v>
      </c>
      <c r="E80" t="s">
        <v>800</v>
      </c>
      <c r="F80" t="s">
        <v>801</v>
      </c>
    </row>
    <row r="81" spans="1:7" x14ac:dyDescent="0.2">
      <c r="A81" t="s">
        <v>673</v>
      </c>
      <c r="B81" t="s">
        <v>802</v>
      </c>
      <c r="C81" t="s">
        <v>803</v>
      </c>
      <c r="D81" t="s">
        <v>804</v>
      </c>
      <c r="E81" t="s">
        <v>805</v>
      </c>
      <c r="F81" t="s">
        <v>806</v>
      </c>
    </row>
    <row r="82" spans="1:7" x14ac:dyDescent="0.2">
      <c r="A82" s="340" t="s">
        <v>807</v>
      </c>
      <c r="B82" s="340" t="s">
        <v>413</v>
      </c>
      <c r="C82" s="340" t="s">
        <v>414</v>
      </c>
      <c r="D82" s="340" t="s">
        <v>415</v>
      </c>
      <c r="E82" s="340" t="s">
        <v>416</v>
      </c>
      <c r="F82" s="340" t="s">
        <v>417</v>
      </c>
      <c r="G82" s="355" t="s">
        <v>808</v>
      </c>
    </row>
    <row r="83" spans="1:7" x14ac:dyDescent="0.2">
      <c r="A83" s="340" t="s">
        <v>807</v>
      </c>
      <c r="B83" s="340" t="s">
        <v>468</v>
      </c>
      <c r="C83" s="340" t="s">
        <v>469</v>
      </c>
      <c r="D83" s="340" t="s">
        <v>470</v>
      </c>
      <c r="E83" s="340" t="s">
        <v>471</v>
      </c>
      <c r="F83" s="340" t="s">
        <v>472</v>
      </c>
      <c r="G83" s="355" t="s">
        <v>809</v>
      </c>
    </row>
    <row r="84" spans="1:7" x14ac:dyDescent="0.2">
      <c r="A84" s="340" t="s">
        <v>807</v>
      </c>
      <c r="B84" s="340" t="s">
        <v>533</v>
      </c>
      <c r="C84" s="340" t="s">
        <v>534</v>
      </c>
      <c r="D84" s="340" t="s">
        <v>535</v>
      </c>
      <c r="E84" s="340" t="s">
        <v>536</v>
      </c>
      <c r="F84" s="340" t="s">
        <v>537</v>
      </c>
      <c r="G84" s="355" t="s">
        <v>810</v>
      </c>
    </row>
    <row r="85" spans="1:7" x14ac:dyDescent="0.2">
      <c r="A85" s="340" t="s">
        <v>807</v>
      </c>
      <c r="B85" s="340" t="s">
        <v>588</v>
      </c>
      <c r="C85" s="340" t="s">
        <v>589</v>
      </c>
      <c r="D85" s="340" t="s">
        <v>590</v>
      </c>
      <c r="E85" s="340" t="s">
        <v>591</v>
      </c>
      <c r="F85" s="340" t="s">
        <v>592</v>
      </c>
      <c r="G85" s="355" t="s">
        <v>811</v>
      </c>
    </row>
    <row r="86" spans="1:7" x14ac:dyDescent="0.2">
      <c r="A86" s="340" t="s">
        <v>807</v>
      </c>
      <c r="B86" s="340" t="s">
        <v>633</v>
      </c>
      <c r="C86" s="340" t="s">
        <v>634</v>
      </c>
      <c r="D86" s="340" t="s">
        <v>635</v>
      </c>
      <c r="E86" s="340" t="s">
        <v>636</v>
      </c>
      <c r="F86" s="340" t="s">
        <v>637</v>
      </c>
      <c r="G86" s="355" t="s">
        <v>812</v>
      </c>
    </row>
    <row r="87" spans="1:7" x14ac:dyDescent="0.2">
      <c r="A87" s="340" t="s">
        <v>807</v>
      </c>
      <c r="B87" s="340" t="s">
        <v>673</v>
      </c>
      <c r="C87" s="340" t="s">
        <v>813</v>
      </c>
      <c r="D87" s="340" t="s">
        <v>814</v>
      </c>
      <c r="E87" s="340" t="s">
        <v>815</v>
      </c>
      <c r="F87" s="340" t="s">
        <v>816</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817</v>
      </c>
      <c r="C3" t="s">
        <v>413</v>
      </c>
      <c r="E3" t="s">
        <v>468</v>
      </c>
      <c r="G3" t="s">
        <v>533</v>
      </c>
      <c r="I3" t="s">
        <v>588</v>
      </c>
      <c r="K3" t="s">
        <v>633</v>
      </c>
      <c r="M3" t="s">
        <v>673</v>
      </c>
    </row>
    <row r="5" spans="1:13" x14ac:dyDescent="0.2">
      <c r="A5" t="s">
        <v>68</v>
      </c>
      <c r="C5" t="s">
        <v>70</v>
      </c>
      <c r="E5" t="s">
        <v>70</v>
      </c>
      <c r="G5" t="s">
        <v>70</v>
      </c>
      <c r="I5" t="s">
        <v>70</v>
      </c>
      <c r="K5" t="s">
        <v>70</v>
      </c>
      <c r="M5" t="s">
        <v>70</v>
      </c>
    </row>
    <row r="6" spans="1:13" x14ac:dyDescent="0.2">
      <c r="A6" t="s">
        <v>413</v>
      </c>
      <c r="C6" t="s">
        <v>413</v>
      </c>
      <c r="E6" t="s">
        <v>468</v>
      </c>
      <c r="G6" t="s">
        <v>533</v>
      </c>
      <c r="I6" t="s">
        <v>588</v>
      </c>
      <c r="K6" t="s">
        <v>633</v>
      </c>
      <c r="M6" t="s">
        <v>674</v>
      </c>
    </row>
    <row r="7" spans="1:13" x14ac:dyDescent="0.2">
      <c r="A7" t="s">
        <v>468</v>
      </c>
      <c r="C7" t="s">
        <v>418</v>
      </c>
      <c r="E7" t="s">
        <v>473</v>
      </c>
      <c r="G7" t="s">
        <v>538</v>
      </c>
      <c r="I7" t="s">
        <v>593</v>
      </c>
      <c r="K7" t="s">
        <v>638</v>
      </c>
      <c r="M7" t="s">
        <v>679</v>
      </c>
    </row>
    <row r="8" spans="1:13" x14ac:dyDescent="0.2">
      <c r="A8" t="s">
        <v>533</v>
      </c>
      <c r="C8" t="s">
        <v>423</v>
      </c>
      <c r="E8" t="s">
        <v>508</v>
      </c>
      <c r="G8" t="s">
        <v>543</v>
      </c>
      <c r="I8" t="s">
        <v>598</v>
      </c>
      <c r="K8" t="s">
        <v>643</v>
      </c>
      <c r="M8" t="s">
        <v>684</v>
      </c>
    </row>
    <row r="9" spans="1:13" x14ac:dyDescent="0.2">
      <c r="A9" t="s">
        <v>588</v>
      </c>
      <c r="C9" s="350" t="s">
        <v>428</v>
      </c>
      <c r="E9" t="s">
        <v>513</v>
      </c>
      <c r="G9" t="s">
        <v>548</v>
      </c>
      <c r="I9" t="s">
        <v>603</v>
      </c>
      <c r="K9" s="350" t="s">
        <v>648</v>
      </c>
      <c r="M9" t="s">
        <v>689</v>
      </c>
    </row>
    <row r="10" spans="1:13" x14ac:dyDescent="0.2">
      <c r="A10" t="s">
        <v>633</v>
      </c>
      <c r="C10" s="350" t="s">
        <v>433</v>
      </c>
      <c r="E10" t="s">
        <v>478</v>
      </c>
      <c r="G10" t="s">
        <v>553</v>
      </c>
      <c r="I10" t="s">
        <v>608</v>
      </c>
      <c r="K10" t="s">
        <v>653</v>
      </c>
      <c r="M10" s="350" t="s">
        <v>694</v>
      </c>
    </row>
    <row r="11" spans="1:13" x14ac:dyDescent="0.2">
      <c r="A11" t="s">
        <v>673</v>
      </c>
      <c r="C11" s="350" t="s">
        <v>438</v>
      </c>
      <c r="E11" s="350" t="s">
        <v>483</v>
      </c>
      <c r="G11" s="350" t="s">
        <v>558</v>
      </c>
      <c r="I11" t="s">
        <v>613</v>
      </c>
      <c r="K11" t="s">
        <v>658</v>
      </c>
      <c r="M11" s="350" t="s">
        <v>699</v>
      </c>
    </row>
    <row r="12" spans="1:13" x14ac:dyDescent="0.2">
      <c r="C12" s="350" t="s">
        <v>443</v>
      </c>
      <c r="E12" s="350" t="s">
        <v>488</v>
      </c>
      <c r="G12" s="350" t="s">
        <v>563</v>
      </c>
      <c r="I12" t="s">
        <v>618</v>
      </c>
      <c r="K12" t="s">
        <v>663</v>
      </c>
      <c r="M12" s="350" t="s">
        <v>704</v>
      </c>
    </row>
    <row r="13" spans="1:13" x14ac:dyDescent="0.2">
      <c r="C13" s="350" t="s">
        <v>448</v>
      </c>
      <c r="E13" s="350" t="s">
        <v>493</v>
      </c>
      <c r="G13" t="s">
        <v>568</v>
      </c>
      <c r="I13" t="s">
        <v>623</v>
      </c>
      <c r="K13" t="s">
        <v>668</v>
      </c>
      <c r="M13" s="350" t="s">
        <v>709</v>
      </c>
    </row>
    <row r="14" spans="1:13" x14ac:dyDescent="0.2">
      <c r="C14" s="350" t="s">
        <v>453</v>
      </c>
      <c r="E14" s="350" t="s">
        <v>498</v>
      </c>
      <c r="G14" t="s">
        <v>573</v>
      </c>
      <c r="I14" t="s">
        <v>628</v>
      </c>
      <c r="M14" s="350" t="s">
        <v>714</v>
      </c>
    </row>
    <row r="15" spans="1:13" x14ac:dyDescent="0.2">
      <c r="C15" s="350" t="s">
        <v>458</v>
      </c>
      <c r="E15" s="350" t="s">
        <v>503</v>
      </c>
      <c r="G15" t="s">
        <v>583</v>
      </c>
      <c r="M15" t="s">
        <v>719</v>
      </c>
    </row>
    <row r="16" spans="1:13" x14ac:dyDescent="0.2">
      <c r="C16" t="s">
        <v>463</v>
      </c>
      <c r="E16" t="s">
        <v>523</v>
      </c>
      <c r="G16" t="s">
        <v>578</v>
      </c>
      <c r="M16" s="350" t="s">
        <v>724</v>
      </c>
    </row>
    <row r="17" spans="5:13" x14ac:dyDescent="0.2">
      <c r="E17" t="s">
        <v>518</v>
      </c>
      <c r="M17" t="s">
        <v>782</v>
      </c>
    </row>
    <row r="18" spans="5:13" x14ac:dyDescent="0.2">
      <c r="E18" t="s">
        <v>528</v>
      </c>
      <c r="M18" t="s">
        <v>729</v>
      </c>
    </row>
    <row r="19" spans="5:13" x14ac:dyDescent="0.2">
      <c r="M19" t="s">
        <v>734</v>
      </c>
    </row>
    <row r="20" spans="5:13" x14ac:dyDescent="0.2">
      <c r="M20" s="350" t="s">
        <v>739</v>
      </c>
    </row>
    <row r="21" spans="5:13" x14ac:dyDescent="0.2">
      <c r="M21" s="350" t="s">
        <v>744</v>
      </c>
    </row>
    <row r="22" spans="5:13" x14ac:dyDescent="0.2">
      <c r="M22" t="s">
        <v>747</v>
      </c>
    </row>
    <row r="23" spans="5:13" x14ac:dyDescent="0.2">
      <c r="M23" s="350" t="s">
        <v>752</v>
      </c>
    </row>
    <row r="24" spans="5:13" x14ac:dyDescent="0.2">
      <c r="M24" t="s">
        <v>757</v>
      </c>
    </row>
    <row r="25" spans="5:13" x14ac:dyDescent="0.2">
      <c r="M25" s="350" t="s">
        <v>762</v>
      </c>
    </row>
    <row r="26" spans="5:13" x14ac:dyDescent="0.2">
      <c r="M26" t="s">
        <v>767</v>
      </c>
    </row>
    <row r="27" spans="5:13" x14ac:dyDescent="0.2">
      <c r="M27" t="s">
        <v>772</v>
      </c>
    </row>
    <row r="28" spans="5:13" x14ac:dyDescent="0.2">
      <c r="M28" t="s">
        <v>777</v>
      </c>
    </row>
    <row r="29" spans="5:13" x14ac:dyDescent="0.2">
      <c r="M29" t="s">
        <v>792</v>
      </c>
    </row>
    <row r="30" spans="5:13" x14ac:dyDescent="0.2">
      <c r="M30" s="350" t="s">
        <v>797</v>
      </c>
    </row>
    <row r="31" spans="5:13" x14ac:dyDescent="0.2">
      <c r="M31" t="s">
        <v>787</v>
      </c>
    </row>
    <row r="32" spans="5:13" x14ac:dyDescent="0.2">
      <c r="M32" t="s">
        <v>802</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98" t="s">
        <v>57</v>
      </c>
      <c r="AU2" s="498"/>
      <c r="AV2" s="498"/>
      <c r="AW2" s="498"/>
      <c r="AX2" s="498"/>
      <c r="AY2" s="498"/>
      <c r="AZ2" s="39"/>
    </row>
    <row r="3" spans="2:52" ht="15" customHeight="1" x14ac:dyDescent="0.2">
      <c r="B3" s="40"/>
      <c r="D3" s="515" t="s">
        <v>58</v>
      </c>
      <c r="E3" s="515"/>
      <c r="F3" s="519" t="s">
        <v>59</v>
      </c>
      <c r="G3" s="519"/>
      <c r="H3" s="519"/>
      <c r="I3" s="519"/>
      <c r="J3" s="519"/>
      <c r="K3" s="519"/>
      <c r="L3" s="519"/>
      <c r="M3" s="519"/>
      <c r="N3" s="519"/>
      <c r="O3" s="519"/>
      <c r="P3" s="519"/>
      <c r="Q3" s="519"/>
      <c r="R3" s="519"/>
      <c r="S3" s="2"/>
      <c r="T3" s="515" t="s">
        <v>60</v>
      </c>
      <c r="U3" s="515"/>
      <c r="V3" s="515"/>
      <c r="W3" s="515"/>
      <c r="X3" s="515"/>
      <c r="Y3" s="515"/>
      <c r="Z3" s="515"/>
      <c r="AA3" s="515"/>
      <c r="AB3" s="515"/>
      <c r="AC3" s="519" t="s">
        <v>59</v>
      </c>
      <c r="AD3" s="519"/>
      <c r="AE3" s="519"/>
      <c r="AF3" s="519"/>
      <c r="AG3" s="519"/>
      <c r="AH3" s="519"/>
      <c r="AI3" s="519"/>
      <c r="AJ3" s="519"/>
      <c r="AK3" s="519"/>
      <c r="AL3" s="519"/>
      <c r="AM3" s="4"/>
      <c r="AR3" s="45"/>
      <c r="AS3" s="40"/>
      <c r="AT3" s="525"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25"/>
      <c r="AV3" s="525"/>
      <c r="AW3" s="525"/>
      <c r="AX3" s="525"/>
      <c r="AY3" s="525"/>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525"/>
      <c r="AU4" s="525"/>
      <c r="AV4" s="525"/>
      <c r="AW4" s="525"/>
      <c r="AX4" s="525"/>
      <c r="AY4" s="525"/>
      <c r="AZ4" s="41"/>
    </row>
    <row r="5" spans="2:52" x14ac:dyDescent="0.2">
      <c r="B5" s="40"/>
      <c r="D5" s="515" t="s">
        <v>61</v>
      </c>
      <c r="E5" s="515"/>
      <c r="F5" s="520"/>
      <c r="G5" s="520"/>
      <c r="H5" s="520"/>
      <c r="I5" s="520"/>
      <c r="J5" s="520"/>
      <c r="K5" s="520"/>
      <c r="L5" s="520"/>
      <c r="M5" s="520"/>
      <c r="N5" s="520"/>
      <c r="O5" s="520"/>
      <c r="P5" s="520"/>
      <c r="Q5" s="520"/>
      <c r="R5" s="520"/>
      <c r="S5" s="5"/>
      <c r="T5" s="515" t="s">
        <v>62</v>
      </c>
      <c r="U5" s="515"/>
      <c r="V5" s="515"/>
      <c r="W5" s="515"/>
      <c r="X5" s="515"/>
      <c r="Y5" s="515"/>
      <c r="Z5" s="515"/>
      <c r="AA5" s="515"/>
      <c r="AB5" s="515"/>
      <c r="AC5" s="521">
        <v>0</v>
      </c>
      <c r="AD5" s="521"/>
      <c r="AE5" s="521"/>
      <c r="AF5" s="521"/>
      <c r="AG5" s="521"/>
      <c r="AH5" s="521"/>
      <c r="AI5" s="521"/>
      <c r="AJ5" s="521"/>
      <c r="AK5" s="521"/>
      <c r="AL5" s="521"/>
      <c r="AM5" s="7"/>
      <c r="AN5" s="5"/>
      <c r="AO5" s="5"/>
      <c r="AP5" s="5"/>
      <c r="AQ5" s="5"/>
      <c r="AR5" s="45"/>
      <c r="AS5" s="40"/>
      <c r="AT5" s="525"/>
      <c r="AU5" s="525"/>
      <c r="AV5" s="525"/>
      <c r="AW5" s="525"/>
      <c r="AX5" s="525"/>
      <c r="AY5" s="525"/>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525"/>
      <c r="AU6" s="525"/>
      <c r="AV6" s="525"/>
      <c r="AW6" s="525"/>
      <c r="AX6" s="525"/>
      <c r="AY6" s="525"/>
      <c r="AZ6" s="41"/>
    </row>
    <row r="7" spans="2:52" x14ac:dyDescent="0.2">
      <c r="B7" s="40"/>
      <c r="C7" s="8"/>
      <c r="D7" s="515" t="s">
        <v>63</v>
      </c>
      <c r="E7" s="515"/>
      <c r="F7" s="522" t="s">
        <v>64</v>
      </c>
      <c r="G7" s="523"/>
      <c r="H7" s="523"/>
      <c r="I7" s="523"/>
      <c r="J7" s="523"/>
      <c r="K7" s="523"/>
      <c r="L7" s="523"/>
      <c r="M7" s="523"/>
      <c r="N7" s="523"/>
      <c r="O7" s="523"/>
      <c r="P7" s="523"/>
      <c r="Q7" s="523"/>
      <c r="R7" s="524"/>
      <c r="S7" s="5"/>
      <c r="T7" s="441" t="s">
        <v>65</v>
      </c>
      <c r="U7" s="528"/>
      <c r="V7" s="528"/>
      <c r="W7" s="528"/>
      <c r="X7" s="528"/>
      <c r="Y7" s="528"/>
      <c r="Z7" s="528"/>
      <c r="AA7" s="528"/>
      <c r="AB7" s="528"/>
      <c r="AC7" s="528"/>
      <c r="AD7" s="528"/>
      <c r="AE7" s="442"/>
      <c r="AF7" s="532" t="s">
        <v>66</v>
      </c>
      <c r="AG7" s="533"/>
      <c r="AH7" s="533"/>
      <c r="AI7" s="533"/>
      <c r="AJ7" s="533"/>
      <c r="AK7" s="533"/>
      <c r="AL7" s="534"/>
      <c r="AM7" s="15"/>
      <c r="AN7" s="25">
        <f>VLOOKUP(F7,ClaimPeriods,2,FALSE)</f>
        <v>44193</v>
      </c>
      <c r="AO7" s="26">
        <f>VLOOKUP(F7,ClaimPeriods,4,FALSE)</f>
        <v>5</v>
      </c>
      <c r="AP7" s="5"/>
      <c r="AQ7" s="5"/>
      <c r="AR7" s="45"/>
      <c r="AS7" s="40"/>
      <c r="AT7" s="525"/>
      <c r="AU7" s="525"/>
      <c r="AV7" s="525"/>
      <c r="AW7" s="525"/>
      <c r="AX7" s="525"/>
      <c r="AY7" s="525"/>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525"/>
      <c r="AU8" s="525"/>
      <c r="AV8" s="525"/>
      <c r="AW8" s="525"/>
      <c r="AX8" s="525"/>
      <c r="AY8" s="525"/>
      <c r="AZ8" s="41"/>
    </row>
    <row r="9" spans="2:52" ht="15" customHeight="1" x14ac:dyDescent="0.2">
      <c r="B9" s="40"/>
      <c r="D9" s="515" t="s">
        <v>67</v>
      </c>
      <c r="E9" s="515"/>
      <c r="F9" s="519" t="s">
        <v>68</v>
      </c>
      <c r="G9" s="519"/>
      <c r="H9" s="519"/>
      <c r="I9" s="519"/>
      <c r="J9" s="519"/>
      <c r="K9" s="519"/>
      <c r="L9" s="519"/>
      <c r="M9" s="519"/>
      <c r="N9" s="519"/>
      <c r="O9" s="519"/>
      <c r="P9" s="519"/>
      <c r="Q9" s="519"/>
      <c r="R9" s="519"/>
      <c r="S9" s="3" t="s">
        <v>17</v>
      </c>
      <c r="T9" s="441" t="s">
        <v>69</v>
      </c>
      <c r="U9" s="528"/>
      <c r="V9" s="528"/>
      <c r="W9" s="528"/>
      <c r="X9" s="528"/>
      <c r="Y9" s="528"/>
      <c r="Z9" s="529" t="s">
        <v>70</v>
      </c>
      <c r="AA9" s="530"/>
      <c r="AB9" s="530"/>
      <c r="AC9" s="530"/>
      <c r="AD9" s="530"/>
      <c r="AE9" s="530"/>
      <c r="AF9" s="530"/>
      <c r="AG9" s="530"/>
      <c r="AH9" s="530"/>
      <c r="AI9" s="530"/>
      <c r="AJ9" s="530"/>
      <c r="AK9" s="530"/>
      <c r="AL9" s="531"/>
      <c r="AM9" s="14"/>
      <c r="AP9" s="25"/>
      <c r="AR9" s="45"/>
      <c r="AS9" s="40"/>
      <c r="AT9" s="525"/>
      <c r="AU9" s="525"/>
      <c r="AV9" s="525"/>
      <c r="AW9" s="525"/>
      <c r="AX9" s="525"/>
      <c r="AY9" s="525"/>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525"/>
      <c r="AU10" s="525"/>
      <c r="AV10" s="525"/>
      <c r="AW10" s="525"/>
      <c r="AX10" s="525"/>
      <c r="AY10" s="525"/>
      <c r="AZ10" s="41"/>
    </row>
    <row r="11" spans="2:52" ht="15" customHeight="1" x14ac:dyDescent="0.2">
      <c r="B11" s="40"/>
      <c r="D11" s="515" t="s">
        <v>71</v>
      </c>
      <c r="E11" s="515"/>
      <c r="F11" s="519" t="s">
        <v>72</v>
      </c>
      <c r="G11" s="519"/>
      <c r="H11" s="519"/>
      <c r="I11" s="519"/>
      <c r="J11" s="519"/>
      <c r="K11" s="519"/>
      <c r="L11" s="519"/>
      <c r="M11" s="519"/>
      <c r="N11" s="519"/>
      <c r="O11" s="519"/>
      <c r="P11" s="519"/>
      <c r="Q11" s="519"/>
      <c r="R11" s="519"/>
      <c r="S11" s="157"/>
      <c r="T11" s="535" t="s">
        <v>73</v>
      </c>
      <c r="U11" s="536"/>
      <c r="V11" s="536"/>
      <c r="W11" s="536"/>
      <c r="X11" s="536"/>
      <c r="Y11" s="537"/>
      <c r="Z11" s="526" t="s">
        <v>74</v>
      </c>
      <c r="AA11" s="526"/>
      <c r="AB11" s="526"/>
      <c r="AC11" s="526"/>
      <c r="AD11" s="526"/>
      <c r="AE11" s="526"/>
      <c r="AF11" s="526"/>
      <c r="AG11" s="526"/>
      <c r="AH11" s="526"/>
      <c r="AI11" s="526"/>
      <c r="AJ11" s="526"/>
      <c r="AK11" s="526"/>
      <c r="AL11" s="527"/>
      <c r="AM11" s="15"/>
      <c r="AN11" s="5" t="s">
        <v>75</v>
      </c>
      <c r="AO11" s="5"/>
      <c r="AP11" s="5"/>
      <c r="AQ11" s="5"/>
      <c r="AR11" s="45"/>
      <c r="AS11" s="40"/>
      <c r="AT11" s="525"/>
      <c r="AU11" s="525"/>
      <c r="AV11" s="525"/>
      <c r="AW11" s="525"/>
      <c r="AX11" s="525"/>
      <c r="AY11" s="525"/>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516" t="str">
        <f>IF($F$7="Please select claim period"," - Please select claim period above",CONCATENATE(" - Claim week 1: Work completed from Monday ",TEXT(C13,"d mmmm yyyy")," to Sunday ",TEXT(IF(ISNA(C13),"",C13+6),"d mmmm yyyy")))</f>
        <v xml:space="preserve"> - Please select claim period above</v>
      </c>
      <c r="E13" s="517"/>
      <c r="F13" s="517"/>
      <c r="G13" s="517"/>
      <c r="H13" s="517"/>
      <c r="I13" s="517"/>
      <c r="J13" s="517"/>
      <c r="K13" s="517"/>
      <c r="L13" s="517"/>
      <c r="M13" s="517"/>
      <c r="N13" s="517"/>
      <c r="O13" s="517"/>
      <c r="P13" s="517"/>
      <c r="Q13" s="517"/>
      <c r="R13" s="517"/>
      <c r="S13" s="517"/>
      <c r="T13" s="517"/>
      <c r="U13" s="517"/>
      <c r="V13" s="517"/>
      <c r="W13" s="517"/>
      <c r="X13" s="517"/>
      <c r="Y13" s="517"/>
      <c r="Z13" s="517"/>
      <c r="AA13" s="517"/>
      <c r="AB13" s="517"/>
      <c r="AC13" s="517"/>
      <c r="AD13" s="517"/>
      <c r="AE13" s="517"/>
      <c r="AF13" s="517"/>
      <c r="AG13" s="517"/>
      <c r="AH13" s="517"/>
      <c r="AI13" s="517"/>
      <c r="AJ13" s="517"/>
      <c r="AK13" s="517"/>
      <c r="AL13" s="518"/>
      <c r="AM13" s="484"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98" t="s">
        <v>76</v>
      </c>
      <c r="AU13" s="498"/>
      <c r="AV13" s="498"/>
      <c r="AW13" s="498"/>
      <c r="AX13" s="498"/>
      <c r="AY13" s="498"/>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484"/>
      <c r="AN14" s="5"/>
      <c r="AO14" s="5"/>
      <c r="AP14" s="5"/>
      <c r="AQ14" s="5"/>
      <c r="AR14" s="45"/>
      <c r="AS14" s="40"/>
      <c r="AZ14" s="41"/>
    </row>
    <row r="15" spans="2:52" ht="15" customHeight="1" x14ac:dyDescent="0.2">
      <c r="B15" s="40"/>
      <c r="C15" s="10"/>
      <c r="D15" s="159"/>
      <c r="E15" s="489" t="s">
        <v>77</v>
      </c>
      <c r="F15" s="489"/>
      <c r="G15" s="490">
        <v>0</v>
      </c>
      <c r="H15" s="490"/>
      <c r="I15" s="490"/>
      <c r="J15" s="3" t="s">
        <v>17</v>
      </c>
      <c r="K15" s="489" t="s">
        <v>78</v>
      </c>
      <c r="L15" s="489"/>
      <c r="M15" s="489"/>
      <c r="N15" s="489"/>
      <c r="O15" s="489"/>
      <c r="P15" s="489"/>
      <c r="Q15" s="489"/>
      <c r="R15" s="489"/>
      <c r="S15" s="492">
        <v>0</v>
      </c>
      <c r="T15" s="492"/>
      <c r="U15" s="492"/>
      <c r="V15" s="492"/>
      <c r="W15" s="3" t="s">
        <v>17</v>
      </c>
      <c r="X15" s="493" t="s">
        <v>79</v>
      </c>
      <c r="Y15" s="493"/>
      <c r="Z15" s="493"/>
      <c r="AA15" s="493"/>
      <c r="AB15" s="493"/>
      <c r="AC15" s="493"/>
      <c r="AD15" s="493"/>
      <c r="AE15" s="493"/>
      <c r="AF15" s="493"/>
      <c r="AG15" s="493"/>
      <c r="AH15" s="155"/>
      <c r="AI15" s="163" t="s">
        <v>80</v>
      </c>
      <c r="AJ15" s="155"/>
      <c r="AK15" s="163" t="s">
        <v>81</v>
      </c>
      <c r="AL15" s="164"/>
      <c r="AM15" s="484"/>
      <c r="AN15" s="47">
        <f>AH15+(AJ15/60)</f>
        <v>0</v>
      </c>
      <c r="AO15" s="47" t="str">
        <f>IF(OR(G15&lt;&gt;0,S15&lt;&gt;0,AN15&lt;&gt;0),"TRUE","FALSE")</f>
        <v>FALSE</v>
      </c>
      <c r="AP15" s="47" t="str">
        <f>IF(AND(AO15="TRUE",OR(G15=0,S15=0,AN15=0)),"INCOMPLETE","OK")</f>
        <v>OK</v>
      </c>
      <c r="AQ15" s="47">
        <f>G15*S15</f>
        <v>0</v>
      </c>
      <c r="AR15" s="45"/>
      <c r="AS15" s="40"/>
      <c r="AT15" s="482" t="s">
        <v>82</v>
      </c>
      <c r="AU15" s="482"/>
      <c r="AV15" s="482"/>
      <c r="AW15" s="482"/>
      <c r="AX15" s="482"/>
      <c r="AY15" s="482"/>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484"/>
      <c r="AO16" s="47"/>
      <c r="AP16" s="47"/>
      <c r="AQ16" s="27"/>
      <c r="AR16" s="45"/>
      <c r="AS16" s="40"/>
      <c r="AT16" s="482"/>
      <c r="AU16" s="482"/>
      <c r="AV16" s="482"/>
      <c r="AW16" s="482"/>
      <c r="AX16" s="482"/>
      <c r="AY16" s="482"/>
      <c r="AZ16" s="41"/>
    </row>
    <row r="17" spans="2:52" ht="15" customHeight="1" x14ac:dyDescent="0.2">
      <c r="B17" s="40"/>
      <c r="C17" s="10"/>
      <c r="D17" s="159"/>
      <c r="E17" s="275"/>
      <c r="F17" s="485">
        <f>IF($F$11=$AN$11,G15*S15,IF($Z$11=$E$63,ROUNDDOWN(G15*S15*0.8923,2),G15*S15))</f>
        <v>0</v>
      </c>
      <c r="G17" s="485"/>
      <c r="H17" s="485"/>
      <c r="I17" s="485"/>
      <c r="J17" s="3"/>
      <c r="K17" s="506" t="s">
        <v>83</v>
      </c>
      <c r="L17" s="506"/>
      <c r="M17" s="506"/>
      <c r="N17" s="506"/>
      <c r="O17" s="506"/>
      <c r="P17" s="506"/>
      <c r="Q17" s="506"/>
      <c r="R17" s="506"/>
      <c r="S17" s="491">
        <f>IF(F17=0,0,IF(AN15=0,0,F17/AN15))</f>
        <v>0</v>
      </c>
      <c r="T17" s="491"/>
      <c r="U17" s="491"/>
      <c r="V17" s="491"/>
      <c r="W17" s="170"/>
      <c r="X17" s="497" t="s">
        <v>84</v>
      </c>
      <c r="Y17" s="497"/>
      <c r="Z17" s="497"/>
      <c r="AA17" s="497"/>
      <c r="AB17" s="497"/>
      <c r="AC17" s="497"/>
      <c r="AD17" s="497"/>
      <c r="AE17" s="497"/>
      <c r="AF17" s="497"/>
      <c r="AG17" s="497"/>
      <c r="AH17" s="155"/>
      <c r="AI17" s="163" t="s">
        <v>80</v>
      </c>
      <c r="AJ17" s="155"/>
      <c r="AK17" s="163" t="s">
        <v>81</v>
      </c>
      <c r="AL17" s="171"/>
      <c r="AM17" s="484"/>
      <c r="AN17" s="47">
        <f t="shared" ref="AN17" si="0">AH17+(AJ17/60)</f>
        <v>0</v>
      </c>
      <c r="AO17" s="5" t="str">
        <f>IF(AND(F17&gt;0,$AF$7="Yes",OR(AH17="",AJ17="")),"FALSE","TRUE")</f>
        <v>TRUE</v>
      </c>
      <c r="AP17" s="5"/>
      <c r="AR17" s="45"/>
      <c r="AS17" s="40"/>
      <c r="AT17" s="482"/>
      <c r="AU17" s="482"/>
      <c r="AV17" s="482"/>
      <c r="AW17" s="482"/>
      <c r="AX17" s="482"/>
      <c r="AY17" s="482"/>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484"/>
      <c r="AN18" s="5"/>
      <c r="AO18" s="5"/>
      <c r="AP18" s="5"/>
      <c r="AQ18" s="5"/>
      <c r="AR18" s="45"/>
      <c r="AS18" s="40"/>
      <c r="AT18" s="482"/>
      <c r="AU18" s="482"/>
      <c r="AV18" s="482"/>
      <c r="AW18" s="482"/>
      <c r="AX18" s="482"/>
      <c r="AY18" s="482"/>
      <c r="AZ18" s="41"/>
    </row>
    <row r="19" spans="2:52" ht="4.25" customHeight="1" x14ac:dyDescent="0.2">
      <c r="B19" s="40"/>
      <c r="C19" s="10"/>
      <c r="D19" s="507"/>
      <c r="E19" s="507"/>
      <c r="F19" s="507"/>
      <c r="G19" s="507"/>
      <c r="H19" s="507"/>
      <c r="I19" s="507"/>
      <c r="J19" s="507"/>
      <c r="K19" s="507"/>
      <c r="L19" s="507"/>
      <c r="M19" s="507"/>
      <c r="N19" s="507"/>
      <c r="O19" s="507"/>
      <c r="P19" s="507"/>
      <c r="Q19" s="507"/>
      <c r="R19" s="507"/>
      <c r="S19" s="507"/>
      <c r="T19" s="507"/>
      <c r="U19" s="507"/>
      <c r="V19" s="507"/>
      <c r="W19" s="507"/>
      <c r="X19" s="507"/>
      <c r="Y19" s="507"/>
      <c r="Z19" s="507"/>
      <c r="AA19" s="507"/>
      <c r="AB19" s="507"/>
      <c r="AC19" s="507"/>
      <c r="AD19" s="507"/>
      <c r="AE19" s="507"/>
      <c r="AF19" s="507"/>
      <c r="AG19" s="507"/>
      <c r="AH19" s="507"/>
      <c r="AI19" s="507"/>
      <c r="AJ19" s="507"/>
      <c r="AK19" s="507"/>
      <c r="AL19" s="507"/>
      <c r="AM19" s="153"/>
      <c r="AN19" s="5"/>
      <c r="AO19" s="5"/>
      <c r="AP19" s="5"/>
      <c r="AQ19" s="5"/>
      <c r="AR19" s="45"/>
      <c r="AS19" s="40"/>
      <c r="AT19" s="483"/>
      <c r="AU19" s="483"/>
      <c r="AV19" s="483"/>
      <c r="AW19" s="483"/>
      <c r="AX19" s="483"/>
      <c r="AY19" s="483"/>
      <c r="AZ19" s="41"/>
    </row>
    <row r="20" spans="2:52" ht="13.5" customHeight="1" x14ac:dyDescent="0.2">
      <c r="B20" s="40"/>
      <c r="C20" s="10">
        <f>C13+7</f>
        <v>44200</v>
      </c>
      <c r="D20" s="486" t="str">
        <f>IF($F$7="Please select claim period"," - Please select claim period above",CONCATENATE(" - Claim week 2: Work completed from Monday ",TEXT(C20,"d mmmm yyyy")," to Sunday ",TEXT(IF(ISNA(C20),"",C20+6),"d mmmm yyyy")))</f>
        <v xml:space="preserve"> - Please select claim period above</v>
      </c>
      <c r="E20" s="487"/>
      <c r="F20" s="487"/>
      <c r="G20" s="487"/>
      <c r="H20" s="487"/>
      <c r="I20" s="487"/>
      <c r="J20" s="487"/>
      <c r="K20" s="487"/>
      <c r="L20" s="487"/>
      <c r="M20" s="487"/>
      <c r="N20" s="487"/>
      <c r="O20" s="487"/>
      <c r="P20" s="487"/>
      <c r="Q20" s="487"/>
      <c r="R20" s="487"/>
      <c r="S20" s="487"/>
      <c r="T20" s="487"/>
      <c r="U20" s="487"/>
      <c r="V20" s="487"/>
      <c r="W20" s="487"/>
      <c r="X20" s="487"/>
      <c r="Y20" s="487"/>
      <c r="Z20" s="487"/>
      <c r="AA20" s="487"/>
      <c r="AB20" s="487"/>
      <c r="AC20" s="487"/>
      <c r="AD20" s="487"/>
      <c r="AE20" s="487"/>
      <c r="AF20" s="487"/>
      <c r="AG20" s="487"/>
      <c r="AH20" s="487"/>
      <c r="AI20" s="487"/>
      <c r="AJ20" s="487"/>
      <c r="AK20" s="487"/>
      <c r="AL20" s="488"/>
      <c r="AM20" s="484"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473"/>
      <c r="AU20" s="474"/>
      <c r="AV20" s="474"/>
      <c r="AW20" s="474"/>
      <c r="AX20" s="474"/>
      <c r="AY20" s="475"/>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484"/>
      <c r="AN21" s="27"/>
      <c r="AO21" s="27"/>
      <c r="AP21" s="27"/>
      <c r="AQ21" s="5"/>
      <c r="AR21" s="45"/>
      <c r="AS21" s="40"/>
      <c r="AT21" s="476"/>
      <c r="AU21" s="477"/>
      <c r="AV21" s="477"/>
      <c r="AW21" s="477"/>
      <c r="AX21" s="477"/>
      <c r="AY21" s="478"/>
      <c r="AZ21" s="41"/>
    </row>
    <row r="22" spans="2:52" ht="15" customHeight="1" x14ac:dyDescent="0.2">
      <c r="B22" s="40"/>
      <c r="C22" s="10"/>
      <c r="D22" s="159"/>
      <c r="E22" s="489" t="s">
        <v>77</v>
      </c>
      <c r="F22" s="489"/>
      <c r="G22" s="490">
        <v>0</v>
      </c>
      <c r="H22" s="490"/>
      <c r="I22" s="490"/>
      <c r="J22" s="3" t="s">
        <v>17</v>
      </c>
      <c r="K22" s="489" t="s">
        <v>78</v>
      </c>
      <c r="L22" s="489"/>
      <c r="M22" s="489"/>
      <c r="N22" s="489"/>
      <c r="O22" s="489"/>
      <c r="P22" s="489"/>
      <c r="Q22" s="489"/>
      <c r="R22" s="489"/>
      <c r="S22" s="492">
        <v>0</v>
      </c>
      <c r="T22" s="492"/>
      <c r="U22" s="492"/>
      <c r="V22" s="492"/>
      <c r="W22" s="3" t="s">
        <v>17</v>
      </c>
      <c r="X22" s="493" t="s">
        <v>79</v>
      </c>
      <c r="Y22" s="493"/>
      <c r="Z22" s="493"/>
      <c r="AA22" s="493"/>
      <c r="AB22" s="493"/>
      <c r="AC22" s="493"/>
      <c r="AD22" s="493"/>
      <c r="AE22" s="493"/>
      <c r="AF22" s="493"/>
      <c r="AG22" s="493"/>
      <c r="AH22" s="155"/>
      <c r="AI22" s="163" t="s">
        <v>80</v>
      </c>
      <c r="AJ22" s="155"/>
      <c r="AK22" s="163" t="s">
        <v>81</v>
      </c>
      <c r="AL22" s="164"/>
      <c r="AM22" s="484"/>
      <c r="AN22" s="47">
        <f>AH22+(AJ22/60)</f>
        <v>0</v>
      </c>
      <c r="AO22" s="47" t="str">
        <f>IF(OR(G22&lt;&gt;0,S22&lt;&gt;0,AN22&lt;&gt;0),"TRUE","FALSE")</f>
        <v>FALSE</v>
      </c>
      <c r="AP22" s="47" t="str">
        <f>IF(AND(AO22="TRUE",OR(G22=0,S22=0,AN22=0)),"INCOMPLETE","OK")</f>
        <v>OK</v>
      </c>
      <c r="AQ22" s="47">
        <f>G22*S22</f>
        <v>0</v>
      </c>
      <c r="AR22" s="45"/>
      <c r="AS22" s="40"/>
      <c r="AT22" s="476"/>
      <c r="AU22" s="477"/>
      <c r="AV22" s="477"/>
      <c r="AW22" s="477"/>
      <c r="AX22" s="477"/>
      <c r="AY22" s="478"/>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484"/>
      <c r="AN23" s="47"/>
      <c r="AO23" s="47"/>
      <c r="AP23" s="47"/>
      <c r="AQ23" s="5"/>
      <c r="AR23" s="45"/>
      <c r="AS23" s="40"/>
      <c r="AT23" s="476"/>
      <c r="AU23" s="477"/>
      <c r="AV23" s="477"/>
      <c r="AW23" s="477"/>
      <c r="AX23" s="477"/>
      <c r="AY23" s="478"/>
      <c r="AZ23" s="41"/>
    </row>
    <row r="24" spans="2:52" ht="15" customHeight="1" x14ac:dyDescent="0.2">
      <c r="B24" s="40"/>
      <c r="C24" s="10"/>
      <c r="D24" s="159"/>
      <c r="E24" s="275" t="s">
        <v>85</v>
      </c>
      <c r="F24" s="485">
        <f>IF($F$11=$AN$11,G22*S22,IF($Z$11=$E$63,ROUNDDOWN(G22*S22*0.8923,2),G22*S22))</f>
        <v>0</v>
      </c>
      <c r="G24" s="485"/>
      <c r="H24" s="485"/>
      <c r="I24" s="485"/>
      <c r="J24" s="3"/>
      <c r="K24" s="506" t="s">
        <v>83</v>
      </c>
      <c r="L24" s="506"/>
      <c r="M24" s="506"/>
      <c r="N24" s="506"/>
      <c r="O24" s="506"/>
      <c r="P24" s="506"/>
      <c r="Q24" s="506"/>
      <c r="R24" s="506"/>
      <c r="S24" s="491">
        <f>IF(F24=0,0,IF(AN22=0,0,F24/AN22))</f>
        <v>0</v>
      </c>
      <c r="T24" s="491"/>
      <c r="U24" s="491"/>
      <c r="V24" s="491"/>
      <c r="W24" s="170"/>
      <c r="X24" s="497" t="s">
        <v>84</v>
      </c>
      <c r="Y24" s="497"/>
      <c r="Z24" s="497"/>
      <c r="AA24" s="497"/>
      <c r="AB24" s="497"/>
      <c r="AC24" s="497"/>
      <c r="AD24" s="497"/>
      <c r="AE24" s="497"/>
      <c r="AF24" s="497"/>
      <c r="AG24" s="497"/>
      <c r="AH24" s="155"/>
      <c r="AI24" s="163" t="s">
        <v>80</v>
      </c>
      <c r="AJ24" s="155"/>
      <c r="AK24" s="163" t="s">
        <v>81</v>
      </c>
      <c r="AL24" s="171"/>
      <c r="AM24" s="484"/>
      <c r="AN24" s="47">
        <f t="shared" ref="AN24" si="1">AH24+(AJ24/60)</f>
        <v>0</v>
      </c>
      <c r="AO24" s="5" t="str">
        <f>IF(AND(F24&gt;0,$AF$7="Yes",OR(AH24="",AJ24="")),"FALSE","TRUE")</f>
        <v>TRUE</v>
      </c>
      <c r="AP24" s="5"/>
      <c r="AR24" s="45"/>
      <c r="AS24" s="40"/>
      <c r="AT24" s="476"/>
      <c r="AU24" s="477"/>
      <c r="AV24" s="477"/>
      <c r="AW24" s="477"/>
      <c r="AX24" s="477"/>
      <c r="AY24" s="478"/>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484"/>
      <c r="AN25" s="47"/>
      <c r="AO25" s="47"/>
      <c r="AP25" s="47"/>
      <c r="AQ25" s="5"/>
      <c r="AR25" s="45"/>
      <c r="AS25" s="40"/>
      <c r="AT25" s="476"/>
      <c r="AU25" s="477"/>
      <c r="AV25" s="477"/>
      <c r="AW25" s="477"/>
      <c r="AX25" s="477"/>
      <c r="AY25" s="478"/>
      <c r="AZ25" s="41"/>
    </row>
    <row r="26" spans="2:52" ht="4.25" customHeight="1" x14ac:dyDescent="0.2">
      <c r="B26" s="40"/>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514"/>
      <c r="AD26" s="514"/>
      <c r="AE26" s="514"/>
      <c r="AF26" s="514"/>
      <c r="AG26" s="514"/>
      <c r="AH26" s="514"/>
      <c r="AI26" s="514"/>
      <c r="AJ26" s="514"/>
      <c r="AK26" s="514"/>
      <c r="AL26" s="514"/>
      <c r="AM26" s="154"/>
      <c r="AN26" s="47"/>
      <c r="AO26" s="47"/>
      <c r="AP26" s="47"/>
      <c r="AQ26" s="5"/>
      <c r="AR26" s="45"/>
      <c r="AS26" s="40"/>
      <c r="AT26" s="476"/>
      <c r="AU26" s="477"/>
      <c r="AV26" s="477"/>
      <c r="AW26" s="477"/>
      <c r="AX26" s="477"/>
      <c r="AY26" s="478"/>
      <c r="AZ26" s="41"/>
    </row>
    <row r="27" spans="2:52" ht="13.5" customHeight="1" x14ac:dyDescent="0.2">
      <c r="B27" s="40"/>
      <c r="C27" s="10">
        <f>C20+7</f>
        <v>44207</v>
      </c>
      <c r="D27" s="494" t="str">
        <f>IF($F$7="Please select claim period"," - Please select claim period above",CONCATENATE(" - Claim week 3: Work completed from Monday ",TEXT(C27,"d mmmm yyyy")," to Sunday ",TEXT(IF(ISNA(C27),"",C27+6),"d mmmm yyyy")))</f>
        <v xml:space="preserve"> - Please select claim period above</v>
      </c>
      <c r="E27" s="495"/>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6"/>
      <c r="AM27" s="484"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476"/>
      <c r="AU27" s="477"/>
      <c r="AV27" s="477"/>
      <c r="AW27" s="477"/>
      <c r="AX27" s="477"/>
      <c r="AY27" s="478"/>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484"/>
      <c r="AN28" s="47"/>
      <c r="AO28" s="47"/>
      <c r="AP28" s="47"/>
      <c r="AQ28" s="5"/>
      <c r="AR28" s="45"/>
      <c r="AS28" s="40"/>
      <c r="AT28" s="476"/>
      <c r="AU28" s="477"/>
      <c r="AV28" s="477"/>
      <c r="AW28" s="477"/>
      <c r="AX28" s="477"/>
      <c r="AY28" s="478"/>
      <c r="AZ28" s="41"/>
    </row>
    <row r="29" spans="2:52" ht="15" customHeight="1" x14ac:dyDescent="0.2">
      <c r="B29" s="40"/>
      <c r="C29" s="10"/>
      <c r="D29" s="159"/>
      <c r="E29" s="489" t="s">
        <v>77</v>
      </c>
      <c r="F29" s="489"/>
      <c r="G29" s="490">
        <v>0</v>
      </c>
      <c r="H29" s="490"/>
      <c r="I29" s="490"/>
      <c r="J29" s="3" t="s">
        <v>17</v>
      </c>
      <c r="K29" s="489" t="s">
        <v>78</v>
      </c>
      <c r="L29" s="489"/>
      <c r="M29" s="489"/>
      <c r="N29" s="489"/>
      <c r="O29" s="489"/>
      <c r="P29" s="489"/>
      <c r="Q29" s="489"/>
      <c r="R29" s="489"/>
      <c r="S29" s="492">
        <v>0</v>
      </c>
      <c r="T29" s="492"/>
      <c r="U29" s="492"/>
      <c r="V29" s="492"/>
      <c r="W29" s="3" t="s">
        <v>17</v>
      </c>
      <c r="X29" s="493" t="s">
        <v>79</v>
      </c>
      <c r="Y29" s="493"/>
      <c r="Z29" s="493"/>
      <c r="AA29" s="493"/>
      <c r="AB29" s="493"/>
      <c r="AC29" s="493"/>
      <c r="AD29" s="493"/>
      <c r="AE29" s="493"/>
      <c r="AF29" s="493"/>
      <c r="AG29" s="493"/>
      <c r="AH29" s="155"/>
      <c r="AI29" s="163" t="s">
        <v>80</v>
      </c>
      <c r="AJ29" s="155"/>
      <c r="AK29" s="163" t="s">
        <v>81</v>
      </c>
      <c r="AL29" s="164"/>
      <c r="AM29" s="484"/>
      <c r="AN29" s="47">
        <f t="shared" ref="AN29:AN45" si="2">AH29+(AJ29/60)</f>
        <v>0</v>
      </c>
      <c r="AO29" s="47" t="str">
        <f>IF(OR(G29&lt;&gt;0,S29&lt;&gt;0,AN29&lt;&gt;0),"TRUE","FALSE")</f>
        <v>FALSE</v>
      </c>
      <c r="AP29" s="47" t="str">
        <f>IF(AND(AO29="TRUE",OR(G29=0,S29=0,AN29=0)),"INCOMPLETE","OK")</f>
        <v>OK</v>
      </c>
      <c r="AQ29" s="47">
        <f>G29*S29</f>
        <v>0</v>
      </c>
      <c r="AR29" s="45"/>
      <c r="AS29" s="40"/>
      <c r="AT29" s="476"/>
      <c r="AU29" s="477"/>
      <c r="AV29" s="477"/>
      <c r="AW29" s="477"/>
      <c r="AX29" s="477"/>
      <c r="AY29" s="478"/>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484"/>
      <c r="AN30" s="47"/>
      <c r="AO30" s="47"/>
      <c r="AP30" s="47"/>
      <c r="AQ30" s="5"/>
      <c r="AR30" s="45"/>
      <c r="AS30" s="40"/>
      <c r="AT30" s="476"/>
      <c r="AU30" s="477"/>
      <c r="AV30" s="477"/>
      <c r="AW30" s="477"/>
      <c r="AX30" s="477"/>
      <c r="AY30" s="478"/>
      <c r="AZ30" s="41"/>
    </row>
    <row r="31" spans="2:52" ht="15" customHeight="1" x14ac:dyDescent="0.2">
      <c r="B31" s="40"/>
      <c r="C31" s="10"/>
      <c r="D31" s="159"/>
      <c r="E31" s="275" t="s">
        <v>85</v>
      </c>
      <c r="F31" s="485">
        <f>IF($F$11=$AN$11,G29*S29,IF($Z$11=$E$63,ROUNDDOWN(G29*S29*0.8923,2),G29*S29))</f>
        <v>0</v>
      </c>
      <c r="G31" s="485"/>
      <c r="H31" s="485"/>
      <c r="I31" s="485"/>
      <c r="J31" s="3"/>
      <c r="K31" s="506" t="s">
        <v>83</v>
      </c>
      <c r="L31" s="506"/>
      <c r="M31" s="506"/>
      <c r="N31" s="506"/>
      <c r="O31" s="506"/>
      <c r="P31" s="506"/>
      <c r="Q31" s="506"/>
      <c r="R31" s="506"/>
      <c r="S31" s="491">
        <f>IF(F31=0,0,IF(AN29=0,0,F31/AN29))</f>
        <v>0</v>
      </c>
      <c r="T31" s="491"/>
      <c r="U31" s="491"/>
      <c r="V31" s="491"/>
      <c r="W31" s="170"/>
      <c r="X31" s="497" t="s">
        <v>84</v>
      </c>
      <c r="Y31" s="497"/>
      <c r="Z31" s="497"/>
      <c r="AA31" s="497"/>
      <c r="AB31" s="497"/>
      <c r="AC31" s="497"/>
      <c r="AD31" s="497"/>
      <c r="AE31" s="497"/>
      <c r="AF31" s="497"/>
      <c r="AG31" s="497"/>
      <c r="AH31" s="155"/>
      <c r="AI31" s="163" t="s">
        <v>80</v>
      </c>
      <c r="AJ31" s="155"/>
      <c r="AK31" s="163" t="s">
        <v>81</v>
      </c>
      <c r="AL31" s="171"/>
      <c r="AM31" s="484"/>
      <c r="AN31" s="47">
        <f t="shared" si="2"/>
        <v>0</v>
      </c>
      <c r="AO31" s="5" t="str">
        <f>IF(AND(F31&gt;0,$AF$7="Yes",OR(AH31="",AJ31="")),"FALSE","TRUE")</f>
        <v>TRUE</v>
      </c>
      <c r="AP31" s="5"/>
      <c r="AR31" s="45"/>
      <c r="AS31" s="40"/>
      <c r="AT31" s="476"/>
      <c r="AU31" s="477"/>
      <c r="AV31" s="477"/>
      <c r="AW31" s="477"/>
      <c r="AX31" s="477"/>
      <c r="AY31" s="478"/>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484"/>
      <c r="AN32" s="47"/>
      <c r="AO32" s="47"/>
      <c r="AP32" s="47"/>
      <c r="AQ32" s="5"/>
      <c r="AR32" s="45"/>
      <c r="AS32" s="40"/>
      <c r="AT32" s="476"/>
      <c r="AU32" s="477"/>
      <c r="AV32" s="477"/>
      <c r="AW32" s="477"/>
      <c r="AX32" s="477"/>
      <c r="AY32" s="478"/>
      <c r="AZ32" s="41"/>
    </row>
    <row r="33" spans="2:88" ht="4.25" customHeight="1" x14ac:dyDescent="0.2">
      <c r="B33" s="40"/>
      <c r="C33" s="10"/>
      <c r="D33" s="507"/>
      <c r="E33" s="507"/>
      <c r="F33" s="507"/>
      <c r="G33" s="507"/>
      <c r="H33" s="507"/>
      <c r="I33" s="507"/>
      <c r="J33" s="507"/>
      <c r="K33" s="507"/>
      <c r="L33" s="507"/>
      <c r="M33" s="507"/>
      <c r="N33" s="507"/>
      <c r="O33" s="507"/>
      <c r="P33" s="507"/>
      <c r="Q33" s="507"/>
      <c r="R33" s="507"/>
      <c r="S33" s="507"/>
      <c r="T33" s="507"/>
      <c r="U33" s="507"/>
      <c r="V33" s="507"/>
      <c r="W33" s="507"/>
      <c r="X33" s="507"/>
      <c r="Y33" s="507"/>
      <c r="Z33" s="507"/>
      <c r="AA33" s="507"/>
      <c r="AB33" s="507"/>
      <c r="AC33" s="507"/>
      <c r="AD33" s="507"/>
      <c r="AE33" s="507"/>
      <c r="AF33" s="507"/>
      <c r="AG33" s="507"/>
      <c r="AH33" s="507"/>
      <c r="AI33" s="507"/>
      <c r="AJ33" s="507"/>
      <c r="AK33" s="507"/>
      <c r="AL33" s="507"/>
      <c r="AM33" s="154"/>
      <c r="AN33" s="47"/>
      <c r="AO33" s="47"/>
      <c r="AP33" s="47"/>
      <c r="AQ33" s="5"/>
      <c r="AR33" s="45"/>
      <c r="AS33" s="40"/>
      <c r="AT33" s="476"/>
      <c r="AU33" s="477"/>
      <c r="AV33" s="477"/>
      <c r="AW33" s="477"/>
      <c r="AX33" s="477"/>
      <c r="AY33" s="478"/>
      <c r="AZ33" s="41"/>
    </row>
    <row r="34" spans="2:88" ht="13.5" customHeight="1" x14ac:dyDescent="0.2">
      <c r="B34" s="40"/>
      <c r="C34" s="10">
        <f>C27+7</f>
        <v>44214</v>
      </c>
      <c r="D34" s="494" t="str">
        <f>IF($F$7="Please select claim period"," - Please select claim period above",CONCATENATE(" - Claim week 4: Work completed from Monday ",TEXT(C34,"d mmmm yyyy")," to Sunday ",TEXT(IF(ISNA(C34),"",C34+6),"d mmmm yyyy")))</f>
        <v xml:space="preserve"> - Please select claim period above</v>
      </c>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6"/>
      <c r="AM34" s="484"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476"/>
      <c r="AU34" s="477"/>
      <c r="AV34" s="477"/>
      <c r="AW34" s="477"/>
      <c r="AX34" s="477"/>
      <c r="AY34" s="478"/>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484"/>
      <c r="AN35" s="47"/>
      <c r="AO35" s="47"/>
      <c r="AP35" s="47"/>
      <c r="AQ35" s="5"/>
      <c r="AR35" s="45"/>
      <c r="AS35" s="40"/>
      <c r="AT35" s="476"/>
      <c r="AU35" s="477"/>
      <c r="AV35" s="477"/>
      <c r="AW35" s="477"/>
      <c r="AX35" s="477"/>
      <c r="AY35" s="478"/>
      <c r="AZ35" s="41"/>
    </row>
    <row r="36" spans="2:88" ht="15" customHeight="1" x14ac:dyDescent="0.2">
      <c r="B36" s="40"/>
      <c r="C36" s="10"/>
      <c r="D36" s="159"/>
      <c r="E36" s="489" t="s">
        <v>77</v>
      </c>
      <c r="F36" s="489"/>
      <c r="G36" s="490">
        <v>0</v>
      </c>
      <c r="H36" s="490"/>
      <c r="I36" s="490"/>
      <c r="J36" s="3" t="s">
        <v>17</v>
      </c>
      <c r="K36" s="489" t="s">
        <v>78</v>
      </c>
      <c r="L36" s="489"/>
      <c r="M36" s="489"/>
      <c r="N36" s="489"/>
      <c r="O36" s="489"/>
      <c r="P36" s="489"/>
      <c r="Q36" s="489"/>
      <c r="R36" s="489"/>
      <c r="S36" s="492">
        <v>0</v>
      </c>
      <c r="T36" s="492"/>
      <c r="U36" s="492"/>
      <c r="V36" s="492"/>
      <c r="W36" s="3" t="s">
        <v>17</v>
      </c>
      <c r="X36" s="493" t="s">
        <v>79</v>
      </c>
      <c r="Y36" s="493"/>
      <c r="Z36" s="493"/>
      <c r="AA36" s="493"/>
      <c r="AB36" s="493"/>
      <c r="AC36" s="493"/>
      <c r="AD36" s="493"/>
      <c r="AE36" s="493"/>
      <c r="AF36" s="493"/>
      <c r="AG36" s="493"/>
      <c r="AH36" s="155"/>
      <c r="AI36" s="163" t="s">
        <v>80</v>
      </c>
      <c r="AJ36" s="155"/>
      <c r="AK36" s="163" t="s">
        <v>81</v>
      </c>
      <c r="AL36" s="164"/>
      <c r="AM36" s="484"/>
      <c r="AN36" s="47">
        <f t="shared" si="2"/>
        <v>0</v>
      </c>
      <c r="AO36" s="47" t="str">
        <f>IF(OR(G36&lt;&gt;0,S36&lt;&gt;0,AN36&lt;&gt;0),"TRUE","FALSE")</f>
        <v>FALSE</v>
      </c>
      <c r="AP36" s="47" t="str">
        <f>IF(AND(AO36="TRUE",OR(G36=0,S36=0,AN36=0)),"INCOMPLETE","OK")</f>
        <v>OK</v>
      </c>
      <c r="AQ36" s="47">
        <f>G36*S36</f>
        <v>0</v>
      </c>
      <c r="AR36" s="45"/>
      <c r="AS36" s="40"/>
      <c r="AT36" s="476"/>
      <c r="AU36" s="477"/>
      <c r="AV36" s="477"/>
      <c r="AW36" s="477"/>
      <c r="AX36" s="477"/>
      <c r="AY36" s="478"/>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484"/>
      <c r="AN37" s="47"/>
      <c r="AO37" s="47"/>
      <c r="AP37" s="47"/>
      <c r="AQ37" s="5"/>
      <c r="AR37" s="45"/>
      <c r="AS37" s="40"/>
      <c r="AT37" s="476"/>
      <c r="AU37" s="477"/>
      <c r="AV37" s="477"/>
      <c r="AW37" s="477"/>
      <c r="AX37" s="477"/>
      <c r="AY37" s="478"/>
      <c r="AZ37" s="41"/>
    </row>
    <row r="38" spans="2:88" ht="15" customHeight="1" x14ac:dyDescent="0.2">
      <c r="B38" s="40"/>
      <c r="C38" s="10"/>
      <c r="D38" s="159"/>
      <c r="E38" s="275" t="s">
        <v>85</v>
      </c>
      <c r="F38" s="485">
        <f>IF($F$11=$AN$11,G36*S36,IF($Z$11=$E$63,ROUNDDOWN(G36*S36*0.8923,2),G36*S36))</f>
        <v>0</v>
      </c>
      <c r="G38" s="485"/>
      <c r="H38" s="485"/>
      <c r="I38" s="485"/>
      <c r="J38" s="3"/>
      <c r="K38" s="506" t="s">
        <v>83</v>
      </c>
      <c r="L38" s="506"/>
      <c r="M38" s="506"/>
      <c r="N38" s="506"/>
      <c r="O38" s="506"/>
      <c r="P38" s="506"/>
      <c r="Q38" s="506"/>
      <c r="R38" s="506"/>
      <c r="S38" s="491">
        <f>IF(F38=0,0,IF(AN36=0,0,F38/AN36))</f>
        <v>0</v>
      </c>
      <c r="T38" s="491"/>
      <c r="U38" s="491"/>
      <c r="V38" s="491"/>
      <c r="W38" s="170"/>
      <c r="X38" s="497" t="s">
        <v>84</v>
      </c>
      <c r="Y38" s="497"/>
      <c r="Z38" s="497"/>
      <c r="AA38" s="497"/>
      <c r="AB38" s="497"/>
      <c r="AC38" s="497"/>
      <c r="AD38" s="497"/>
      <c r="AE38" s="497"/>
      <c r="AF38" s="497"/>
      <c r="AG38" s="497"/>
      <c r="AH38" s="155"/>
      <c r="AI38" s="163" t="s">
        <v>80</v>
      </c>
      <c r="AJ38" s="155"/>
      <c r="AK38" s="163" t="s">
        <v>81</v>
      </c>
      <c r="AL38" s="171"/>
      <c r="AM38" s="484"/>
      <c r="AN38" s="47">
        <f t="shared" si="2"/>
        <v>0</v>
      </c>
      <c r="AO38" s="5" t="str">
        <f>IF(AND(F38&gt;0,$AF$7="Yes",OR(AH38="",AJ38="")),"FALSE","TRUE")</f>
        <v>TRUE</v>
      </c>
      <c r="AP38" s="5"/>
      <c r="AR38" s="45"/>
      <c r="AS38" s="40"/>
      <c r="AT38" s="476"/>
      <c r="AU38" s="477"/>
      <c r="AV38" s="477"/>
      <c r="AW38" s="477"/>
      <c r="AX38" s="477"/>
      <c r="AY38" s="478"/>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484"/>
      <c r="AN39" s="47"/>
      <c r="AO39" s="47"/>
      <c r="AP39" s="47"/>
      <c r="AQ39" s="5"/>
      <c r="AR39" s="45"/>
      <c r="AS39" s="72"/>
      <c r="AT39" s="476"/>
      <c r="AU39" s="477"/>
      <c r="AV39" s="477"/>
      <c r="AW39" s="477"/>
      <c r="AX39" s="477"/>
      <c r="AY39" s="478"/>
      <c r="AZ39" s="41"/>
    </row>
    <row r="40" spans="2:88" ht="4.25" customHeight="1" x14ac:dyDescent="0.2">
      <c r="B40" s="40"/>
      <c r="C40" s="10"/>
      <c r="D40" s="507"/>
      <c r="E40" s="507"/>
      <c r="F40" s="507"/>
      <c r="G40" s="507"/>
      <c r="H40" s="507"/>
      <c r="I40" s="507"/>
      <c r="J40" s="507"/>
      <c r="K40" s="507"/>
      <c r="L40" s="507"/>
      <c r="M40" s="507"/>
      <c r="N40" s="507"/>
      <c r="O40" s="507"/>
      <c r="P40" s="507"/>
      <c r="Q40" s="507"/>
      <c r="R40" s="507"/>
      <c r="S40" s="507"/>
      <c r="T40" s="507"/>
      <c r="U40" s="507"/>
      <c r="V40" s="507"/>
      <c r="W40" s="507"/>
      <c r="X40" s="507"/>
      <c r="Y40" s="507"/>
      <c r="Z40" s="507"/>
      <c r="AA40" s="507"/>
      <c r="AB40" s="507"/>
      <c r="AC40" s="507"/>
      <c r="AD40" s="507"/>
      <c r="AE40" s="507"/>
      <c r="AF40" s="507"/>
      <c r="AG40" s="507"/>
      <c r="AH40" s="507"/>
      <c r="AI40" s="507"/>
      <c r="AJ40" s="507"/>
      <c r="AK40" s="507"/>
      <c r="AL40" s="507"/>
      <c r="AM40" s="154"/>
      <c r="AN40" s="47"/>
      <c r="AO40" s="47"/>
      <c r="AP40" s="47"/>
      <c r="AQ40" s="5"/>
      <c r="AR40" s="45"/>
      <c r="AS40" s="72"/>
      <c r="AT40" s="476"/>
      <c r="AU40" s="477"/>
      <c r="AV40" s="477"/>
      <c r="AW40" s="477"/>
      <c r="AX40" s="477"/>
      <c r="AY40" s="478"/>
      <c r="AZ40" s="41"/>
    </row>
    <row r="41" spans="2:88" ht="13.5" customHeight="1" x14ac:dyDescent="0.2">
      <c r="B41" s="40"/>
      <c r="C41" s="10">
        <f>C34+7</f>
        <v>44221</v>
      </c>
      <c r="D41" s="486" t="str">
        <f>IF($F$7="Please select claim period"," - Please select claim period above",CONCATENATE(" - Claim week 5: Work completed from Monday ",TEXT(C41,"d mmmm yyyy")," to Sunday ",TEXT(IF(ISNA(C41),"",C41+6),"d mmmm yyyy")))</f>
        <v xml:space="preserve"> - Please select claim period above</v>
      </c>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487"/>
      <c r="AF41" s="487"/>
      <c r="AG41" s="487"/>
      <c r="AH41" s="487"/>
      <c r="AI41" s="487"/>
      <c r="AJ41" s="487"/>
      <c r="AK41" s="487"/>
      <c r="AL41" s="488"/>
      <c r="AM41" s="484"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479"/>
      <c r="AU41" s="480"/>
      <c r="AV41" s="480"/>
      <c r="AW41" s="480"/>
      <c r="AX41" s="480"/>
      <c r="AY41" s="481"/>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484"/>
      <c r="AN42" s="47"/>
      <c r="AO42" s="47"/>
      <c r="AP42" s="47"/>
      <c r="AQ42" s="5"/>
      <c r="AR42" s="45"/>
      <c r="AS42" s="148"/>
      <c r="AT42" s="276"/>
      <c r="AU42" s="276"/>
      <c r="AV42" s="276"/>
      <c r="AW42" s="276"/>
      <c r="AX42" s="276"/>
      <c r="AY42" s="276"/>
      <c r="AZ42" s="68"/>
    </row>
    <row r="43" spans="2:88" ht="15" customHeight="1" x14ac:dyDescent="0.2">
      <c r="B43" s="40"/>
      <c r="C43" s="10"/>
      <c r="D43" s="159"/>
      <c r="E43" s="489" t="s">
        <v>77</v>
      </c>
      <c r="F43" s="489"/>
      <c r="G43" s="490">
        <v>0</v>
      </c>
      <c r="H43" s="490"/>
      <c r="I43" s="490"/>
      <c r="J43" s="3" t="s">
        <v>17</v>
      </c>
      <c r="K43" s="489" t="s">
        <v>78</v>
      </c>
      <c r="L43" s="489"/>
      <c r="M43" s="489"/>
      <c r="N43" s="489"/>
      <c r="O43" s="489"/>
      <c r="P43" s="489"/>
      <c r="Q43" s="489"/>
      <c r="R43" s="489"/>
      <c r="S43" s="492">
        <v>0</v>
      </c>
      <c r="T43" s="492"/>
      <c r="U43" s="492"/>
      <c r="V43" s="492"/>
      <c r="W43" s="3" t="s">
        <v>17</v>
      </c>
      <c r="X43" s="493" t="s">
        <v>79</v>
      </c>
      <c r="Y43" s="493"/>
      <c r="Z43" s="493"/>
      <c r="AA43" s="493"/>
      <c r="AB43" s="493"/>
      <c r="AC43" s="493"/>
      <c r="AD43" s="493"/>
      <c r="AE43" s="493"/>
      <c r="AF43" s="493"/>
      <c r="AG43" s="493"/>
      <c r="AH43" s="155"/>
      <c r="AI43" s="163" t="s">
        <v>80</v>
      </c>
      <c r="AJ43" s="155"/>
      <c r="AK43" s="163" t="s">
        <v>81</v>
      </c>
      <c r="AL43" s="164"/>
      <c r="AM43" s="484"/>
      <c r="AN43" s="47">
        <f t="shared" si="2"/>
        <v>0</v>
      </c>
      <c r="AO43" s="47" t="str">
        <f>IF(OR(G43&lt;&gt;0,S43&lt;&gt;0,AN43&lt;&gt;0),"TRUE","FALSE")</f>
        <v>FALSE</v>
      </c>
      <c r="AP43" s="47" t="str">
        <f>IF(AND(AO43="TRUE",OR(G43=0,S43=0,AN43=0)),"INCOMPLETE","OK")</f>
        <v>OK</v>
      </c>
      <c r="AQ43" s="47">
        <f>IF($AO$7&lt;&gt;5,0,G43*S43)</f>
        <v>0</v>
      </c>
      <c r="AR43" s="45"/>
      <c r="AS43" s="72"/>
      <c r="AT43" s="466" t="s">
        <v>86</v>
      </c>
      <c r="AU43" s="466"/>
      <c r="AV43" s="466"/>
      <c r="AW43" s="466"/>
      <c r="AX43" s="466"/>
      <c r="AY43" s="466"/>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484"/>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485">
        <f>IF($AO$7&lt;&gt;5,0,IF($F$11=$AN$11,G43*S43,IF($Z$11=$E$63,ROUNDDOWN(G43*S43*0.8923,2),G43*S43)))</f>
        <v>0</v>
      </c>
      <c r="G45" s="485"/>
      <c r="H45" s="485"/>
      <c r="I45" s="485"/>
      <c r="J45" s="3"/>
      <c r="K45" s="506" t="s">
        <v>83</v>
      </c>
      <c r="L45" s="506"/>
      <c r="M45" s="506"/>
      <c r="N45" s="506"/>
      <c r="O45" s="506"/>
      <c r="P45" s="506"/>
      <c r="Q45" s="506"/>
      <c r="R45" s="506"/>
      <c r="S45" s="491">
        <f>IF(F45=0,0,IF(AN43=0,0,F45/AN43))</f>
        <v>0</v>
      </c>
      <c r="T45" s="491"/>
      <c r="U45" s="491"/>
      <c r="V45" s="491"/>
      <c r="W45" s="170"/>
      <c r="X45" s="497" t="s">
        <v>84</v>
      </c>
      <c r="Y45" s="497"/>
      <c r="Z45" s="497"/>
      <c r="AA45" s="497"/>
      <c r="AB45" s="497"/>
      <c r="AC45" s="497"/>
      <c r="AD45" s="497"/>
      <c r="AE45" s="497"/>
      <c r="AF45" s="497"/>
      <c r="AG45" s="497"/>
      <c r="AH45" s="155"/>
      <c r="AI45" s="163" t="s">
        <v>80</v>
      </c>
      <c r="AJ45" s="155"/>
      <c r="AK45" s="163" t="s">
        <v>81</v>
      </c>
      <c r="AL45" s="171"/>
      <c r="AM45" s="484"/>
      <c r="AN45" s="47">
        <f t="shared" si="2"/>
        <v>0</v>
      </c>
      <c r="AO45" s="5" t="str">
        <f>IF(AND(F45&gt;0,$AF$7="Yes",OR(AH45="",AJ45="")),"FALSE","TRUE")</f>
        <v>TRUE</v>
      </c>
      <c r="AP45" s="5"/>
      <c r="AR45" s="45"/>
      <c r="AS45" s="72"/>
      <c r="AT45" s="467" t="s">
        <v>87</v>
      </c>
      <c r="AU45" s="467"/>
      <c r="AV45" s="467"/>
      <c r="AW45" s="467"/>
      <c r="AX45" s="467"/>
      <c r="AY45" s="467"/>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484"/>
      <c r="AN46" s="27">
        <f t="shared" ref="AN46" si="3">(AF46+AB46+X46+S46+O46+K46+F46)</f>
        <v>0</v>
      </c>
      <c r="AO46" s="27"/>
      <c r="AP46" s="27"/>
      <c r="AQ46" s="27">
        <f t="shared" ref="AQ46" si="4">AH46+AD46+Z46+U46+Q46+M46+H46</f>
        <v>0</v>
      </c>
      <c r="AR46" s="45"/>
      <c r="AS46" s="72"/>
      <c r="AT46" s="467"/>
      <c r="AU46" s="467"/>
      <c r="AV46" s="467"/>
      <c r="AW46" s="467"/>
      <c r="AX46" s="467"/>
      <c r="AY46" s="467"/>
      <c r="AZ46" s="265"/>
    </row>
    <row r="47" spans="2:88" ht="9" customHeight="1" x14ac:dyDescent="0.2">
      <c r="B47" s="40"/>
      <c r="D47" s="567" t="s">
        <v>88</v>
      </c>
      <c r="E47" s="567"/>
      <c r="F47" s="567"/>
      <c r="G47" s="567"/>
      <c r="H47" s="567"/>
      <c r="I47" s="567"/>
      <c r="J47" s="567"/>
      <c r="K47" s="567"/>
      <c r="L47" s="567"/>
      <c r="M47" s="567"/>
      <c r="N47" s="567"/>
      <c r="O47" s="51"/>
      <c r="P47" s="567" t="s">
        <v>89</v>
      </c>
      <c r="Q47" s="567"/>
      <c r="R47" s="567"/>
      <c r="S47" s="567"/>
      <c r="T47" s="567"/>
      <c r="U47" s="567"/>
      <c r="V47" s="567"/>
      <c r="W47" s="567"/>
      <c r="X47" s="567"/>
      <c r="Y47" s="567"/>
      <c r="Z47" s="567"/>
      <c r="AA47" s="567"/>
      <c r="AB47" s="567"/>
      <c r="AC47" s="567"/>
      <c r="AD47" s="567"/>
      <c r="AE47" s="567"/>
      <c r="AF47" s="567"/>
      <c r="AG47" s="567"/>
      <c r="AH47" s="567"/>
      <c r="AI47" s="567"/>
      <c r="AJ47" s="567"/>
      <c r="AK47" s="567"/>
      <c r="AL47" s="567"/>
      <c r="AN47" s="5"/>
      <c r="AO47" s="5"/>
      <c r="AP47" s="5"/>
      <c r="AQ47" s="5"/>
      <c r="AR47" s="45"/>
      <c r="AS47" s="143"/>
      <c r="AT47" s="468"/>
      <c r="AU47" s="468"/>
      <c r="AV47" s="468"/>
      <c r="AW47" s="468"/>
      <c r="AX47" s="468"/>
      <c r="AY47" s="468"/>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568"/>
      <c r="E48" s="568"/>
      <c r="F48" s="568"/>
      <c r="G48" s="568"/>
      <c r="H48" s="568"/>
      <c r="I48" s="568"/>
      <c r="J48" s="568"/>
      <c r="K48" s="568"/>
      <c r="L48" s="568"/>
      <c r="M48" s="568"/>
      <c r="N48" s="568"/>
      <c r="O48" s="186"/>
      <c r="P48" s="568"/>
      <c r="Q48" s="568"/>
      <c r="R48" s="568"/>
      <c r="S48" s="568"/>
      <c r="T48" s="568"/>
      <c r="U48" s="568"/>
      <c r="V48" s="568"/>
      <c r="W48" s="568"/>
      <c r="X48" s="568"/>
      <c r="Y48" s="568"/>
      <c r="Z48" s="568"/>
      <c r="AA48" s="568"/>
      <c r="AB48" s="568"/>
      <c r="AC48" s="568"/>
      <c r="AD48" s="568"/>
      <c r="AE48" s="568"/>
      <c r="AF48" s="568"/>
      <c r="AG48" s="568"/>
      <c r="AH48" s="568"/>
      <c r="AI48" s="568"/>
      <c r="AJ48" s="568"/>
      <c r="AK48" s="568"/>
      <c r="AL48" s="568"/>
      <c r="AN48" s="5"/>
      <c r="AO48" s="5"/>
      <c r="AP48" s="5"/>
      <c r="AQ48" s="5"/>
      <c r="AR48" s="45"/>
      <c r="AS48" s="278"/>
      <c r="AT48" s="469" t="str">
        <f>IF(OR(F7="Please select",AC5=0,AC3="Please enter"),"[Pay Ref No] - [Surname] - [Claim Period].xlsx",CONCATENATE(AC5," - ",AC3," - ",VLOOKUP(F7,ClaimPeriods,5,FALSE),".xlsx"))</f>
        <v>[Pay Ref No] - [Surname] - [Claim Period].xlsx</v>
      </c>
      <c r="AU48" s="469"/>
      <c r="AV48" s="469"/>
      <c r="AW48" s="469"/>
      <c r="AX48" s="469"/>
      <c r="AY48" s="470"/>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41" t="s">
        <v>90</v>
      </c>
      <c r="E49" s="442"/>
      <c r="F49" s="443" t="s">
        <v>59</v>
      </c>
      <c r="G49" s="444"/>
      <c r="H49" s="444"/>
      <c r="I49" s="444"/>
      <c r="J49" s="444"/>
      <c r="K49" s="444"/>
      <c r="L49" s="444"/>
      <c r="M49" s="444"/>
      <c r="N49" s="445"/>
      <c r="O49" s="316"/>
      <c r="P49" s="550" t="s">
        <v>91</v>
      </c>
      <c r="Q49" s="550"/>
      <c r="R49" s="551"/>
      <c r="S49" s="552" t="s">
        <v>92</v>
      </c>
      <c r="T49" s="550"/>
      <c r="U49" s="550"/>
      <c r="V49" s="550" t="s">
        <v>93</v>
      </c>
      <c r="W49" s="550"/>
      <c r="X49" s="550"/>
      <c r="Y49" s="551"/>
      <c r="Z49" s="553" t="s">
        <v>94</v>
      </c>
      <c r="AA49" s="550"/>
      <c r="AB49" s="550"/>
      <c r="AC49" s="551"/>
      <c r="AD49" s="552" t="s">
        <v>95</v>
      </c>
      <c r="AE49" s="550"/>
      <c r="AF49" s="550"/>
      <c r="AG49" s="550"/>
      <c r="AH49" s="550" t="s">
        <v>96</v>
      </c>
      <c r="AI49" s="550"/>
      <c r="AJ49" s="550"/>
      <c r="AK49" s="550"/>
      <c r="AL49" s="550"/>
      <c r="AN49" s="48" t="s">
        <v>97</v>
      </c>
      <c r="AO49" s="47" t="str">
        <f>IF(OR(AO15="TRUE",AO22="TRUE",AO29="TRUE",AO36="TRUE",AO43="TRUE"),"TRUE","FALSE")</f>
        <v>FALSE</v>
      </c>
      <c r="AP49" s="47" t="str">
        <f>IF(OR(AP15="INCOMPLETE",AP22="INCOMPLETE",AP29="INCOMPLETE",AP36="INCOMPLETE",AP43="INCOMPLETE"),"INCOMPLETE","OK")</f>
        <v>OK</v>
      </c>
      <c r="AR49" s="45"/>
      <c r="AS49" s="278"/>
      <c r="AT49" s="471"/>
      <c r="AU49" s="471"/>
      <c r="AV49" s="471"/>
      <c r="AW49" s="471"/>
      <c r="AX49" s="471"/>
      <c r="AY49" s="472"/>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452" t="s">
        <v>98</v>
      </c>
      <c r="E50" s="453"/>
      <c r="F50" s="453"/>
      <c r="G50" s="453"/>
      <c r="H50" s="453"/>
      <c r="I50" s="453"/>
      <c r="J50" s="453"/>
      <c r="K50" s="454"/>
      <c r="L50" s="446" t="s">
        <v>99</v>
      </c>
      <c r="M50" s="447"/>
      <c r="N50" s="448"/>
      <c r="P50" s="569" t="str">
        <f>VLOOKUP(F11,SessionalTypesFPE,2,FALSE)</f>
        <v>----</v>
      </c>
      <c r="Q50" s="569"/>
      <c r="R50" s="570"/>
      <c r="S50" s="549" t="s">
        <v>100</v>
      </c>
      <c r="T50" s="569"/>
      <c r="U50" s="569"/>
      <c r="V50" s="571">
        <f>(F17+F24+F31+F38+F45)*(1-(F55+F56))</f>
        <v>0</v>
      </c>
      <c r="W50" s="569"/>
      <c r="X50" s="569"/>
      <c r="Y50" s="570"/>
      <c r="Z50" s="572">
        <f>(F17+F24+F31+F38+F45)*F55</f>
        <v>0</v>
      </c>
      <c r="AA50" s="569"/>
      <c r="AB50" s="569"/>
      <c r="AC50" s="570"/>
      <c r="AD50" s="546">
        <f>(F17+F24+F31+F38+F45)*F56</f>
        <v>0</v>
      </c>
      <c r="AE50" s="569"/>
      <c r="AF50" s="569"/>
      <c r="AG50" s="569"/>
      <c r="AH50" s="571">
        <f>SUM(V50:AG50)</f>
        <v>0</v>
      </c>
      <c r="AI50" s="569"/>
      <c r="AJ50" s="569"/>
      <c r="AK50" s="569"/>
      <c r="AL50" s="569"/>
      <c r="AN50" s="5"/>
      <c r="AO50" s="5"/>
      <c r="AP50" s="5"/>
      <c r="AQ50" s="5"/>
      <c r="AR50" s="45"/>
      <c r="AS50" s="73"/>
      <c r="AT50" s="508" t="s">
        <v>101</v>
      </c>
      <c r="AU50" s="508"/>
      <c r="AV50" s="508"/>
      <c r="AW50" s="508"/>
      <c r="AX50" s="508"/>
      <c r="AY50" s="508"/>
      <c r="AZ50" s="509"/>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455" t="s">
        <v>102</v>
      </c>
      <c r="E51" s="456"/>
      <c r="F51" s="456"/>
      <c r="G51" s="456"/>
      <c r="H51" s="456"/>
      <c r="I51" s="456"/>
      <c r="J51" s="456"/>
      <c r="K51" s="457"/>
      <c r="L51" s="435">
        <f>'UniWorkforce Expenses Claim'!AF34</f>
        <v>0</v>
      </c>
      <c r="M51" s="436"/>
      <c r="N51" s="437"/>
      <c r="P51" s="573"/>
      <c r="Q51" s="548"/>
      <c r="R51" s="574"/>
      <c r="S51" s="575" t="s">
        <v>100</v>
      </c>
      <c r="T51" s="548"/>
      <c r="U51" s="549"/>
      <c r="V51" s="547"/>
      <c r="W51" s="545"/>
      <c r="X51" s="545"/>
      <c r="Y51" s="554"/>
      <c r="Z51" s="544"/>
      <c r="AA51" s="545"/>
      <c r="AB51" s="545"/>
      <c r="AC51" s="554"/>
      <c r="AD51" s="544"/>
      <c r="AE51" s="545"/>
      <c r="AF51" s="545"/>
      <c r="AG51" s="546"/>
      <c r="AH51" s="547">
        <f>SUM(V51:AG51)</f>
        <v>0</v>
      </c>
      <c r="AI51" s="548"/>
      <c r="AJ51" s="548"/>
      <c r="AK51" s="548"/>
      <c r="AL51" s="549"/>
      <c r="AN51" s="5"/>
      <c r="AO51" s="5"/>
      <c r="AP51" s="5"/>
      <c r="AQ51" s="35"/>
      <c r="AR51" s="45"/>
      <c r="AS51" s="144"/>
      <c r="AT51" s="508"/>
      <c r="AU51" s="508"/>
      <c r="AV51" s="508"/>
      <c r="AW51" s="508"/>
      <c r="AX51" s="508"/>
      <c r="AY51" s="508"/>
      <c r="AZ51" s="509"/>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432" t="s">
        <v>103</v>
      </c>
      <c r="E52" s="433"/>
      <c r="F52" s="433"/>
      <c r="G52" s="433"/>
      <c r="H52" s="433"/>
      <c r="I52" s="433"/>
      <c r="J52" s="433"/>
      <c r="K52" s="434"/>
      <c r="L52" s="438">
        <f>'UniWorkforce Expenses Claim'!AF36</f>
        <v>0</v>
      </c>
      <c r="M52" s="439"/>
      <c r="N52" s="440"/>
      <c r="P52" s="569"/>
      <c r="Q52" s="569"/>
      <c r="R52" s="570"/>
      <c r="S52" s="549" t="s">
        <v>100</v>
      </c>
      <c r="T52" s="569"/>
      <c r="U52" s="569"/>
      <c r="V52" s="571"/>
      <c r="W52" s="569"/>
      <c r="X52" s="569"/>
      <c r="Y52" s="570"/>
      <c r="Z52" s="572"/>
      <c r="AA52" s="569"/>
      <c r="AB52" s="569"/>
      <c r="AC52" s="570"/>
      <c r="AD52" s="546"/>
      <c r="AE52" s="569"/>
      <c r="AF52" s="569"/>
      <c r="AG52" s="569"/>
      <c r="AH52" s="571">
        <f>SUM(V52:AG52)</f>
        <v>0</v>
      </c>
      <c r="AI52" s="569"/>
      <c r="AJ52" s="569"/>
      <c r="AK52" s="569"/>
      <c r="AL52" s="569"/>
      <c r="AN52" s="5"/>
      <c r="AO52" s="5"/>
      <c r="AP52" s="5"/>
      <c r="AQ52" s="35"/>
      <c r="AR52" s="45"/>
      <c r="AS52" s="145"/>
      <c r="AT52" s="508"/>
      <c r="AU52" s="508"/>
      <c r="AV52" s="508"/>
      <c r="AW52" s="508"/>
      <c r="AX52" s="508"/>
      <c r="AY52" s="508"/>
      <c r="AZ52" s="509"/>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561" t="s">
        <v>105</v>
      </c>
      <c r="Q53" s="562"/>
      <c r="R53" s="562"/>
      <c r="S53" s="562"/>
      <c r="T53" s="562"/>
      <c r="U53" s="563"/>
      <c r="V53" s="538">
        <f>AH53*(1-(F55+F56))</f>
        <v>0</v>
      </c>
      <c r="W53" s="539"/>
      <c r="X53" s="539"/>
      <c r="Y53" s="564"/>
      <c r="Z53" s="576">
        <f>AH53*F55</f>
        <v>0</v>
      </c>
      <c r="AA53" s="539"/>
      <c r="AB53" s="539"/>
      <c r="AC53" s="564"/>
      <c r="AD53" s="540">
        <f>AH53*F56</f>
        <v>0</v>
      </c>
      <c r="AE53" s="539"/>
      <c r="AF53" s="539"/>
      <c r="AG53" s="539"/>
      <c r="AH53" s="538">
        <f>(IF($F$11=$AN$11,0,IF($Z$11=E64,SUM(AH50:AL52)*0.1207,((AQ43+AQ36+AQ29+AQ22+AQ15)-(F45+F38+F31+F24+F17)))))</f>
        <v>0</v>
      </c>
      <c r="AI53" s="539"/>
      <c r="AJ53" s="539"/>
      <c r="AK53" s="539"/>
      <c r="AL53" s="539"/>
      <c r="AN53" s="5"/>
      <c r="AO53" s="5"/>
      <c r="AP53" s="5"/>
      <c r="AQ53" s="35"/>
      <c r="AR53" s="45"/>
      <c r="AS53" s="145"/>
      <c r="AT53" s="508"/>
      <c r="AU53" s="508"/>
      <c r="AV53" s="508"/>
      <c r="AW53" s="508"/>
      <c r="AX53" s="508"/>
      <c r="AY53" s="508"/>
      <c r="AZ53" s="509"/>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41" t="s">
        <v>106</v>
      </c>
      <c r="E54" s="442"/>
      <c r="F54" s="458">
        <v>1</v>
      </c>
      <c r="G54" s="459"/>
      <c r="H54" s="459"/>
      <c r="I54" s="260" t="s">
        <v>17</v>
      </c>
      <c r="J54" s="462">
        <v>0</v>
      </c>
      <c r="K54" s="462"/>
      <c r="L54" s="462"/>
      <c r="M54" s="462"/>
      <c r="N54" s="462"/>
      <c r="O54" s="190"/>
      <c r="P54" s="322"/>
      <c r="Q54" s="322"/>
      <c r="R54" s="322"/>
      <c r="S54" s="317"/>
      <c r="T54" s="318"/>
      <c r="U54" s="318"/>
      <c r="V54" s="318"/>
      <c r="W54" s="318"/>
      <c r="X54" s="319"/>
      <c r="Y54" s="565" t="s">
        <v>107</v>
      </c>
      <c r="Z54" s="565"/>
      <c r="AA54" s="565"/>
      <c r="AB54" s="565"/>
      <c r="AC54" s="565"/>
      <c r="AD54" s="565"/>
      <c r="AE54" s="565"/>
      <c r="AF54" s="565"/>
      <c r="AG54" s="566"/>
      <c r="AH54" s="541">
        <f>SUM(AH50:AL53)</f>
        <v>0</v>
      </c>
      <c r="AI54" s="542"/>
      <c r="AJ54" s="542"/>
      <c r="AK54" s="542"/>
      <c r="AL54" s="543"/>
      <c r="AN54" s="324" t="e">
        <f>AH53/SUM(AH50:AL52)</f>
        <v>#DIV/0!</v>
      </c>
      <c r="AO54" s="5"/>
      <c r="AP54" s="5"/>
      <c r="AQ54" s="35"/>
      <c r="AR54" s="45"/>
      <c r="AS54" s="146"/>
      <c r="AT54" s="508"/>
      <c r="AU54" s="508"/>
      <c r="AV54" s="508"/>
      <c r="AW54" s="508"/>
      <c r="AX54" s="508"/>
      <c r="AY54" s="508"/>
      <c r="AZ54" s="509"/>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12" t="s">
        <v>108</v>
      </c>
      <c r="E55" s="513"/>
      <c r="F55" s="458">
        <v>0</v>
      </c>
      <c r="G55" s="459"/>
      <c r="H55" s="459"/>
      <c r="I55" s="260" t="s">
        <v>17</v>
      </c>
      <c r="J55" s="462">
        <v>0</v>
      </c>
      <c r="K55" s="462"/>
      <c r="L55" s="462"/>
      <c r="M55" s="462"/>
      <c r="N55" s="462"/>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08"/>
      <c r="AU55" s="508"/>
      <c r="AV55" s="508"/>
      <c r="AW55" s="508"/>
      <c r="AX55" s="508"/>
      <c r="AY55" s="508"/>
      <c r="AZ55" s="509"/>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464" t="s">
        <v>109</v>
      </c>
      <c r="E56" s="465"/>
      <c r="F56" s="460">
        <v>0</v>
      </c>
      <c r="G56" s="461"/>
      <c r="H56" s="461"/>
      <c r="I56" s="312" t="s">
        <v>17</v>
      </c>
      <c r="J56" s="463">
        <v>0</v>
      </c>
      <c r="K56" s="463"/>
      <c r="L56" s="463"/>
      <c r="M56" s="463"/>
      <c r="N56" s="463"/>
      <c r="O56" s="190"/>
      <c r="P56" s="558" t="s">
        <v>110</v>
      </c>
      <c r="Q56" s="559"/>
      <c r="R56" s="559"/>
      <c r="S56" s="559"/>
      <c r="T56" s="559"/>
      <c r="U56" s="559"/>
      <c r="V56" s="559"/>
      <c r="W56" s="559"/>
      <c r="X56" s="559"/>
      <c r="Y56" s="560"/>
      <c r="Z56" s="555" t="str">
        <f>CONCATENATE(IF(ISNA(VLOOKUP(Z9,Bucket,2,FALSE)),IF(ISNA(VLOOKUP(F9,Bucket,2,FALSE)),"----",VLOOKUP(F9,Bucket,2,FALSE)),VLOOKUP(Z9,Bucket,2,FALSE)),"-",VLOOKUP(F11,SessionalTypesFPE,3,FALSE))</f>
        <v>---------</v>
      </c>
      <c r="AA56" s="556"/>
      <c r="AB56" s="556"/>
      <c r="AC56" s="556"/>
      <c r="AD56" s="556"/>
      <c r="AE56" s="556"/>
      <c r="AF56" s="556"/>
      <c r="AG56" s="556"/>
      <c r="AH56" s="556"/>
      <c r="AI56" s="556"/>
      <c r="AJ56" s="556"/>
      <c r="AK56" s="556"/>
      <c r="AL56" s="557"/>
      <c r="AN56" s="48"/>
      <c r="AO56" s="48"/>
      <c r="AP56" s="48"/>
      <c r="AQ56" s="47"/>
      <c r="AR56" s="45"/>
      <c r="AS56" s="144"/>
      <c r="AT56" s="508"/>
      <c r="AU56" s="508"/>
      <c r="AV56" s="508"/>
      <c r="AW56" s="508"/>
      <c r="AX56" s="508"/>
      <c r="AY56" s="508"/>
      <c r="AZ56" s="509"/>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08"/>
      <c r="AU57" s="508"/>
      <c r="AV57" s="508"/>
      <c r="AW57" s="508"/>
      <c r="AX57" s="508"/>
      <c r="AY57" s="508"/>
      <c r="AZ57" s="509"/>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41" t="s">
        <v>111</v>
      </c>
      <c r="E58" s="442"/>
      <c r="F58" s="449" t="s">
        <v>59</v>
      </c>
      <c r="G58" s="450"/>
      <c r="H58" s="450"/>
      <c r="I58" s="450"/>
      <c r="J58" s="450"/>
      <c r="K58" s="450"/>
      <c r="L58" s="450"/>
      <c r="M58" s="450"/>
      <c r="N58" s="451"/>
      <c r="O58" s="2"/>
      <c r="P58" s="2"/>
      <c r="Q58" s="2"/>
      <c r="R58" s="2"/>
      <c r="AN58" s="48"/>
      <c r="AO58" s="48"/>
      <c r="AP58" s="48"/>
      <c r="AQ58" s="47"/>
      <c r="AR58" s="45"/>
      <c r="AS58" s="144"/>
      <c r="AT58" s="508"/>
      <c r="AU58" s="508"/>
      <c r="AV58" s="508"/>
      <c r="AW58" s="508"/>
      <c r="AX58" s="508"/>
      <c r="AY58" s="508"/>
      <c r="AZ58" s="509"/>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10"/>
      <c r="AU59" s="510"/>
      <c r="AV59" s="510"/>
      <c r="AW59" s="510"/>
      <c r="AX59" s="510"/>
      <c r="AY59" s="510"/>
      <c r="AZ59" s="511"/>
    </row>
    <row r="60" spans="1:88" ht="26.25" customHeight="1" x14ac:dyDescent="0.2">
      <c r="B60" s="499" t="s">
        <v>112</v>
      </c>
      <c r="C60" s="500"/>
      <c r="D60" s="500"/>
      <c r="E60" s="500"/>
      <c r="F60" s="500"/>
      <c r="G60" s="500"/>
      <c r="H60" s="500"/>
      <c r="I60" s="500"/>
      <c r="J60" s="500"/>
      <c r="K60" s="500"/>
      <c r="L60" s="500"/>
      <c r="M60" s="500"/>
      <c r="N60" s="500"/>
      <c r="O60" s="500"/>
      <c r="P60" s="500"/>
      <c r="Q60" s="500"/>
      <c r="R60" s="500"/>
      <c r="S60" s="500"/>
      <c r="T60" s="500"/>
      <c r="U60" s="500"/>
      <c r="V60" s="500"/>
      <c r="W60" s="500"/>
      <c r="X60" s="500"/>
      <c r="Y60" s="500"/>
      <c r="Z60" s="500"/>
      <c r="AA60" s="500"/>
      <c r="AB60" s="500"/>
      <c r="AC60" s="500"/>
      <c r="AD60" s="500"/>
      <c r="AE60" s="500"/>
      <c r="AF60" s="500"/>
      <c r="AG60" s="500"/>
      <c r="AH60" s="500"/>
      <c r="AI60" s="500"/>
      <c r="AJ60" s="500"/>
      <c r="AK60" s="500"/>
      <c r="AL60" s="500"/>
      <c r="AM60" s="500"/>
      <c r="AN60" s="500"/>
      <c r="AO60" s="500"/>
      <c r="AP60" s="500"/>
      <c r="AQ60" s="500"/>
      <c r="AR60" s="500"/>
      <c r="AS60" s="500"/>
      <c r="AT60" s="500"/>
      <c r="AU60" s="500"/>
      <c r="AV60" s="500"/>
      <c r="AW60" s="500"/>
      <c r="AX60" s="500"/>
      <c r="AY60" s="500"/>
      <c r="AZ60" s="501"/>
    </row>
    <row r="61" spans="1:88" ht="15" customHeight="1" x14ac:dyDescent="0.2">
      <c r="B61" s="502" t="s">
        <v>113</v>
      </c>
      <c r="C61" s="503"/>
      <c r="D61" s="503"/>
      <c r="E61" s="503"/>
      <c r="F61" s="503"/>
      <c r="G61" s="503"/>
      <c r="H61" s="503"/>
      <c r="I61" s="503"/>
      <c r="J61" s="503"/>
      <c r="K61" s="503"/>
      <c r="L61" s="503"/>
      <c r="M61" s="503"/>
      <c r="N61" s="503"/>
      <c r="O61" s="503"/>
      <c r="P61" s="503"/>
      <c r="Q61" s="503"/>
      <c r="R61" s="503"/>
      <c r="S61" s="503"/>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4"/>
    </row>
    <row r="62" spans="1:88" x14ac:dyDescent="0.2">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c r="AK62" s="505"/>
      <c r="AL62" s="505"/>
      <c r="AM62" s="505"/>
      <c r="AN62" s="505"/>
      <c r="AO62" s="505"/>
      <c r="AP62" s="505"/>
      <c r="AQ62" s="505"/>
      <c r="AR62" s="505"/>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D3:E3"/>
    <mergeCell ref="D5:E5"/>
    <mergeCell ref="D7:E7"/>
    <mergeCell ref="D9:E9"/>
    <mergeCell ref="D11:E11"/>
    <mergeCell ref="K15:R15"/>
    <mergeCell ref="G15:I15"/>
    <mergeCell ref="S15:V15"/>
    <mergeCell ref="X15:AG15"/>
    <mergeCell ref="D13:AL13"/>
    <mergeCell ref="E15:F1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B1:DM477"/>
  <sheetViews>
    <sheetView showGridLines="0" showRowColHeaders="0" tabSelected="1" topLeftCell="E1" zoomScale="231" zoomScaleNormal="231" workbookViewId="0">
      <selection activeCell="AP101" sqref="AP101:AU101"/>
    </sheetView>
  </sheetViews>
  <sheetFormatPr baseColWidth="10" defaultColWidth="9.33203125" defaultRowHeight="15"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3" width="9.33203125" style="1" customWidth="1"/>
    <col min="44" max="44" width="9.33203125" style="1"/>
    <col min="45" max="45" width="9.5" style="1" bestFit="1" customWidth="1"/>
    <col min="46" max="46" width="9.5" style="1" customWidth="1"/>
    <col min="47" max="48" width="2" style="1" customWidth="1"/>
    <col min="49" max="49" width="9.33203125" style="1" customWidth="1"/>
    <col min="50" max="53" width="10.6640625" style="1" customWidth="1"/>
    <col min="54" max="55" width="10" style="1" customWidth="1"/>
    <col min="56" max="58" width="10.6640625" style="1" customWidth="1"/>
    <col min="59" max="61" width="10" style="1" customWidth="1"/>
    <col min="62" max="64" width="10.6640625" style="1" customWidth="1"/>
    <col min="65" max="67" width="10" style="1" customWidth="1"/>
    <col min="68" max="70" width="10.6640625" style="1" customWidth="1"/>
    <col min="71" max="73" width="10" style="1" customWidth="1"/>
    <col min="74" max="76" width="10.6640625" style="1" customWidth="1"/>
    <col min="77" max="79" width="10" style="1" customWidth="1"/>
    <col min="80" max="130" width="9.33203125" style="1" customWidth="1"/>
    <col min="131" max="16384" width="9.33203125" style="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98" t="s">
        <v>57</v>
      </c>
      <c r="AQ2" s="498"/>
      <c r="AR2" s="498"/>
      <c r="AS2" s="498"/>
      <c r="AT2" s="498"/>
      <c r="AU2" s="498"/>
      <c r="AV2" s="39"/>
    </row>
    <row r="3" spans="2:48" ht="15" customHeight="1" x14ac:dyDescent="0.2">
      <c r="B3" s="40"/>
      <c r="D3" s="70" t="s">
        <v>58</v>
      </c>
      <c r="E3" s="717" t="s">
        <v>818</v>
      </c>
      <c r="F3" s="717"/>
      <c r="G3" s="717"/>
      <c r="H3" s="717"/>
      <c r="I3" s="717"/>
      <c r="J3" s="717"/>
      <c r="K3" s="717"/>
      <c r="L3" s="717"/>
      <c r="M3" s="717"/>
      <c r="N3" s="717"/>
      <c r="O3" s="717"/>
      <c r="P3" s="717"/>
      <c r="Q3" s="2"/>
      <c r="R3" s="515" t="s">
        <v>60</v>
      </c>
      <c r="S3" s="515"/>
      <c r="T3" s="515"/>
      <c r="U3" s="515"/>
      <c r="V3" s="515"/>
      <c r="W3" s="515"/>
      <c r="X3" s="515"/>
      <c r="Y3" s="515"/>
      <c r="Z3" s="717" t="s">
        <v>819</v>
      </c>
      <c r="AA3" s="717"/>
      <c r="AB3" s="717"/>
      <c r="AC3" s="717"/>
      <c r="AD3" s="717"/>
      <c r="AE3" s="717"/>
      <c r="AF3" s="717"/>
      <c r="AG3" s="717"/>
      <c r="AH3" s="717"/>
      <c r="AI3" s="717"/>
      <c r="AJ3" s="717"/>
      <c r="AK3" s="4"/>
      <c r="AN3" s="45"/>
      <c r="AO3" s="40"/>
      <c r="AP3" s="525"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525"/>
      <c r="AR3" s="525"/>
      <c r="AS3" s="525"/>
      <c r="AT3" s="525"/>
      <c r="AU3" s="525"/>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525"/>
      <c r="AQ4" s="525"/>
      <c r="AR4" s="525"/>
      <c r="AS4" s="525"/>
      <c r="AT4" s="525"/>
      <c r="AU4" s="525"/>
      <c r="AV4" s="41"/>
    </row>
    <row r="5" spans="2:48" x14ac:dyDescent="0.2">
      <c r="B5" s="40"/>
      <c r="D5" s="70" t="s">
        <v>61</v>
      </c>
      <c r="E5" s="520">
        <v>35817</v>
      </c>
      <c r="F5" s="520"/>
      <c r="G5" s="520"/>
      <c r="H5" s="520"/>
      <c r="I5" s="520"/>
      <c r="J5" s="520"/>
      <c r="K5" s="520"/>
      <c r="L5" s="520"/>
      <c r="M5" s="520"/>
      <c r="N5" s="520"/>
      <c r="O5" s="520"/>
      <c r="P5" s="520"/>
      <c r="Q5" s="5"/>
      <c r="R5" s="515" t="s">
        <v>62</v>
      </c>
      <c r="S5" s="515"/>
      <c r="T5" s="515"/>
      <c r="U5" s="515"/>
      <c r="V5" s="515"/>
      <c r="W5" s="515"/>
      <c r="X5" s="515"/>
      <c r="Y5" s="515"/>
      <c r="Z5" s="521">
        <v>2915413</v>
      </c>
      <c r="AA5" s="521"/>
      <c r="AB5" s="521"/>
      <c r="AC5" s="521"/>
      <c r="AD5" s="521"/>
      <c r="AE5" s="521"/>
      <c r="AF5" s="521"/>
      <c r="AG5" s="521"/>
      <c r="AH5" s="521"/>
      <c r="AI5" s="521"/>
      <c r="AJ5" s="521"/>
      <c r="AK5" s="7"/>
      <c r="AL5" s="5"/>
      <c r="AM5" s="5"/>
      <c r="AN5" s="45"/>
      <c r="AO5" s="40"/>
      <c r="AP5" s="525"/>
      <c r="AQ5" s="525"/>
      <c r="AR5" s="525"/>
      <c r="AS5" s="525"/>
      <c r="AT5" s="525"/>
      <c r="AU5" s="525"/>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525"/>
      <c r="AQ6" s="525"/>
      <c r="AR6" s="525"/>
      <c r="AS6" s="525"/>
      <c r="AT6" s="525"/>
      <c r="AU6" s="525"/>
      <c r="AV6" s="41"/>
    </row>
    <row r="7" spans="2:48" x14ac:dyDescent="0.2">
      <c r="B7" s="40"/>
      <c r="C7" s="8"/>
      <c r="D7" s="70" t="s">
        <v>63</v>
      </c>
      <c r="E7" s="522" t="s">
        <v>314</v>
      </c>
      <c r="F7" s="523"/>
      <c r="G7" s="523"/>
      <c r="H7" s="523"/>
      <c r="I7" s="523"/>
      <c r="J7" s="523"/>
      <c r="K7" s="523"/>
      <c r="L7" s="523"/>
      <c r="M7" s="523"/>
      <c r="N7" s="523"/>
      <c r="O7" s="523"/>
      <c r="P7" s="524"/>
      <c r="Q7" s="5"/>
      <c r="R7" s="718" t="s">
        <v>115</v>
      </c>
      <c r="S7" s="718"/>
      <c r="T7" s="718"/>
      <c r="U7" s="718"/>
      <c r="V7" s="718"/>
      <c r="W7" s="718"/>
      <c r="X7" s="718"/>
      <c r="Y7" s="718"/>
      <c r="Z7" s="718"/>
      <c r="AA7" s="718"/>
      <c r="AB7" s="718"/>
      <c r="AC7" s="718"/>
      <c r="AD7" s="718"/>
      <c r="AE7" s="746" t="s">
        <v>99</v>
      </c>
      <c r="AF7" s="746"/>
      <c r="AG7" s="746"/>
      <c r="AH7" s="746"/>
      <c r="AI7" s="746"/>
      <c r="AJ7" s="746"/>
      <c r="AK7" s="15"/>
      <c r="AL7" s="5"/>
      <c r="AM7" s="5"/>
      <c r="AN7" s="45"/>
      <c r="AO7" s="40"/>
      <c r="AP7" s="525"/>
      <c r="AQ7" s="525"/>
      <c r="AR7" s="525"/>
      <c r="AS7" s="525"/>
      <c r="AT7" s="525"/>
      <c r="AU7" s="525"/>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525"/>
      <c r="AQ8" s="525"/>
      <c r="AR8" s="525"/>
      <c r="AS8" s="525"/>
      <c r="AT8" s="525"/>
      <c r="AU8" s="525"/>
      <c r="AV8" s="41"/>
    </row>
    <row r="9" spans="2:48" ht="15" customHeight="1" x14ac:dyDescent="0.2">
      <c r="B9" s="40"/>
      <c r="D9" s="70" t="s">
        <v>67</v>
      </c>
      <c r="E9" s="519" t="s">
        <v>468</v>
      </c>
      <c r="F9" s="519"/>
      <c r="G9" s="519"/>
      <c r="H9" s="519"/>
      <c r="I9" s="519"/>
      <c r="J9" s="519"/>
      <c r="K9" s="519"/>
      <c r="L9" s="519"/>
      <c r="M9" s="519"/>
      <c r="N9" s="519"/>
      <c r="O9" s="519"/>
      <c r="P9" s="519"/>
      <c r="Q9" s="3" t="s">
        <v>17</v>
      </c>
      <c r="R9" s="441" t="s">
        <v>69</v>
      </c>
      <c r="S9" s="528"/>
      <c r="T9" s="528"/>
      <c r="U9" s="528"/>
      <c r="V9" s="528"/>
      <c r="W9" s="529" t="s">
        <v>513</v>
      </c>
      <c r="X9" s="530"/>
      <c r="Y9" s="530"/>
      <c r="Z9" s="530"/>
      <c r="AA9" s="530"/>
      <c r="AB9" s="530"/>
      <c r="AC9" s="530"/>
      <c r="AD9" s="530"/>
      <c r="AE9" s="530"/>
      <c r="AF9" s="530"/>
      <c r="AG9" s="530"/>
      <c r="AH9" s="530"/>
      <c r="AI9" s="530"/>
      <c r="AJ9" s="531"/>
      <c r="AK9" s="14"/>
      <c r="AM9" s="5"/>
      <c r="AN9" s="45"/>
      <c r="AO9" s="40"/>
      <c r="AP9" s="525"/>
      <c r="AQ9" s="525"/>
      <c r="AR9" s="525"/>
      <c r="AS9" s="525"/>
      <c r="AT9" s="525"/>
      <c r="AU9" s="525"/>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525"/>
      <c r="AQ10" s="525"/>
      <c r="AR10" s="525"/>
      <c r="AS10" s="525"/>
      <c r="AT10" s="525"/>
      <c r="AU10" s="525"/>
      <c r="AV10" s="41"/>
    </row>
    <row r="11" spans="2:48" ht="15" customHeight="1" x14ac:dyDescent="0.2">
      <c r="B11" s="40"/>
      <c r="D11" s="70" t="s">
        <v>71</v>
      </c>
      <c r="E11" s="519" t="s">
        <v>398</v>
      </c>
      <c r="F11" s="519"/>
      <c r="G11" s="519"/>
      <c r="H11" s="519"/>
      <c r="I11" s="519"/>
      <c r="J11" s="519"/>
      <c r="K11" s="519"/>
      <c r="L11" s="519"/>
      <c r="M11" s="519"/>
      <c r="N11" s="519"/>
      <c r="O11" s="519"/>
      <c r="P11" s="519"/>
      <c r="Q11" s="3" t="s">
        <v>17</v>
      </c>
      <c r="R11" s="441" t="s">
        <v>116</v>
      </c>
      <c r="S11" s="528"/>
      <c r="T11" s="528"/>
      <c r="U11" s="442"/>
      <c r="V11" s="719" t="s">
        <v>346</v>
      </c>
      <c r="W11" s="720"/>
      <c r="X11" s="720"/>
      <c r="Y11" s="720"/>
      <c r="Z11" s="720"/>
      <c r="AA11" s="720"/>
      <c r="AB11" s="720"/>
      <c r="AC11" s="720"/>
      <c r="AD11" s="721"/>
      <c r="AE11" s="8" t="s">
        <v>17</v>
      </c>
      <c r="AF11" s="731">
        <v>0</v>
      </c>
      <c r="AG11" s="732"/>
      <c r="AH11" s="733"/>
      <c r="AI11" s="9" t="s">
        <v>118</v>
      </c>
      <c r="AJ11" s="14"/>
      <c r="AK11" s="14"/>
      <c r="AL11" s="5">
        <f>VLOOKUP(V11,RateRef,3,FALSE)</f>
        <v>14</v>
      </c>
      <c r="AM11" s="5" t="s">
        <v>117</v>
      </c>
      <c r="AN11" s="45"/>
      <c r="AO11" s="40"/>
      <c r="AP11" s="525"/>
      <c r="AQ11" s="525"/>
      <c r="AR11" s="525"/>
      <c r="AS11" s="525"/>
      <c r="AT11" s="525"/>
      <c r="AU11" s="525"/>
      <c r="AV11" s="41"/>
    </row>
    <row r="12" spans="2:48" ht="4.5" customHeight="1" x14ac:dyDescent="0.2">
      <c r="B12" s="40"/>
      <c r="D12" s="8"/>
      <c r="E12" s="8"/>
      <c r="F12" s="8"/>
      <c r="G12" s="8"/>
      <c r="H12" s="8"/>
      <c r="AL12" s="5"/>
      <c r="AM12" s="5"/>
      <c r="AN12" s="45"/>
      <c r="AO12" s="40"/>
      <c r="AP12" s="525"/>
      <c r="AQ12" s="525"/>
      <c r="AR12" s="525"/>
      <c r="AS12" s="525"/>
      <c r="AT12" s="525"/>
      <c r="AU12" s="525"/>
      <c r="AV12" s="41"/>
    </row>
    <row r="13" spans="2:48" ht="9" hidden="1" customHeight="1" x14ac:dyDescent="0.2">
      <c r="B13" s="40"/>
      <c r="D13" s="70" t="s">
        <v>119</v>
      </c>
      <c r="E13" s="519" t="s">
        <v>72</v>
      </c>
      <c r="F13" s="519"/>
      <c r="G13" s="519"/>
      <c r="H13" s="519"/>
      <c r="I13" s="519"/>
      <c r="J13" s="519"/>
      <c r="K13" s="519"/>
      <c r="L13" s="519"/>
      <c r="M13" s="519"/>
      <c r="N13" s="519"/>
      <c r="O13" s="519"/>
      <c r="P13" s="519"/>
      <c r="Q13" s="3" t="s">
        <v>17</v>
      </c>
      <c r="R13" s="441" t="s">
        <v>120</v>
      </c>
      <c r="S13" s="528"/>
      <c r="T13" s="528"/>
      <c r="U13" s="442"/>
      <c r="V13" s="719" t="s">
        <v>121</v>
      </c>
      <c r="W13" s="720"/>
      <c r="X13" s="720"/>
      <c r="Y13" s="720"/>
      <c r="Z13" s="720"/>
      <c r="AA13" s="720"/>
      <c r="AB13" s="720"/>
      <c r="AC13" s="720"/>
      <c r="AD13" s="721"/>
      <c r="AE13" s="8" t="s">
        <v>17</v>
      </c>
      <c r="AF13" s="731"/>
      <c r="AG13" s="732"/>
      <c r="AH13" s="733"/>
      <c r="AI13" s="9" t="s">
        <v>118</v>
      </c>
      <c r="AJ13" s="14"/>
      <c r="AL13" s="5">
        <f>VLOOKUP(V13,RateRef,3,FALSE)</f>
        <v>36</v>
      </c>
      <c r="AM13" s="5" t="s">
        <v>117</v>
      </c>
      <c r="AN13" s="45"/>
      <c r="AO13" s="40"/>
      <c r="AP13" s="525"/>
      <c r="AQ13" s="525"/>
      <c r="AR13" s="525"/>
      <c r="AS13" s="525"/>
      <c r="AT13" s="525"/>
      <c r="AU13" s="525"/>
      <c r="AV13" s="41"/>
    </row>
    <row r="14" spans="2:48" ht="9" hidden="1" customHeight="1" x14ac:dyDescent="0.2">
      <c r="B14" s="40"/>
      <c r="D14" s="8"/>
      <c r="E14" s="8"/>
      <c r="F14" s="8"/>
      <c r="G14" s="8"/>
      <c r="H14" s="8"/>
      <c r="AL14" s="5"/>
      <c r="AM14" s="5"/>
      <c r="AN14" s="45"/>
      <c r="AO14" s="40"/>
      <c r="AP14" s="525"/>
      <c r="AQ14" s="525"/>
      <c r="AR14" s="525"/>
      <c r="AS14" s="525"/>
      <c r="AT14" s="525"/>
      <c r="AU14" s="525"/>
      <c r="AV14" s="41"/>
    </row>
    <row r="15" spans="2:48" ht="9" hidden="1" customHeight="1" x14ac:dyDescent="0.2">
      <c r="B15" s="40"/>
      <c r="D15" s="70" t="s">
        <v>122</v>
      </c>
      <c r="E15" s="519" t="s">
        <v>72</v>
      </c>
      <c r="F15" s="519"/>
      <c r="G15" s="519"/>
      <c r="H15" s="519"/>
      <c r="I15" s="519"/>
      <c r="J15" s="519"/>
      <c r="K15" s="519"/>
      <c r="L15" s="519"/>
      <c r="M15" s="519"/>
      <c r="N15" s="519"/>
      <c r="O15" s="519"/>
      <c r="P15" s="519"/>
      <c r="Q15" s="3" t="s">
        <v>17</v>
      </c>
      <c r="R15" s="441" t="s">
        <v>123</v>
      </c>
      <c r="S15" s="528"/>
      <c r="T15" s="528"/>
      <c r="U15" s="442"/>
      <c r="V15" s="719" t="s">
        <v>121</v>
      </c>
      <c r="W15" s="720"/>
      <c r="X15" s="720"/>
      <c r="Y15" s="720"/>
      <c r="Z15" s="720"/>
      <c r="AA15" s="720"/>
      <c r="AB15" s="720"/>
      <c r="AC15" s="720"/>
      <c r="AD15" s="721"/>
      <c r="AE15" s="8" t="s">
        <v>17</v>
      </c>
      <c r="AF15" s="731"/>
      <c r="AG15" s="732"/>
      <c r="AH15" s="733"/>
      <c r="AI15" s="9" t="s">
        <v>118</v>
      </c>
      <c r="AJ15" s="14"/>
      <c r="AL15" s="5">
        <f>VLOOKUP(V15,RateRef,3,FALSE)</f>
        <v>36</v>
      </c>
      <c r="AM15" s="5" t="s">
        <v>117</v>
      </c>
      <c r="AN15" s="45"/>
      <c r="AO15" s="40"/>
      <c r="AP15" s="525"/>
      <c r="AQ15" s="525"/>
      <c r="AR15" s="525"/>
      <c r="AS15" s="525"/>
      <c r="AT15" s="525"/>
      <c r="AU15" s="525"/>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728" t="s">
        <v>125</v>
      </c>
      <c r="F17" s="729"/>
      <c r="G17" s="729"/>
      <c r="H17" s="730"/>
      <c r="I17" s="714" t="s">
        <v>126</v>
      </c>
      <c r="J17" s="714"/>
      <c r="K17" s="714"/>
      <c r="L17" s="715"/>
      <c r="M17" s="714" t="s">
        <v>127</v>
      </c>
      <c r="N17" s="714"/>
      <c r="O17" s="714"/>
      <c r="P17" s="715"/>
      <c r="Q17" s="714" t="s">
        <v>128</v>
      </c>
      <c r="R17" s="714"/>
      <c r="S17" s="714"/>
      <c r="T17" s="715"/>
      <c r="U17" s="729" t="s">
        <v>129</v>
      </c>
      <c r="V17" s="729"/>
      <c r="W17" s="729"/>
      <c r="X17" s="730"/>
      <c r="Y17" s="714" t="s">
        <v>130</v>
      </c>
      <c r="Z17" s="714"/>
      <c r="AA17" s="714"/>
      <c r="AB17" s="715"/>
      <c r="AC17" s="714" t="s">
        <v>131</v>
      </c>
      <c r="AD17" s="714"/>
      <c r="AE17" s="714"/>
      <c r="AF17" s="714"/>
      <c r="AG17" s="742" t="s">
        <v>132</v>
      </c>
      <c r="AH17" s="714"/>
      <c r="AI17" s="714"/>
      <c r="AJ17" s="743"/>
      <c r="AK17" s="80"/>
      <c r="AL17" s="25">
        <f>VLOOKUP(E7,ClaimPeriods,2,FALSE)</f>
        <v>44501</v>
      </c>
      <c r="AM17" s="26">
        <f>VLOOKUP(E7,ClaimPeriods,4,FALSE)</f>
        <v>4</v>
      </c>
      <c r="AN17" s="45"/>
      <c r="AO17" s="36"/>
      <c r="AP17" s="498" t="s">
        <v>76</v>
      </c>
      <c r="AQ17" s="498"/>
      <c r="AR17" s="498"/>
      <c r="AS17" s="498"/>
      <c r="AT17" s="498"/>
      <c r="AU17" s="498"/>
      <c r="AV17" s="39"/>
    </row>
    <row r="18" spans="2:48" ht="18" customHeight="1" x14ac:dyDescent="0.2">
      <c r="B18" s="40"/>
      <c r="C18" s="10">
        <f>AL17-WEEKDAY(AL17,3)</f>
        <v>44501</v>
      </c>
      <c r="D18" s="71" t="s">
        <v>133</v>
      </c>
      <c r="E18" s="668">
        <f>IF(ISNA(C18),"",C18)</f>
        <v>44501</v>
      </c>
      <c r="F18" s="669"/>
      <c r="G18" s="669"/>
      <c r="H18" s="670"/>
      <c r="I18" s="671">
        <f>IF(ISNA(C18),"",E18+1)</f>
        <v>44502</v>
      </c>
      <c r="J18" s="669"/>
      <c r="K18" s="669"/>
      <c r="L18" s="670"/>
      <c r="M18" s="671">
        <f>IF(ISNA(C18),"",I18+1)</f>
        <v>44503</v>
      </c>
      <c r="N18" s="669"/>
      <c r="O18" s="669"/>
      <c r="P18" s="670"/>
      <c r="Q18" s="671">
        <f>IF(ISNA(C18),"",M18+1)</f>
        <v>44504</v>
      </c>
      <c r="R18" s="669"/>
      <c r="S18" s="669"/>
      <c r="T18" s="670"/>
      <c r="U18" s="671">
        <f>IF(ISNA(C18),"",Q18+1)</f>
        <v>44505</v>
      </c>
      <c r="V18" s="669"/>
      <c r="W18" s="669"/>
      <c r="X18" s="670"/>
      <c r="Y18" s="671">
        <f>IF(ISNA(C18),"",U18+1)</f>
        <v>44506</v>
      </c>
      <c r="Z18" s="669"/>
      <c r="AA18" s="669"/>
      <c r="AB18" s="670"/>
      <c r="AC18" s="671">
        <f>IF(ISNA(C18),"",Y18+1)</f>
        <v>44507</v>
      </c>
      <c r="AD18" s="669"/>
      <c r="AE18" s="669"/>
      <c r="AF18" s="699"/>
      <c r="AG18" s="668" t="str">
        <f>IF(AE7="Yes",VLOOKUP(C18,TermTime,2,FALSE),"Week Total")</f>
        <v>Week Total</v>
      </c>
      <c r="AH18" s="669"/>
      <c r="AI18" s="669"/>
      <c r="AJ18" s="685"/>
      <c r="AK18" s="484" t="str">
        <f>IF(OR(AL31&gt;36,AM31="FALSE",AND(AL31&gt;20,AE7="Yes")),"WARNING","")</f>
        <v/>
      </c>
      <c r="AL18" s="48"/>
      <c r="AM18" s="48"/>
      <c r="AN18" s="45"/>
      <c r="AO18" s="40"/>
      <c r="AP18" s="482" t="s">
        <v>134</v>
      </c>
      <c r="AQ18" s="482"/>
      <c r="AR18" s="482"/>
      <c r="AS18" s="482"/>
      <c r="AT18" s="482"/>
      <c r="AU18" s="482"/>
      <c r="AV18" s="41"/>
    </row>
    <row r="19" spans="2:48" ht="18" hidden="1" customHeight="1" x14ac:dyDescent="0.2">
      <c r="B19" s="40"/>
      <c r="C19" s="10"/>
      <c r="D19" s="104" t="s">
        <v>135</v>
      </c>
      <c r="E19" s="96">
        <f>DATEDIF($E$5,E$18,"Y")</f>
        <v>23</v>
      </c>
      <c r="F19" s="97">
        <f>VLOOKUP(E19,Rates!$B:$C,2,1)</f>
        <v>5</v>
      </c>
      <c r="G19" s="98">
        <f>HLOOKUP(H19,Rates,F19,FALSE)</f>
        <v>8.91</v>
      </c>
      <c r="H19" s="99" t="str">
        <f>HLOOKUP(E$18,Rates!$1:$2,2,1)</f>
        <v>I</v>
      </c>
      <c r="I19" s="100">
        <f>DATEDIF($E$5,I$18,"Y")</f>
        <v>23</v>
      </c>
      <c r="J19" s="97">
        <f>VLOOKUP(I19,Rates!$B:$C,2,1)</f>
        <v>5</v>
      </c>
      <c r="K19" s="102">
        <f>HLOOKUP(L19,Rates,J19,FALSE)</f>
        <v>8.91</v>
      </c>
      <c r="L19" s="99" t="str">
        <f>HLOOKUP(I$18,Rates!$1:$2,2,1)</f>
        <v>I</v>
      </c>
      <c r="M19" s="100">
        <f>DATEDIF($E$5,M$18,"Y")</f>
        <v>23</v>
      </c>
      <c r="N19" s="97">
        <f>VLOOKUP(M19,Rates!$B:$C,2,1)</f>
        <v>5</v>
      </c>
      <c r="O19" s="102">
        <f>HLOOKUP(P19,Rates,N19,FALSE)</f>
        <v>8.91</v>
      </c>
      <c r="P19" s="99" t="str">
        <f>HLOOKUP(M$18,Rates!$1:$2,2,1)</f>
        <v>I</v>
      </c>
      <c r="Q19" s="100">
        <f>DATEDIF($E$5,Q$18,"Y")</f>
        <v>23</v>
      </c>
      <c r="R19" s="97">
        <f>VLOOKUP(Q19,Rates!$B:$C,2,1)</f>
        <v>5</v>
      </c>
      <c r="S19" s="102">
        <f>HLOOKUP(T19,Rates,R19,FALSE)</f>
        <v>8.91</v>
      </c>
      <c r="T19" s="99" t="str">
        <f>HLOOKUP(Q$18,Rates!$1:$2,2,1)</f>
        <v>I</v>
      </c>
      <c r="U19" s="100">
        <f>DATEDIF($E$5,U$18,"Y")</f>
        <v>23</v>
      </c>
      <c r="V19" s="97">
        <f>VLOOKUP(U19,Rates!$B:$C,2,1)</f>
        <v>5</v>
      </c>
      <c r="W19" s="102">
        <f>HLOOKUP(X19,Rates,V19,FALSE)</f>
        <v>8.91</v>
      </c>
      <c r="X19" s="99" t="str">
        <f>HLOOKUP(U$18,Rates!$1:$2,2,1)</f>
        <v>I</v>
      </c>
      <c r="Y19" s="100">
        <f>DATEDIF($E$5,Y$18,"Y")</f>
        <v>23</v>
      </c>
      <c r="Z19" s="97">
        <f>VLOOKUP(Y19,Rates!$B:$C,2,1)</f>
        <v>5</v>
      </c>
      <c r="AA19" s="102">
        <f>HLOOKUP(AB19,Rates,Z19,FALSE)</f>
        <v>8.91</v>
      </c>
      <c r="AB19" s="99" t="str">
        <f>HLOOKUP(Y$18,Rates!$1:$2,2,1)</f>
        <v>I</v>
      </c>
      <c r="AC19" s="100">
        <f>DATEDIF($E$5,AC$18,"Y")</f>
        <v>23</v>
      </c>
      <c r="AD19" s="97">
        <f>VLOOKUP(AC19,Rates!$B:$C,2,1)</f>
        <v>5</v>
      </c>
      <c r="AE19" s="102">
        <f>HLOOKUP(AF19,Rates,AD19,FALSE)</f>
        <v>8.91</v>
      </c>
      <c r="AF19" s="99" t="str">
        <f>HLOOKUP(AC$18,Rates!$1:$2,2,1)</f>
        <v>I</v>
      </c>
      <c r="AG19" s="659"/>
      <c r="AH19" s="660"/>
      <c r="AI19" s="660"/>
      <c r="AJ19" s="661"/>
      <c r="AK19" s="484"/>
      <c r="AL19" s="5"/>
      <c r="AM19" s="5"/>
      <c r="AN19" s="45"/>
      <c r="AO19" s="40"/>
      <c r="AP19" s="482"/>
      <c r="AQ19" s="482"/>
      <c r="AR19" s="482"/>
      <c r="AS19" s="482"/>
      <c r="AT19" s="482"/>
      <c r="AU19" s="482"/>
      <c r="AV19" s="41"/>
    </row>
    <row r="20" spans="2:48" ht="18" hidden="1" customHeight="1" x14ac:dyDescent="0.2">
      <c r="B20" s="40"/>
      <c r="C20" s="10"/>
      <c r="D20" s="104" t="s">
        <v>136</v>
      </c>
      <c r="E20" s="628">
        <f>E21+(G21/60)</f>
        <v>0</v>
      </c>
      <c r="F20" s="629"/>
      <c r="G20" s="629"/>
      <c r="H20" s="653"/>
      <c r="I20" s="629">
        <f t="shared" ref="I20" si="0">I21+(K21/60)</f>
        <v>0</v>
      </c>
      <c r="J20" s="629"/>
      <c r="K20" s="629"/>
      <c r="L20" s="653"/>
      <c r="M20" s="629">
        <f t="shared" ref="M20" si="1">M21+(O21/60)</f>
        <v>0</v>
      </c>
      <c r="N20" s="629"/>
      <c r="O20" s="629"/>
      <c r="P20" s="653"/>
      <c r="Q20" s="629">
        <f t="shared" ref="Q20" si="2">Q21+(S21/60)</f>
        <v>0</v>
      </c>
      <c r="R20" s="629"/>
      <c r="S20" s="629"/>
      <c r="T20" s="653"/>
      <c r="U20" s="629">
        <f t="shared" ref="U20" si="3">U21+(W21/60)</f>
        <v>0</v>
      </c>
      <c r="V20" s="629"/>
      <c r="W20" s="629"/>
      <c r="X20" s="653"/>
      <c r="Y20" s="629">
        <f t="shared" ref="Y20" si="4">Y21+(AA21/60)</f>
        <v>0</v>
      </c>
      <c r="Z20" s="629"/>
      <c r="AA20" s="629"/>
      <c r="AB20" s="653"/>
      <c r="AC20" s="629">
        <f t="shared" ref="AC20" si="5">AC21+(AE21/60)</f>
        <v>1</v>
      </c>
      <c r="AD20" s="629"/>
      <c r="AE20" s="629"/>
      <c r="AF20" s="653"/>
      <c r="AG20" s="628">
        <f>SUM(E20:AF20)</f>
        <v>1</v>
      </c>
      <c r="AH20" s="629"/>
      <c r="AI20" s="629"/>
      <c r="AJ20" s="630"/>
      <c r="AK20" s="484"/>
      <c r="AL20" s="5"/>
      <c r="AM20" s="5"/>
      <c r="AN20" s="45"/>
      <c r="AO20" s="40"/>
      <c r="AP20" s="482"/>
      <c r="AQ20" s="482"/>
      <c r="AR20" s="482"/>
      <c r="AS20" s="482"/>
      <c r="AT20" s="482"/>
      <c r="AU20" s="482"/>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v>1</v>
      </c>
      <c r="AD21" s="77" t="s">
        <v>80</v>
      </c>
      <c r="AE21" s="76"/>
      <c r="AF21" s="88" t="s">
        <v>81</v>
      </c>
      <c r="AG21" s="90">
        <f>ROUNDDOWN(AG20,0)</f>
        <v>1</v>
      </c>
      <c r="AH21" s="79" t="s">
        <v>80</v>
      </c>
      <c r="AI21" s="78">
        <f>(AG20-AG21)*60</f>
        <v>0</v>
      </c>
      <c r="AJ21" s="82" t="s">
        <v>81</v>
      </c>
      <c r="AK21" s="484"/>
      <c r="AL21" s="27"/>
      <c r="AM21" s="27"/>
      <c r="AN21" s="45"/>
      <c r="AO21" s="40"/>
      <c r="AP21" s="483"/>
      <c r="AQ21" s="483"/>
      <c r="AR21" s="483"/>
      <c r="AS21" s="483"/>
      <c r="AT21" s="483"/>
      <c r="AU21" s="483"/>
      <c r="AV21" s="41"/>
    </row>
    <row r="22" spans="2:48" x14ac:dyDescent="0.2">
      <c r="B22" s="40"/>
      <c r="C22" s="10"/>
      <c r="D22" s="105" t="s">
        <v>138</v>
      </c>
      <c r="E22" s="658">
        <f>MAX(G19,IF($V$11=$AM$11,$AF$11,HLOOKUP(H19,Rates,$AL$11,FALSE)))</f>
        <v>13.6</v>
      </c>
      <c r="F22" s="651"/>
      <c r="G22" s="651"/>
      <c r="H22" s="652"/>
      <c r="I22" s="650">
        <f>MAX(K19,IF($V$11=$AM$11,$AF$11,HLOOKUP(L19,Rates,$AL$11,FALSE)))</f>
        <v>13.6</v>
      </c>
      <c r="J22" s="651"/>
      <c r="K22" s="651"/>
      <c r="L22" s="652"/>
      <c r="M22" s="650">
        <f>MAX(O19,IF($V$11=$AM$11,$AF$11,HLOOKUP(P19,Rates,$AL$11,FALSE)))</f>
        <v>13.6</v>
      </c>
      <c r="N22" s="651"/>
      <c r="O22" s="651"/>
      <c r="P22" s="652"/>
      <c r="Q22" s="650">
        <f>MAX(S19,IF($V$11=$AM$11,$AF$11,HLOOKUP(T19,Rates,$AL$11,FALSE)))</f>
        <v>13.6</v>
      </c>
      <c r="R22" s="651"/>
      <c r="S22" s="651"/>
      <c r="T22" s="652"/>
      <c r="U22" s="650">
        <f>MAX(W19,IF($V$11=$AM$11,$AF$11,HLOOKUP(X19,Rates,$AL$11,FALSE)))</f>
        <v>13.6</v>
      </c>
      <c r="V22" s="651"/>
      <c r="W22" s="651"/>
      <c r="X22" s="652"/>
      <c r="Y22" s="650">
        <f>MAX(AA19,IF($V$11=$AM$11,$AF$11,HLOOKUP(AB19,Rates,$AL$11,FALSE)))</f>
        <v>13.6</v>
      </c>
      <c r="Z22" s="651"/>
      <c r="AA22" s="651"/>
      <c r="AB22" s="652"/>
      <c r="AC22" s="650">
        <f>MAX(AE19,IF($V$11=$AM$11,$AF$11,HLOOKUP(AF19,Rates,$AL$11,FALSE)))</f>
        <v>13.6</v>
      </c>
      <c r="AD22" s="651"/>
      <c r="AE22" s="651"/>
      <c r="AF22" s="666"/>
      <c r="AG22" s="663">
        <f>SUMPRODUCT(E22:AF22,E20:AF20)</f>
        <v>13.6</v>
      </c>
      <c r="AH22" s="664"/>
      <c r="AI22" s="664"/>
      <c r="AJ22" s="665"/>
      <c r="AK22" s="484"/>
      <c r="AL22" s="35">
        <f>AG22*IF($V$11="Demonstrator Rate",0.1711,0.1207)</f>
        <v>2.3269600000000001</v>
      </c>
      <c r="AM22" s="5"/>
      <c r="AN22" s="45"/>
      <c r="AO22" s="40"/>
      <c r="AP22" s="686" t="s">
        <v>820</v>
      </c>
      <c r="AQ22" s="687"/>
      <c r="AR22" s="687"/>
      <c r="AS22" s="687"/>
      <c r="AT22" s="687"/>
      <c r="AU22" s="688"/>
      <c r="AV22" s="41"/>
    </row>
    <row r="23" spans="2:48" ht="21.75" hidden="1" customHeight="1" x14ac:dyDescent="0.2">
      <c r="B23" s="40"/>
      <c r="C23" s="10"/>
      <c r="D23" s="104" t="s">
        <v>139</v>
      </c>
      <c r="E23" s="96">
        <f>DATEDIF($E$5,E$18,"Y")</f>
        <v>23</v>
      </c>
      <c r="F23" s="97">
        <f>VLOOKUP(E23,Rates!$B:$C,2,1)</f>
        <v>5</v>
      </c>
      <c r="G23" s="98">
        <f>HLOOKUP(H23,Rates,F23,FALSE)</f>
        <v>8.91</v>
      </c>
      <c r="H23" s="99" t="str">
        <f>HLOOKUP(E$18,Rates!$1:$2,2,1)</f>
        <v>I</v>
      </c>
      <c r="I23" s="100">
        <f>DATEDIF($E$5,I$18,"Y")</f>
        <v>23</v>
      </c>
      <c r="J23" s="97">
        <f>VLOOKUP(I23,Rates!$B:$C,2,1)</f>
        <v>5</v>
      </c>
      <c r="K23" s="102">
        <f>HLOOKUP(L23,Rates,J23,FALSE)</f>
        <v>8.91</v>
      </c>
      <c r="L23" s="99" t="str">
        <f>HLOOKUP(I$18,Rates!$1:$2,2,1)</f>
        <v>I</v>
      </c>
      <c r="M23" s="100">
        <f>DATEDIF($E$5,M$18,"Y")</f>
        <v>23</v>
      </c>
      <c r="N23" s="97">
        <f>VLOOKUP(M23,Rates!$B:$C,2,1)</f>
        <v>5</v>
      </c>
      <c r="O23" s="102">
        <f>HLOOKUP(P23,Rates,N23,FALSE)</f>
        <v>8.91</v>
      </c>
      <c r="P23" s="99" t="str">
        <f>HLOOKUP(M$18,Rates!$1:$2,2,1)</f>
        <v>I</v>
      </c>
      <c r="Q23" s="100">
        <f>DATEDIF($E$5,Q$18,"Y")</f>
        <v>23</v>
      </c>
      <c r="R23" s="97">
        <f>VLOOKUP(Q23,Rates!$B:$C,2,1)</f>
        <v>5</v>
      </c>
      <c r="S23" s="102">
        <f>HLOOKUP(T23,Rates,R23,FALSE)</f>
        <v>8.1999999999999993</v>
      </c>
      <c r="T23" s="103" t="str">
        <f>IF(Q$18&gt;=Rates!$H$1,Rates!$H$2,IF(Q$18&gt;=Rates!$G$1,Rates!$G$2,IF(Q$18&gt;=Rates!$F$1,Rates!$F$2,IF(Q$18&gt;=Rates!$E$1,Rates!$E$2,IF(Q$18&gt;=Rates!$D$1,Rates!$D$2,0)))))</f>
        <v>F</v>
      </c>
      <c r="U23" s="100">
        <f>DATEDIF($E$5,U$18,"Y")</f>
        <v>23</v>
      </c>
      <c r="V23" s="97">
        <f>VLOOKUP(U23,Rates!$B:$C,2,1)</f>
        <v>5</v>
      </c>
      <c r="W23" s="102">
        <f>HLOOKUP(X23,Rates,V23,FALSE)</f>
        <v>8.91</v>
      </c>
      <c r="X23" s="99" t="str">
        <f>HLOOKUP(U$18,Rates!$1:$2,2,1)</f>
        <v>I</v>
      </c>
      <c r="Y23" s="100">
        <f>DATEDIF($E$5,Y$18,"Y")</f>
        <v>23</v>
      </c>
      <c r="Z23" s="97">
        <f>VLOOKUP(Y23,Rates!$B:$C,2,1)</f>
        <v>5</v>
      </c>
      <c r="AA23" s="102">
        <f>HLOOKUP(AB23,Rates,Z23,FALSE)</f>
        <v>8.1999999999999993</v>
      </c>
      <c r="AB23" s="103" t="str">
        <f>IF(Y$18&gt;=Rates!$H$1,Rates!$H$2,IF(Y$18&gt;=Rates!$G$1,Rates!$G$2,IF(Y$18&gt;=Rates!$F$1,Rates!$F$2,IF(Y$18&gt;=Rates!$E$1,Rates!$E$2,IF(Y$18&gt;=Rates!$D$1,Rates!$D$2,0)))))</f>
        <v>F</v>
      </c>
      <c r="AC23" s="100">
        <f>DATEDIF($E$5,AC$18,"Y")</f>
        <v>23</v>
      </c>
      <c r="AD23" s="97">
        <f>VLOOKUP(AC23,Rates!$B:$C,2,1)</f>
        <v>5</v>
      </c>
      <c r="AE23" s="102">
        <f>HLOOKUP(AF23,Rates,AD23,FALSE)</f>
        <v>8.91</v>
      </c>
      <c r="AF23" s="99" t="str">
        <f>HLOOKUP(AC$18,Rates!$1:$2,2,1)</f>
        <v>I</v>
      </c>
      <c r="AG23" s="659"/>
      <c r="AH23" s="660"/>
      <c r="AI23" s="660"/>
      <c r="AJ23" s="661"/>
      <c r="AK23" s="484"/>
      <c r="AL23" s="5"/>
      <c r="AM23" s="5"/>
      <c r="AN23" s="45"/>
      <c r="AO23" s="40"/>
      <c r="AP23" s="689"/>
      <c r="AQ23" s="690"/>
      <c r="AR23" s="690"/>
      <c r="AS23" s="690"/>
      <c r="AT23" s="690"/>
      <c r="AU23" s="691"/>
      <c r="AV23" s="41"/>
    </row>
    <row r="24" spans="2:48" ht="21.75" hidden="1" customHeight="1" x14ac:dyDescent="0.2">
      <c r="B24" s="40"/>
      <c r="C24" s="10"/>
      <c r="D24" s="104" t="s">
        <v>140</v>
      </c>
      <c r="E24" s="628">
        <f>E25+(G25/60)</f>
        <v>0</v>
      </c>
      <c r="F24" s="629"/>
      <c r="G24" s="629"/>
      <c r="H24" s="653"/>
      <c r="I24" s="629">
        <f t="shared" ref="I24" si="6">I25+(K25/60)</f>
        <v>0</v>
      </c>
      <c r="J24" s="629"/>
      <c r="K24" s="629"/>
      <c r="L24" s="653"/>
      <c r="M24" s="629">
        <f t="shared" ref="M24" si="7">M25+(O25/60)</f>
        <v>0</v>
      </c>
      <c r="N24" s="629"/>
      <c r="O24" s="629"/>
      <c r="P24" s="653"/>
      <c r="Q24" s="629">
        <f t="shared" ref="Q24" si="8">Q25+(S25/60)</f>
        <v>0</v>
      </c>
      <c r="R24" s="629"/>
      <c r="S24" s="629"/>
      <c r="T24" s="653"/>
      <c r="U24" s="629">
        <f t="shared" ref="U24" si="9">U25+(W25/60)</f>
        <v>0</v>
      </c>
      <c r="V24" s="629"/>
      <c r="W24" s="629"/>
      <c r="X24" s="653"/>
      <c r="Y24" s="629">
        <f t="shared" ref="Y24" si="10">Y25+(AA25/60)</f>
        <v>0</v>
      </c>
      <c r="Z24" s="629"/>
      <c r="AA24" s="629"/>
      <c r="AB24" s="653"/>
      <c r="AC24" s="629">
        <f t="shared" ref="AC24" si="11">AC25+(AE25/60)</f>
        <v>0</v>
      </c>
      <c r="AD24" s="629"/>
      <c r="AE24" s="629"/>
      <c r="AF24" s="653"/>
      <c r="AG24" s="628">
        <f>SUM(E24:AF24)</f>
        <v>0</v>
      </c>
      <c r="AH24" s="629"/>
      <c r="AI24" s="629"/>
      <c r="AJ24" s="630"/>
      <c r="AK24" s="484"/>
      <c r="AL24" s="5"/>
      <c r="AM24" s="5"/>
      <c r="AN24" s="45"/>
      <c r="AO24" s="40"/>
      <c r="AP24" s="689"/>
      <c r="AQ24" s="690"/>
      <c r="AR24" s="690"/>
      <c r="AS24" s="690"/>
      <c r="AT24" s="690"/>
      <c r="AU24" s="691"/>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484"/>
      <c r="AL25" s="27"/>
      <c r="AM25" s="27"/>
      <c r="AN25" s="45"/>
      <c r="AO25" s="40"/>
      <c r="AP25" s="689"/>
      <c r="AQ25" s="690"/>
      <c r="AR25" s="690"/>
      <c r="AS25" s="690"/>
      <c r="AT25" s="690"/>
      <c r="AU25" s="691"/>
      <c r="AV25" s="41"/>
    </row>
    <row r="26" spans="2:48" hidden="1" x14ac:dyDescent="0.2">
      <c r="B26" s="40"/>
      <c r="C26" s="10"/>
      <c r="D26" s="105" t="s">
        <v>142</v>
      </c>
      <c r="E26" s="658">
        <f>MAX(G23,IF($V$13=$AM$13,$AF$13,HLOOKUP(H23,Rates,$AL$13,FALSE)))</f>
        <v>8.91</v>
      </c>
      <c r="F26" s="651"/>
      <c r="G26" s="651"/>
      <c r="H26" s="652"/>
      <c r="I26" s="650">
        <f>MAX(K23,IF($V$13=$AM$13,$AF$13,HLOOKUP(L23,Rates,$AL$13,FALSE)))</f>
        <v>8.91</v>
      </c>
      <c r="J26" s="651"/>
      <c r="K26" s="651"/>
      <c r="L26" s="652"/>
      <c r="M26" s="650">
        <f>MAX(O23,IF($V$13=$AM$13,$AF$13,HLOOKUP(P23,Rates,$AL$13,FALSE)))</f>
        <v>8.91</v>
      </c>
      <c r="N26" s="651"/>
      <c r="O26" s="651"/>
      <c r="P26" s="652"/>
      <c r="Q26" s="650">
        <f>MAX(S23,IF($V$13=$AM$13,$AF$13,HLOOKUP(T23,Rates,$AL$13,FALSE)))</f>
        <v>8.1999999999999993</v>
      </c>
      <c r="R26" s="651"/>
      <c r="S26" s="651"/>
      <c r="T26" s="652"/>
      <c r="U26" s="650">
        <f>MAX(W23,IF($V$13=$AM$13,$AF$13,HLOOKUP(X23,Rates,$AL$13,FALSE)))</f>
        <v>8.91</v>
      </c>
      <c r="V26" s="651"/>
      <c r="W26" s="651"/>
      <c r="X26" s="652"/>
      <c r="Y26" s="650">
        <f>MAX(AA23,IF($V$13=$AM$13,$AF$13,HLOOKUP(AB23,Rates,$AL$13,FALSE)))</f>
        <v>8.1999999999999993</v>
      </c>
      <c r="Z26" s="651"/>
      <c r="AA26" s="651"/>
      <c r="AB26" s="652"/>
      <c r="AC26" s="650">
        <f>MAX(AE23,IF($V$13=$AM$13,$AF$13,HLOOKUP(AF23,Rates,$AL$13,FALSE)))</f>
        <v>8.91</v>
      </c>
      <c r="AD26" s="651"/>
      <c r="AE26" s="651"/>
      <c r="AF26" s="666"/>
      <c r="AG26" s="663">
        <f>SUMPRODUCT(E26:AF26,E24:AF24)</f>
        <v>0</v>
      </c>
      <c r="AH26" s="664"/>
      <c r="AI26" s="664"/>
      <c r="AJ26" s="665"/>
      <c r="AK26" s="484"/>
      <c r="AL26" s="35">
        <f>AG26*IF($V$13="Demonstrator Rate",0.1711,0.1207)</f>
        <v>0</v>
      </c>
      <c r="AM26" s="5"/>
      <c r="AN26" s="45"/>
      <c r="AO26" s="40"/>
      <c r="AP26" s="689"/>
      <c r="AQ26" s="690"/>
      <c r="AR26" s="690"/>
      <c r="AS26" s="690"/>
      <c r="AT26" s="690"/>
      <c r="AU26" s="691"/>
      <c r="AV26" s="41"/>
    </row>
    <row r="27" spans="2:48" ht="21.75" hidden="1" customHeight="1" x14ac:dyDescent="0.2">
      <c r="B27" s="40"/>
      <c r="C27" s="10"/>
      <c r="D27" s="104" t="s">
        <v>143</v>
      </c>
      <c r="E27" s="96">
        <f>DATEDIF($E$5,E$18,"Y")</f>
        <v>23</v>
      </c>
      <c r="F27" s="97">
        <f>VLOOKUP(E27,Rates!$B:$C,2,1)</f>
        <v>5</v>
      </c>
      <c r="G27" s="98">
        <f>HLOOKUP(H27,Rates,F27,FALSE)</f>
        <v>8.91</v>
      </c>
      <c r="H27" s="99" t="str">
        <f>HLOOKUP(E$18,Rates!$1:$2,2,1)</f>
        <v>I</v>
      </c>
      <c r="I27" s="100">
        <f>DATEDIF($E$5,I$18,"Y")</f>
        <v>23</v>
      </c>
      <c r="J27" s="97">
        <f>VLOOKUP(I27,Rates!$B:$C,2,1)</f>
        <v>5</v>
      </c>
      <c r="K27" s="102">
        <f>HLOOKUP(L27,Rates,J27,FALSE)</f>
        <v>8.91</v>
      </c>
      <c r="L27" s="99" t="str">
        <f>HLOOKUP(I$18,Rates!$1:$2,2,1)</f>
        <v>I</v>
      </c>
      <c r="M27" s="100">
        <f>DATEDIF($E$5,M$18,"Y")</f>
        <v>23</v>
      </c>
      <c r="N27" s="97">
        <f>VLOOKUP(M27,Rates!$B:$C,2,1)</f>
        <v>5</v>
      </c>
      <c r="O27" s="102">
        <f>HLOOKUP(P27,Rates,N27,FALSE)</f>
        <v>8.91</v>
      </c>
      <c r="P27" s="99" t="str">
        <f>HLOOKUP(M$18,Rates!$1:$2,2,1)</f>
        <v>I</v>
      </c>
      <c r="Q27" s="100">
        <f>DATEDIF($E$5,Q$18,"Y")</f>
        <v>23</v>
      </c>
      <c r="R27" s="97">
        <f>VLOOKUP(Q27,Rates!$B:$C,2,1)</f>
        <v>5</v>
      </c>
      <c r="S27" s="102">
        <f>HLOOKUP(T27,Rates,R27,FALSE)</f>
        <v>8.91</v>
      </c>
      <c r="T27" s="99" t="str">
        <f>HLOOKUP(Q$18,Rates!$1:$2,2,1)</f>
        <v>I</v>
      </c>
      <c r="U27" s="100">
        <f>DATEDIF($E$5,U$18,"Y")</f>
        <v>23</v>
      </c>
      <c r="V27" s="97">
        <f>VLOOKUP(U27,Rates!$B:$C,2,1)</f>
        <v>5</v>
      </c>
      <c r="W27" s="102">
        <f>HLOOKUP(X27,Rates,V27,FALSE)</f>
        <v>8.91</v>
      </c>
      <c r="X27" s="99" t="str">
        <f>HLOOKUP(U$18,Rates!$1:$2,2,1)</f>
        <v>I</v>
      </c>
      <c r="Y27" s="100">
        <f>DATEDIF($E$5,Y$18,"Y")</f>
        <v>23</v>
      </c>
      <c r="Z27" s="97">
        <f>VLOOKUP(Y27,Rates!$B:$C,2,1)</f>
        <v>5</v>
      </c>
      <c r="AA27" s="102">
        <f>HLOOKUP(AB27,Rates,Z27,FALSE)</f>
        <v>8.91</v>
      </c>
      <c r="AB27" s="99" t="str">
        <f>HLOOKUP(Y$18,Rates!$1:$2,2,1)</f>
        <v>I</v>
      </c>
      <c r="AC27" s="100">
        <f>DATEDIF($E$5,AC$18,"Y")</f>
        <v>23</v>
      </c>
      <c r="AD27" s="97">
        <f>VLOOKUP(AC27,Rates!$B:$C,2,1)</f>
        <v>5</v>
      </c>
      <c r="AE27" s="102">
        <f>HLOOKUP(AF27,Rates,AD27,FALSE)</f>
        <v>8.91</v>
      </c>
      <c r="AF27" s="99" t="str">
        <f>HLOOKUP(AC$18,Rates!$1:$2,2,1)</f>
        <v>I</v>
      </c>
      <c r="AG27" s="659"/>
      <c r="AH27" s="660"/>
      <c r="AI27" s="660"/>
      <c r="AJ27" s="661"/>
      <c r="AK27" s="484"/>
      <c r="AL27" s="5"/>
      <c r="AM27" s="5"/>
      <c r="AN27" s="45"/>
      <c r="AO27" s="40"/>
      <c r="AP27" s="689"/>
      <c r="AQ27" s="690"/>
      <c r="AR27" s="690"/>
      <c r="AS27" s="690"/>
      <c r="AT27" s="690"/>
      <c r="AU27" s="691"/>
      <c r="AV27" s="41"/>
    </row>
    <row r="28" spans="2:48" ht="21.75" hidden="1" customHeight="1" x14ac:dyDescent="0.2">
      <c r="B28" s="40"/>
      <c r="C28" s="10"/>
      <c r="D28" s="104" t="s">
        <v>144</v>
      </c>
      <c r="E28" s="628">
        <f>E29+(G29/60)</f>
        <v>0</v>
      </c>
      <c r="F28" s="629"/>
      <c r="G28" s="629"/>
      <c r="H28" s="653"/>
      <c r="I28" s="629">
        <f t="shared" ref="I28" si="12">I29+(K29/60)</f>
        <v>0</v>
      </c>
      <c r="J28" s="629"/>
      <c r="K28" s="629"/>
      <c r="L28" s="653"/>
      <c r="M28" s="629">
        <f t="shared" ref="M28" si="13">M29+(O29/60)</f>
        <v>0</v>
      </c>
      <c r="N28" s="629"/>
      <c r="O28" s="629"/>
      <c r="P28" s="653"/>
      <c r="Q28" s="629">
        <f t="shared" ref="Q28" si="14">Q29+(S29/60)</f>
        <v>0</v>
      </c>
      <c r="R28" s="629"/>
      <c r="S28" s="629"/>
      <c r="T28" s="653"/>
      <c r="U28" s="629">
        <f t="shared" ref="U28" si="15">U29+(W29/60)</f>
        <v>0</v>
      </c>
      <c r="V28" s="629"/>
      <c r="W28" s="629"/>
      <c r="X28" s="653"/>
      <c r="Y28" s="629">
        <f t="shared" ref="Y28" si="16">Y29+(AA29/60)</f>
        <v>0</v>
      </c>
      <c r="Z28" s="629"/>
      <c r="AA28" s="629"/>
      <c r="AB28" s="653"/>
      <c r="AC28" s="629">
        <f t="shared" ref="AC28" si="17">AC29+(AE29/60)</f>
        <v>0</v>
      </c>
      <c r="AD28" s="629"/>
      <c r="AE28" s="629"/>
      <c r="AF28" s="653"/>
      <c r="AG28" s="628">
        <f>SUM(E28:AF28)</f>
        <v>0</v>
      </c>
      <c r="AH28" s="629"/>
      <c r="AI28" s="629"/>
      <c r="AJ28" s="630"/>
      <c r="AK28" s="484"/>
      <c r="AL28" s="5"/>
      <c r="AM28" s="5"/>
      <c r="AN28" s="45"/>
      <c r="AO28" s="40"/>
      <c r="AP28" s="689"/>
      <c r="AQ28" s="690"/>
      <c r="AR28" s="690"/>
      <c r="AS28" s="690"/>
      <c r="AT28" s="690"/>
      <c r="AU28" s="691"/>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484"/>
      <c r="AL29" s="27"/>
      <c r="AM29" s="27"/>
      <c r="AN29" s="45"/>
      <c r="AO29" s="40"/>
      <c r="AP29" s="689"/>
      <c r="AQ29" s="690"/>
      <c r="AR29" s="690"/>
      <c r="AS29" s="690"/>
      <c r="AT29" s="690"/>
      <c r="AU29" s="691"/>
      <c r="AV29" s="41"/>
    </row>
    <row r="30" spans="2:48" hidden="1" x14ac:dyDescent="0.2">
      <c r="B30" s="40"/>
      <c r="C30" s="10"/>
      <c r="D30" s="105" t="s">
        <v>146</v>
      </c>
      <c r="E30" s="658">
        <f>MAX(G27,IF($V$15=$AM$15,$AF$15,HLOOKUP(H27,Rates,$AL$15,FALSE)))</f>
        <v>8.91</v>
      </c>
      <c r="F30" s="651"/>
      <c r="G30" s="651"/>
      <c r="H30" s="652"/>
      <c r="I30" s="650">
        <f>MAX(K27,IF($V$15=$AM$15,$AF$15,HLOOKUP(L27,Rates,$AL$15,FALSE)))</f>
        <v>8.91</v>
      </c>
      <c r="J30" s="651"/>
      <c r="K30" s="651"/>
      <c r="L30" s="652"/>
      <c r="M30" s="650">
        <f>MAX(O27,IF($V$15=$AM$15,$AF$15,HLOOKUP(P27,Rates,$AL$15,FALSE)))</f>
        <v>8.91</v>
      </c>
      <c r="N30" s="651"/>
      <c r="O30" s="651"/>
      <c r="P30" s="652"/>
      <c r="Q30" s="650">
        <f>MAX(S27,IF($V$15=$AM$15,$AF$15,HLOOKUP(T27,Rates,$AL$15,FALSE)))</f>
        <v>8.91</v>
      </c>
      <c r="R30" s="651"/>
      <c r="S30" s="651"/>
      <c r="T30" s="652"/>
      <c r="U30" s="650">
        <f>MAX(W27,IF($V$15=$AM$15,$AF$15,HLOOKUP(X27,Rates,$AL$15,FALSE)))</f>
        <v>8.91</v>
      </c>
      <c r="V30" s="651"/>
      <c r="W30" s="651"/>
      <c r="X30" s="652"/>
      <c r="Y30" s="650">
        <f>MAX(AA27,IF($V$15=$AM$15,$AF$15,HLOOKUP(AB27,Rates,$AL$15,FALSE)))</f>
        <v>8.91</v>
      </c>
      <c r="Z30" s="651"/>
      <c r="AA30" s="651"/>
      <c r="AB30" s="652"/>
      <c r="AC30" s="650">
        <f>MAX(AE27,IF($V$15=$AM$15,$AF$15,HLOOKUP(AF27,Rates,$AL$15,FALSE)))</f>
        <v>8.91</v>
      </c>
      <c r="AD30" s="651"/>
      <c r="AE30" s="651"/>
      <c r="AF30" s="666"/>
      <c r="AG30" s="663">
        <f>SUMPRODUCT(E30:AF30,E28:AF28)</f>
        <v>0</v>
      </c>
      <c r="AH30" s="664"/>
      <c r="AI30" s="664"/>
      <c r="AJ30" s="665"/>
      <c r="AK30" s="484"/>
      <c r="AL30" s="35">
        <f>AG30*IF($V$15="Demonstrator Rate",0.1711,0.1207)</f>
        <v>0</v>
      </c>
      <c r="AM30" s="5"/>
      <c r="AN30" s="45"/>
      <c r="AO30" s="40"/>
      <c r="AP30" s="689"/>
      <c r="AQ30" s="690"/>
      <c r="AR30" s="690"/>
      <c r="AS30" s="690"/>
      <c r="AT30" s="690"/>
      <c r="AU30" s="691"/>
      <c r="AV30" s="41"/>
    </row>
    <row r="31" spans="2:48" ht="21.75" hidden="1" customHeight="1" x14ac:dyDescent="0.2">
      <c r="B31" s="40"/>
      <c r="C31" s="10"/>
      <c r="D31" s="193" t="s">
        <v>147</v>
      </c>
      <c r="E31" s="634">
        <f>(E20*E22)+(E24*E26)+(E28*E30)</f>
        <v>0</v>
      </c>
      <c r="F31" s="635"/>
      <c r="G31" s="635"/>
      <c r="H31" s="741"/>
      <c r="I31" s="740">
        <f>((I21+(K21/60))*I22)+((I25+(K25/60))*I26)+((I29+(K29/60))*I30)</f>
        <v>0</v>
      </c>
      <c r="J31" s="635"/>
      <c r="K31" s="635"/>
      <c r="L31" s="741"/>
      <c r="M31" s="740">
        <f>((M21+(O21/60))*M22)+((M25+(O25/60))*M26)+((M29+(O29/60))*M30)</f>
        <v>0</v>
      </c>
      <c r="N31" s="635"/>
      <c r="O31" s="635"/>
      <c r="P31" s="741"/>
      <c r="Q31" s="740">
        <f>((Q21+(S21/60))*Q22)+((Q25+(S25/60))*Q26)+((Q29+(S29/60))*Q30)</f>
        <v>0</v>
      </c>
      <c r="R31" s="635"/>
      <c r="S31" s="635"/>
      <c r="T31" s="741"/>
      <c r="U31" s="740">
        <f>((U21+(W21/60))*U22)+((U25+(W25/60))*U26)+((U29+(W29/60))*U30)</f>
        <v>0</v>
      </c>
      <c r="V31" s="635"/>
      <c r="W31" s="635"/>
      <c r="X31" s="741"/>
      <c r="Y31" s="740">
        <f>((Y21+(AA21/60))*Y22)+((Y25+(AA25/60))*Y26)+((Y29+(AA29/60))*Y30)</f>
        <v>0</v>
      </c>
      <c r="Z31" s="635"/>
      <c r="AA31" s="635"/>
      <c r="AB31" s="741"/>
      <c r="AC31" s="740">
        <f>((AC21+(AE21/60))*AC22)+((AC25+(AE25/60))*AC26)+((AC29+(AE29/60))*AC30)</f>
        <v>13.6</v>
      </c>
      <c r="AD31" s="635"/>
      <c r="AE31" s="635"/>
      <c r="AF31" s="744"/>
      <c r="AG31" s="634">
        <f>AG30+AG26+AG22</f>
        <v>13.6</v>
      </c>
      <c r="AH31" s="635"/>
      <c r="AI31" s="635"/>
      <c r="AJ31" s="636"/>
      <c r="AK31" s="484"/>
      <c r="AL31" s="28">
        <f>AG32+AG28+AG24+AG20</f>
        <v>1</v>
      </c>
      <c r="AM31" s="27" t="str">
        <f>IF(AND(AL31&gt;0,AE7="Yes",OR(E33="",G33="",I33="",K33="",M33="",O33="",Q33="",S33="",U33="",W33="",Y33="",AA33="",AC33="",AE33="")),"FALSE","TRUE")</f>
        <v>TRUE</v>
      </c>
      <c r="AN31" s="45"/>
      <c r="AO31" s="40"/>
      <c r="AP31" s="689"/>
      <c r="AQ31" s="690"/>
      <c r="AR31" s="690"/>
      <c r="AS31" s="690"/>
      <c r="AT31" s="690"/>
      <c r="AU31" s="691"/>
      <c r="AV31" s="41"/>
    </row>
    <row r="32" spans="2:48" ht="21.75" hidden="1" customHeight="1" x14ac:dyDescent="0.2">
      <c r="B32" s="40"/>
      <c r="C32" s="10"/>
      <c r="D32" s="104" t="s">
        <v>148</v>
      </c>
      <c r="E32" s="631">
        <f>E33+(G33/60)</f>
        <v>0</v>
      </c>
      <c r="F32" s="632"/>
      <c r="G32" s="632"/>
      <c r="H32" s="654"/>
      <c r="I32" s="632">
        <f t="shared" ref="I32" si="18">I33+(K33/60)</f>
        <v>0</v>
      </c>
      <c r="J32" s="632"/>
      <c r="K32" s="632"/>
      <c r="L32" s="654"/>
      <c r="M32" s="632">
        <f t="shared" ref="M32" si="19">M33+(O33/60)</f>
        <v>0</v>
      </c>
      <c r="N32" s="632"/>
      <c r="O32" s="632"/>
      <c r="P32" s="654"/>
      <c r="Q32" s="632">
        <f t="shared" ref="Q32" si="20">Q33+(S33/60)</f>
        <v>0</v>
      </c>
      <c r="R32" s="632"/>
      <c r="S32" s="632"/>
      <c r="T32" s="654"/>
      <c r="U32" s="632">
        <f t="shared" ref="U32" si="21">U33+(W33/60)</f>
        <v>0</v>
      </c>
      <c r="V32" s="632"/>
      <c r="W32" s="632"/>
      <c r="X32" s="654"/>
      <c r="Y32" s="632">
        <f t="shared" ref="Y32" si="22">Y33+(AA33/60)</f>
        <v>0</v>
      </c>
      <c r="Z32" s="632"/>
      <c r="AA32" s="632"/>
      <c r="AB32" s="654"/>
      <c r="AC32" s="632">
        <f t="shared" ref="AC32" si="23">AC33+(AE33/60)</f>
        <v>0</v>
      </c>
      <c r="AD32" s="632"/>
      <c r="AE32" s="632"/>
      <c r="AF32" s="654"/>
      <c r="AG32" s="631">
        <f>SUM(E32:AF32)</f>
        <v>0</v>
      </c>
      <c r="AH32" s="632"/>
      <c r="AI32" s="632"/>
      <c r="AJ32" s="633"/>
      <c r="AK32" s="484"/>
      <c r="AL32" s="28"/>
      <c r="AM32" s="27"/>
      <c r="AN32" s="45"/>
      <c r="AO32" s="40"/>
      <c r="AP32" s="689"/>
      <c r="AQ32" s="690"/>
      <c r="AR32" s="690"/>
      <c r="AS32" s="690"/>
      <c r="AT32" s="690"/>
      <c r="AU32" s="691"/>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484"/>
      <c r="AL33" s="27"/>
      <c r="AM33" s="27"/>
      <c r="AN33" s="45"/>
      <c r="AO33" s="40"/>
      <c r="AP33" s="689"/>
      <c r="AQ33" s="690"/>
      <c r="AR33" s="690"/>
      <c r="AS33" s="690"/>
      <c r="AT33" s="690"/>
      <c r="AU33" s="691"/>
      <c r="AV33" s="41"/>
    </row>
    <row r="34" spans="2:48" ht="11.25" customHeight="1" x14ac:dyDescent="0.2">
      <c r="B34" s="40"/>
      <c r="C34" s="10">
        <f>C18+7</f>
        <v>44508</v>
      </c>
      <c r="D34" s="71" t="s">
        <v>133</v>
      </c>
      <c r="E34" s="668">
        <f>IF(ISNA(C34),"",C34)</f>
        <v>44508</v>
      </c>
      <c r="F34" s="669"/>
      <c r="G34" s="669"/>
      <c r="H34" s="670"/>
      <c r="I34" s="671">
        <f>IF(ISNA(C34),"",E34+1)</f>
        <v>44509</v>
      </c>
      <c r="J34" s="669"/>
      <c r="K34" s="669"/>
      <c r="L34" s="670"/>
      <c r="M34" s="671">
        <f>IF(ISNA(C34),"",I34+1)</f>
        <v>44510</v>
      </c>
      <c r="N34" s="669"/>
      <c r="O34" s="669"/>
      <c r="P34" s="670"/>
      <c r="Q34" s="671">
        <f>IF(ISNA(C34),"",M34+1)</f>
        <v>44511</v>
      </c>
      <c r="R34" s="669"/>
      <c r="S34" s="669"/>
      <c r="T34" s="670"/>
      <c r="U34" s="671">
        <f>IF(ISNA(C34),"",Q34+1)</f>
        <v>44512</v>
      </c>
      <c r="V34" s="669"/>
      <c r="W34" s="669"/>
      <c r="X34" s="670"/>
      <c r="Y34" s="671">
        <f>IF(ISNA(C34),"",U34+1)</f>
        <v>44513</v>
      </c>
      <c r="Z34" s="669"/>
      <c r="AA34" s="669"/>
      <c r="AB34" s="670"/>
      <c r="AC34" s="671">
        <f>IF(ISNA(C34),"",Y34+1)</f>
        <v>44514</v>
      </c>
      <c r="AD34" s="669"/>
      <c r="AE34" s="669"/>
      <c r="AF34" s="699"/>
      <c r="AG34" s="668" t="str">
        <f>IF(AE7="Yes",VLOOKUP(C34,TermTime,2,FALSE),"Week Total")</f>
        <v>Week Total</v>
      </c>
      <c r="AH34" s="669"/>
      <c r="AI34" s="669"/>
      <c r="AJ34" s="685"/>
      <c r="AK34" s="695" t="str">
        <f>IF(OR(AL47&gt;36,AM47="FALSE",AND(AL47&gt;20,AE7="Yes")),"WARNING","")</f>
        <v/>
      </c>
      <c r="AL34" s="27"/>
      <c r="AM34" s="27"/>
      <c r="AN34" s="45"/>
      <c r="AO34" s="40"/>
      <c r="AP34" s="689"/>
      <c r="AQ34" s="690"/>
      <c r="AR34" s="690"/>
      <c r="AS34" s="690"/>
      <c r="AT34" s="690"/>
      <c r="AU34" s="691"/>
      <c r="AV34" s="41"/>
    </row>
    <row r="35" spans="2:48" ht="24" hidden="1" customHeight="1" x14ac:dyDescent="0.2">
      <c r="B35" s="40"/>
      <c r="C35" s="10"/>
      <c r="D35" s="104" t="s">
        <v>135</v>
      </c>
      <c r="E35" s="116">
        <f>DATEDIF($E$5,E$34,"Y")</f>
        <v>23</v>
      </c>
      <c r="F35" s="97">
        <f>VLOOKUP(E35,Rates!$B:$C,2,1)</f>
        <v>5</v>
      </c>
      <c r="G35" s="102">
        <f>HLOOKUP(H35,Rates,F35,FALSE)</f>
        <v>8.91</v>
      </c>
      <c r="H35" s="99" t="str">
        <f>HLOOKUP(E$34,Rates!$1:$2,2,1)</f>
        <v>I</v>
      </c>
      <c r="I35" s="100">
        <f>DATEDIF($E$5,I$34,"Y")</f>
        <v>23</v>
      </c>
      <c r="J35" s="101">
        <f>VLOOKUP(I35,Rates!$B:$C,2,1)</f>
        <v>5</v>
      </c>
      <c r="K35" s="102">
        <f>HLOOKUP(L35,Rates,J35,FALSE)</f>
        <v>8.91</v>
      </c>
      <c r="L35" s="99" t="str">
        <f>HLOOKUP(I$34,Rates!$1:$2,2,1)</f>
        <v>I</v>
      </c>
      <c r="M35" s="100">
        <f>DATEDIF($E$5,M$34,"Y")</f>
        <v>23</v>
      </c>
      <c r="N35" s="97">
        <f>VLOOKUP(M35,Rates!$B:$C,2,1)</f>
        <v>5</v>
      </c>
      <c r="O35" s="102">
        <f>HLOOKUP(P35,Rates,N35,FALSE)</f>
        <v>8.91</v>
      </c>
      <c r="P35" s="99" t="str">
        <f>HLOOKUP(M$34,Rates!$1:$2,2,1)</f>
        <v>I</v>
      </c>
      <c r="Q35" s="100">
        <f>DATEDIF($E$5,Q$34,"Y")</f>
        <v>23</v>
      </c>
      <c r="R35" s="97">
        <f>VLOOKUP(Q35,Rates!$B:$C,2,1)</f>
        <v>5</v>
      </c>
      <c r="S35" s="102">
        <f>HLOOKUP(T35,Rates,R35,FALSE)</f>
        <v>8.91</v>
      </c>
      <c r="T35" s="99" t="str">
        <f>HLOOKUP(Q$34,Rates!$1:$2,2,1)</f>
        <v>I</v>
      </c>
      <c r="U35" s="100">
        <f>DATEDIF($E$5,U$34,"Y")</f>
        <v>23</v>
      </c>
      <c r="V35" s="97">
        <f>VLOOKUP(U35,Rates!$B:$C,2,1)</f>
        <v>5</v>
      </c>
      <c r="W35" s="102">
        <f>HLOOKUP(X35,Rates,V35,FALSE)</f>
        <v>8.91</v>
      </c>
      <c r="X35" s="99" t="str">
        <f>HLOOKUP(U$34,Rates!$1:$2,2,1)</f>
        <v>I</v>
      </c>
      <c r="Y35" s="100">
        <f>DATEDIF($E$5,Y$34,"Y")</f>
        <v>23</v>
      </c>
      <c r="Z35" s="101">
        <f>VLOOKUP(Y35,Rates!$B:$C,2,1)</f>
        <v>5</v>
      </c>
      <c r="AA35" s="102">
        <f>HLOOKUP(AB35,Rates,Z35,FALSE)</f>
        <v>8.91</v>
      </c>
      <c r="AB35" s="99" t="str">
        <f>HLOOKUP(Y$34,Rates!$1:$2,2,1)</f>
        <v>I</v>
      </c>
      <c r="AC35" s="100">
        <f>DATEDIF($E$5,AC$34,"Y")</f>
        <v>23</v>
      </c>
      <c r="AD35" s="97">
        <f>VLOOKUP(AC35,Rates!$B:$C,2,1)</f>
        <v>5</v>
      </c>
      <c r="AE35" s="102">
        <f>HLOOKUP(AF35,Rates,AD35,FALSE)</f>
        <v>8.91</v>
      </c>
      <c r="AF35" s="99" t="str">
        <f>HLOOKUP(AC$34,Rates!$1:$2,2,1)</f>
        <v>I</v>
      </c>
      <c r="AG35" s="659"/>
      <c r="AH35" s="660"/>
      <c r="AI35" s="660"/>
      <c r="AJ35" s="661"/>
      <c r="AK35" s="695"/>
      <c r="AL35" s="27"/>
      <c r="AM35" s="27"/>
      <c r="AN35" s="45"/>
      <c r="AO35" s="40"/>
      <c r="AP35" s="689"/>
      <c r="AQ35" s="690"/>
      <c r="AR35" s="690"/>
      <c r="AS35" s="690"/>
      <c r="AT35" s="690"/>
      <c r="AU35" s="691"/>
      <c r="AV35" s="41"/>
    </row>
    <row r="36" spans="2:48" ht="24" hidden="1" customHeight="1" x14ac:dyDescent="0.2">
      <c r="B36" s="40"/>
      <c r="C36" s="10"/>
      <c r="D36" s="104" t="s">
        <v>136</v>
      </c>
      <c r="E36" s="628">
        <f>E37+(G37/60)</f>
        <v>0</v>
      </c>
      <c r="F36" s="629"/>
      <c r="G36" s="629"/>
      <c r="H36" s="653"/>
      <c r="I36" s="629">
        <f t="shared" ref="I36" si="24">I37+(K37/60)</f>
        <v>2</v>
      </c>
      <c r="J36" s="629"/>
      <c r="K36" s="629"/>
      <c r="L36" s="653"/>
      <c r="M36" s="629">
        <f t="shared" ref="M36" si="25">M37+(O37/60)</f>
        <v>0</v>
      </c>
      <c r="N36" s="629"/>
      <c r="O36" s="629"/>
      <c r="P36" s="653"/>
      <c r="Q36" s="629">
        <f t="shared" ref="Q36" si="26">Q37+(S37/60)</f>
        <v>0</v>
      </c>
      <c r="R36" s="629"/>
      <c r="S36" s="629"/>
      <c r="T36" s="653"/>
      <c r="U36" s="629">
        <f t="shared" ref="U36" si="27">U37+(W37/60)</f>
        <v>0</v>
      </c>
      <c r="V36" s="629"/>
      <c r="W36" s="629"/>
      <c r="X36" s="653"/>
      <c r="Y36" s="629">
        <f t="shared" ref="Y36" si="28">Y37+(AA37/60)</f>
        <v>0</v>
      </c>
      <c r="Z36" s="629"/>
      <c r="AA36" s="629"/>
      <c r="AB36" s="653"/>
      <c r="AC36" s="629">
        <f t="shared" ref="AC36" si="29">AC37+(AE37/60)</f>
        <v>0</v>
      </c>
      <c r="AD36" s="629"/>
      <c r="AE36" s="629"/>
      <c r="AF36" s="653"/>
      <c r="AG36" s="628">
        <f>SUM(E36:AF36)</f>
        <v>2</v>
      </c>
      <c r="AH36" s="629"/>
      <c r="AI36" s="629"/>
      <c r="AJ36" s="630"/>
      <c r="AK36" s="695"/>
      <c r="AL36" s="27"/>
      <c r="AM36" s="27"/>
      <c r="AN36" s="45"/>
      <c r="AO36" s="40"/>
      <c r="AP36" s="689"/>
      <c r="AQ36" s="690"/>
      <c r="AR36" s="690"/>
      <c r="AS36" s="690"/>
      <c r="AT36" s="690"/>
      <c r="AU36" s="691"/>
      <c r="AV36" s="41"/>
    </row>
    <row r="37" spans="2:48" x14ac:dyDescent="0.2">
      <c r="B37" s="40"/>
      <c r="C37" s="10"/>
      <c r="D37" s="91" t="s">
        <v>137</v>
      </c>
      <c r="E37" s="81"/>
      <c r="F37" s="77" t="s">
        <v>80</v>
      </c>
      <c r="G37" s="76"/>
      <c r="H37" s="95" t="s">
        <v>81</v>
      </c>
      <c r="I37" s="93">
        <v>2</v>
      </c>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2</v>
      </c>
      <c r="AH37" s="79" t="s">
        <v>80</v>
      </c>
      <c r="AI37" s="78">
        <f>(AG36-AG37)*60</f>
        <v>0</v>
      </c>
      <c r="AJ37" s="82" t="s">
        <v>81</v>
      </c>
      <c r="AK37" s="695"/>
      <c r="AL37" s="27"/>
      <c r="AM37" s="27"/>
      <c r="AN37" s="45"/>
      <c r="AO37" s="40"/>
      <c r="AP37" s="689"/>
      <c r="AQ37" s="690"/>
      <c r="AR37" s="690"/>
      <c r="AS37" s="690"/>
      <c r="AT37" s="690"/>
      <c r="AU37" s="691"/>
      <c r="AV37" s="41"/>
    </row>
    <row r="38" spans="2:48" ht="13.5" customHeight="1" x14ac:dyDescent="0.2">
      <c r="B38" s="40"/>
      <c r="C38" s="10"/>
      <c r="D38" s="124" t="s">
        <v>138</v>
      </c>
      <c r="E38" s="658">
        <f>MAX(G35,IF($V$11=$AM$11,$AF$11,HLOOKUP(H35,Rates,$AL$11,FALSE)))</f>
        <v>13.6</v>
      </c>
      <c r="F38" s="651"/>
      <c r="G38" s="651"/>
      <c r="H38" s="652"/>
      <c r="I38" s="650">
        <f>MAX(K35,IF($V$11=$AM$11,$AF$11,HLOOKUP(L35,Rates,$AL$11,FALSE)))</f>
        <v>13.6</v>
      </c>
      <c r="J38" s="651"/>
      <c r="K38" s="651"/>
      <c r="L38" s="652"/>
      <c r="M38" s="650">
        <f>MAX(O35,IF($V$11=$AM$11,$AF$11,HLOOKUP(P35,Rates,$AL$11,FALSE)))</f>
        <v>13.6</v>
      </c>
      <c r="N38" s="651"/>
      <c r="O38" s="651"/>
      <c r="P38" s="652"/>
      <c r="Q38" s="650">
        <f>MAX(S35,IF($V$11=$AM$11,$AF$11,HLOOKUP(T35,Rates,$AL$11,FALSE)))</f>
        <v>13.6</v>
      </c>
      <c r="R38" s="651"/>
      <c r="S38" s="651"/>
      <c r="T38" s="652"/>
      <c r="U38" s="650">
        <f>MAX(W35,IF($V$11=$AM$11,$AF$11,HLOOKUP(X35,Rates,$AL$11,FALSE)))</f>
        <v>13.6</v>
      </c>
      <c r="V38" s="651"/>
      <c r="W38" s="651"/>
      <c r="X38" s="652"/>
      <c r="Y38" s="650">
        <f>MAX(AA35,IF($V$11=$AM$11,$AF$11,HLOOKUP(AB35,Rates,$AL$11,FALSE)))</f>
        <v>13.6</v>
      </c>
      <c r="Z38" s="651"/>
      <c r="AA38" s="651"/>
      <c r="AB38" s="652"/>
      <c r="AC38" s="650">
        <f>MAX(AE35,IF($V$11=$AM$11,$AF$11,HLOOKUP(AF35,Rates,$AL$11,FALSE)))</f>
        <v>13.6</v>
      </c>
      <c r="AD38" s="651"/>
      <c r="AE38" s="651"/>
      <c r="AF38" s="666"/>
      <c r="AG38" s="663">
        <f>SUMPRODUCT(E38:AF38,E36:AF36)</f>
        <v>27.2</v>
      </c>
      <c r="AH38" s="664"/>
      <c r="AI38" s="664"/>
      <c r="AJ38" s="665"/>
      <c r="AK38" s="695"/>
      <c r="AL38" s="35">
        <f>AG38*IF($V$11="Demonstrator Rate",0.1711,0.1207)</f>
        <v>4.6539200000000003</v>
      </c>
      <c r="AM38" s="27"/>
      <c r="AN38" s="45"/>
      <c r="AO38" s="40"/>
      <c r="AP38" s="689"/>
      <c r="AQ38" s="690"/>
      <c r="AR38" s="690"/>
      <c r="AS38" s="690"/>
      <c r="AT38" s="690"/>
      <c r="AU38" s="691"/>
      <c r="AV38" s="41"/>
    </row>
    <row r="39" spans="2:48" ht="13.5" hidden="1" customHeight="1" x14ac:dyDescent="0.2">
      <c r="B39" s="40"/>
      <c r="C39" s="10"/>
      <c r="D39" s="104" t="s">
        <v>139</v>
      </c>
      <c r="E39" s="116">
        <f>DATEDIF($E$5,E$34,"Y")</f>
        <v>23</v>
      </c>
      <c r="F39" s="97">
        <f>VLOOKUP(E39,Rates!$B:$C,2,1)</f>
        <v>5</v>
      </c>
      <c r="G39" s="102">
        <f>HLOOKUP(H39,Rates,F39,FALSE)</f>
        <v>8.91</v>
      </c>
      <c r="H39" s="99" t="str">
        <f>HLOOKUP(E$34,Rates!$1:$2,2,1)</f>
        <v>I</v>
      </c>
      <c r="I39" s="100">
        <f>DATEDIF($E$5,I$34,"Y")</f>
        <v>23</v>
      </c>
      <c r="J39" s="97">
        <f>VLOOKUP(I39,Rates!$B:$C,2,1)</f>
        <v>5</v>
      </c>
      <c r="K39" s="102">
        <f>HLOOKUP(L39,Rates,J39,FALSE)</f>
        <v>8.91</v>
      </c>
      <c r="L39" s="99" t="str">
        <f>HLOOKUP(I$34,Rates!$1:$2,2,1)</f>
        <v>I</v>
      </c>
      <c r="M39" s="100">
        <f>DATEDIF($E$5,M$34,"Y")</f>
        <v>23</v>
      </c>
      <c r="N39" s="97">
        <f>VLOOKUP(M39,Rates!$B:$C,2,1)</f>
        <v>5</v>
      </c>
      <c r="O39" s="102">
        <f>HLOOKUP(P39,Rates,N39,FALSE)</f>
        <v>8.91</v>
      </c>
      <c r="P39" s="99" t="str">
        <f>HLOOKUP(M$34,Rates!$1:$2,2,1)</f>
        <v>I</v>
      </c>
      <c r="Q39" s="100">
        <f>DATEDIF($E$5,Q$34,"Y")</f>
        <v>23</v>
      </c>
      <c r="R39" s="97">
        <f>VLOOKUP(Q39,Rates!$B:$C,2,1)</f>
        <v>5</v>
      </c>
      <c r="S39" s="102">
        <f>HLOOKUP(T39,Rates,R39,FALSE)</f>
        <v>8.91</v>
      </c>
      <c r="T39" s="99" t="str">
        <f>HLOOKUP(Q$34,Rates!$1:$2,2,1)</f>
        <v>I</v>
      </c>
      <c r="U39" s="100">
        <f>DATEDIF($E$5,U$34,"Y")</f>
        <v>23</v>
      </c>
      <c r="V39" s="97">
        <f>VLOOKUP(U39,Rates!$B:$C,2,1)</f>
        <v>5</v>
      </c>
      <c r="W39" s="102">
        <f>HLOOKUP(X39,Rates,V39,FALSE)</f>
        <v>8.91</v>
      </c>
      <c r="X39" s="99" t="str">
        <f>HLOOKUP(U$34,Rates!$1:$2,2,1)</f>
        <v>I</v>
      </c>
      <c r="Y39" s="100">
        <f>DATEDIF($E$5,Y$34,"Y")</f>
        <v>23</v>
      </c>
      <c r="Z39" s="97">
        <f>VLOOKUP(Y39,Rates!$B:$C,2,1)</f>
        <v>5</v>
      </c>
      <c r="AA39" s="102">
        <f>HLOOKUP(AB39,Rates,Z39,FALSE)</f>
        <v>8.91</v>
      </c>
      <c r="AB39" s="99" t="str">
        <f>HLOOKUP(Y$34,Rates!$1:$2,2,1)</f>
        <v>I</v>
      </c>
      <c r="AC39" s="100">
        <f>DATEDIF($E$5,AC$34,"Y")</f>
        <v>23</v>
      </c>
      <c r="AD39" s="97">
        <f>VLOOKUP(AC39,Rates!$B:$C,2,1)</f>
        <v>5</v>
      </c>
      <c r="AE39" s="102">
        <f>HLOOKUP(AF39,Rates,AD39,FALSE)</f>
        <v>8.91</v>
      </c>
      <c r="AF39" s="99" t="str">
        <f>HLOOKUP(AC$34,Rates!$1:$2,2,1)</f>
        <v>I</v>
      </c>
      <c r="AG39" s="659"/>
      <c r="AH39" s="660"/>
      <c r="AI39" s="660"/>
      <c r="AJ39" s="661"/>
      <c r="AK39" s="695"/>
      <c r="AL39" s="5"/>
      <c r="AM39" s="27"/>
      <c r="AN39" s="45"/>
      <c r="AO39" s="40"/>
      <c r="AP39" s="689"/>
      <c r="AQ39" s="690"/>
      <c r="AR39" s="690"/>
      <c r="AS39" s="690"/>
      <c r="AT39" s="690"/>
      <c r="AU39" s="691"/>
      <c r="AV39" s="41"/>
    </row>
    <row r="40" spans="2:48" ht="13.5" hidden="1" customHeight="1" x14ac:dyDescent="0.2">
      <c r="B40" s="40"/>
      <c r="C40" s="10"/>
      <c r="D40" s="104" t="s">
        <v>140</v>
      </c>
      <c r="E40" s="628">
        <f>E41+(G41/60)</f>
        <v>0</v>
      </c>
      <c r="F40" s="629"/>
      <c r="G40" s="629"/>
      <c r="H40" s="653"/>
      <c r="I40" s="629">
        <f t="shared" ref="I40" si="30">I41+(K41/60)</f>
        <v>0</v>
      </c>
      <c r="J40" s="629"/>
      <c r="K40" s="629"/>
      <c r="L40" s="653"/>
      <c r="M40" s="629">
        <f t="shared" ref="M40" si="31">M41+(O41/60)</f>
        <v>0</v>
      </c>
      <c r="N40" s="629"/>
      <c r="O40" s="629"/>
      <c r="P40" s="653"/>
      <c r="Q40" s="629">
        <f t="shared" ref="Q40" si="32">Q41+(S41/60)</f>
        <v>0</v>
      </c>
      <c r="R40" s="629"/>
      <c r="S40" s="629"/>
      <c r="T40" s="653"/>
      <c r="U40" s="629">
        <f t="shared" ref="U40" si="33">U41+(W41/60)</f>
        <v>0</v>
      </c>
      <c r="V40" s="629"/>
      <c r="W40" s="629"/>
      <c r="X40" s="653"/>
      <c r="Y40" s="629">
        <f t="shared" ref="Y40" si="34">Y41+(AA41/60)</f>
        <v>0</v>
      </c>
      <c r="Z40" s="629"/>
      <c r="AA40" s="629"/>
      <c r="AB40" s="653"/>
      <c r="AC40" s="629">
        <f t="shared" ref="AC40" si="35">AC41+(AE41/60)</f>
        <v>0</v>
      </c>
      <c r="AD40" s="629"/>
      <c r="AE40" s="629"/>
      <c r="AF40" s="653"/>
      <c r="AG40" s="628">
        <f>SUM(E40:AF40)</f>
        <v>0</v>
      </c>
      <c r="AH40" s="629"/>
      <c r="AI40" s="629"/>
      <c r="AJ40" s="630"/>
      <c r="AK40" s="695"/>
      <c r="AL40" s="5"/>
      <c r="AM40" s="27"/>
      <c r="AN40" s="45"/>
      <c r="AO40" s="40"/>
      <c r="AP40" s="689"/>
      <c r="AQ40" s="690"/>
      <c r="AR40" s="690"/>
      <c r="AS40" s="690"/>
      <c r="AT40" s="690"/>
      <c r="AU40" s="691"/>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95"/>
      <c r="AL41" s="27"/>
      <c r="AM41" s="27"/>
      <c r="AN41" s="45"/>
      <c r="AO41" s="40"/>
      <c r="AP41" s="689"/>
      <c r="AQ41" s="690"/>
      <c r="AR41" s="690"/>
      <c r="AS41" s="690"/>
      <c r="AT41" s="690"/>
      <c r="AU41" s="691"/>
      <c r="AV41" s="41"/>
    </row>
    <row r="42" spans="2:48" ht="13.5" hidden="1" customHeight="1" x14ac:dyDescent="0.2">
      <c r="B42" s="40"/>
      <c r="C42" s="10"/>
      <c r="D42" s="124" t="s">
        <v>150</v>
      </c>
      <c r="E42" s="658">
        <f>MAX(G39,IF($V$13=$AM$13,$AF$13,HLOOKUP(H39,Rates,$AL$13,FALSE)))</f>
        <v>8.91</v>
      </c>
      <c r="F42" s="651"/>
      <c r="G42" s="651"/>
      <c r="H42" s="652"/>
      <c r="I42" s="650">
        <f>MAX(K39,IF($V$13=$AM$13,$AF$13,HLOOKUP(L39,Rates,$AL$13,FALSE)))</f>
        <v>8.91</v>
      </c>
      <c r="J42" s="651"/>
      <c r="K42" s="651"/>
      <c r="L42" s="652"/>
      <c r="M42" s="650">
        <f>MAX(O39,IF($V$13=$AM$13,$AF$13,HLOOKUP(P39,Rates,$AL$13,FALSE)))</f>
        <v>8.91</v>
      </c>
      <c r="N42" s="651"/>
      <c r="O42" s="651"/>
      <c r="P42" s="652"/>
      <c r="Q42" s="650">
        <f>MAX(S39,IF($V$13=$AM$13,$AF$13,HLOOKUP(T39,Rates,$AL$13,FALSE)))</f>
        <v>8.91</v>
      </c>
      <c r="R42" s="651"/>
      <c r="S42" s="651"/>
      <c r="T42" s="652"/>
      <c r="U42" s="650">
        <f>MAX(W39,IF($V$13=$AM$13,$AF$13,HLOOKUP(X39,Rates,$AL$13,FALSE)))</f>
        <v>8.91</v>
      </c>
      <c r="V42" s="651"/>
      <c r="W42" s="651"/>
      <c r="X42" s="652"/>
      <c r="Y42" s="650">
        <f>MAX(AA39,IF($V$13=$AM$13,$AF$13,HLOOKUP(AB39,Rates,$AL$13,FALSE)))</f>
        <v>8.91</v>
      </c>
      <c r="Z42" s="651"/>
      <c r="AA42" s="651"/>
      <c r="AB42" s="652"/>
      <c r="AC42" s="650">
        <f>MAX(AE39,IF($V$13=$AM$13,$AF$13,HLOOKUP(AF39,Rates,$AL$13,FALSE)))</f>
        <v>8.91</v>
      </c>
      <c r="AD42" s="651"/>
      <c r="AE42" s="651"/>
      <c r="AF42" s="666"/>
      <c r="AG42" s="663">
        <f>SUMPRODUCT(E42:AF42,E40:AF40)</f>
        <v>0</v>
      </c>
      <c r="AH42" s="664"/>
      <c r="AI42" s="664"/>
      <c r="AJ42" s="665"/>
      <c r="AK42" s="695"/>
      <c r="AL42" s="35">
        <f>AG42*IF($V$13="Demonstrator Rate",0.1711,0.1207)</f>
        <v>0</v>
      </c>
      <c r="AM42" s="27"/>
      <c r="AN42" s="45"/>
      <c r="AO42" s="40"/>
      <c r="AP42" s="689"/>
      <c r="AQ42" s="690"/>
      <c r="AR42" s="690"/>
      <c r="AS42" s="690"/>
      <c r="AT42" s="690"/>
      <c r="AU42" s="691"/>
      <c r="AV42" s="41"/>
    </row>
    <row r="43" spans="2:48" ht="13.5" hidden="1" customHeight="1" x14ac:dyDescent="0.2">
      <c r="B43" s="40"/>
      <c r="C43" s="10"/>
      <c r="D43" s="104" t="s">
        <v>143</v>
      </c>
      <c r="E43" s="116">
        <f>DATEDIF($E$5,E$34,"Y")</f>
        <v>23</v>
      </c>
      <c r="F43" s="97">
        <f>VLOOKUP(E43,Rates!$B:$C,2,1)</f>
        <v>5</v>
      </c>
      <c r="G43" s="102">
        <f>HLOOKUP(H43,Rates,F43,FALSE)</f>
        <v>8.91</v>
      </c>
      <c r="H43" s="99" t="str">
        <f>HLOOKUP(E$34,Rates!$1:$2,2,1)</f>
        <v>I</v>
      </c>
      <c r="I43" s="100">
        <f>DATEDIF($E$5,I$34,"Y")</f>
        <v>23</v>
      </c>
      <c r="J43" s="97">
        <f>VLOOKUP(I43,Rates!$B:$C,2,1)</f>
        <v>5</v>
      </c>
      <c r="K43" s="102">
        <f>HLOOKUP(L43,Rates,J43,FALSE)</f>
        <v>8.91</v>
      </c>
      <c r="L43" s="99" t="str">
        <f>HLOOKUP(I$34,Rates!$1:$2,2,1)</f>
        <v>I</v>
      </c>
      <c r="M43" s="100">
        <f>DATEDIF($E$5,M$34,"Y")</f>
        <v>23</v>
      </c>
      <c r="N43" s="97">
        <f>VLOOKUP(M43,Rates!$B:$C,2,1)</f>
        <v>5</v>
      </c>
      <c r="O43" s="102">
        <f>HLOOKUP(P43,Rates,N43,FALSE)</f>
        <v>8.91</v>
      </c>
      <c r="P43" s="99" t="str">
        <f>HLOOKUP(M$34,Rates!$1:$2,2,1)</f>
        <v>I</v>
      </c>
      <c r="Q43" s="100">
        <f>DATEDIF($E$5,Q$34,"Y")</f>
        <v>23</v>
      </c>
      <c r="R43" s="97">
        <f>VLOOKUP(Q43,Rates!$B:$C,2,1)</f>
        <v>5</v>
      </c>
      <c r="S43" s="102">
        <f>HLOOKUP(T43,Rates,R43,FALSE)</f>
        <v>8.1999999999999993</v>
      </c>
      <c r="T43" s="103" t="str">
        <f>IF(Q$34&gt;=Rates!$H$1,Rates!$H$2,IF(Q$34&gt;=Rates!$G$1,Rates!$G$2,IF(Q$34&gt;=Rates!$F$1,Rates!$F$2,IF(Q$34&gt;=Rates!$E$1,Rates!$E$2,IF(Q$34&gt;=Rates!$D$1,Rates!$D$2,0)))))</f>
        <v>F</v>
      </c>
      <c r="U43" s="100">
        <f>DATEDIF($E$5,U$34,"Y")</f>
        <v>23</v>
      </c>
      <c r="V43" s="97">
        <f>VLOOKUP(U43,Rates!$B:$C,2,1)</f>
        <v>5</v>
      </c>
      <c r="W43" s="102">
        <f>HLOOKUP(X43,Rates,V43,FALSE)</f>
        <v>8.91</v>
      </c>
      <c r="X43" s="99" t="str">
        <f>HLOOKUP(U$34,Rates!$1:$2,2,1)</f>
        <v>I</v>
      </c>
      <c r="Y43" s="100">
        <f>DATEDIF($E$5,Y$34,"Y")</f>
        <v>23</v>
      </c>
      <c r="Z43" s="97">
        <f>VLOOKUP(Y43,Rates!$B:$C,2,1)</f>
        <v>5</v>
      </c>
      <c r="AA43" s="102">
        <f>HLOOKUP(AB43,Rates,Z43,FALSE)</f>
        <v>8.1999999999999993</v>
      </c>
      <c r="AB43" s="103" t="str">
        <f>IF(Y$34&gt;=Rates!$H$1,Rates!$H$2,IF(Y$34&gt;=Rates!$G$1,Rates!$G$2,IF(Y$34&gt;=Rates!$F$1,Rates!$F$2,IF(Y$34&gt;=Rates!$E$1,Rates!$E$2,IF(Y$34&gt;=Rates!$D$1,Rates!$D$2,0)))))</f>
        <v>F</v>
      </c>
      <c r="AC43" s="100">
        <f>DATEDIF($E$5,AC$34,"Y")</f>
        <v>23</v>
      </c>
      <c r="AD43" s="97">
        <f>VLOOKUP(AC43,Rates!$B:$C,2,1)</f>
        <v>5</v>
      </c>
      <c r="AE43" s="102">
        <f>HLOOKUP(AF43,Rates,AD43,FALSE)</f>
        <v>8.91</v>
      </c>
      <c r="AF43" s="99" t="str">
        <f>HLOOKUP(AC$34,Rates!$1:$2,2,1)</f>
        <v>I</v>
      </c>
      <c r="AG43" s="659"/>
      <c r="AH43" s="660"/>
      <c r="AI43" s="660"/>
      <c r="AJ43" s="661"/>
      <c r="AK43" s="695"/>
      <c r="AL43" s="5"/>
      <c r="AM43" s="27"/>
      <c r="AN43" s="45"/>
      <c r="AO43" s="40"/>
      <c r="AP43" s="689"/>
      <c r="AQ43" s="690"/>
      <c r="AR43" s="690"/>
      <c r="AS43" s="690"/>
      <c r="AT43" s="690"/>
      <c r="AU43" s="691"/>
      <c r="AV43" s="41"/>
    </row>
    <row r="44" spans="2:48" ht="13.5" hidden="1" customHeight="1" x14ac:dyDescent="0.2">
      <c r="B44" s="40"/>
      <c r="C44" s="10"/>
      <c r="D44" s="104" t="s">
        <v>144</v>
      </c>
      <c r="E44" s="628">
        <f>E45+(G45/60)</f>
        <v>0</v>
      </c>
      <c r="F44" s="629"/>
      <c r="G44" s="629"/>
      <c r="H44" s="653"/>
      <c r="I44" s="629">
        <f t="shared" ref="I44" si="36">I45+(K45/60)</f>
        <v>0</v>
      </c>
      <c r="J44" s="629"/>
      <c r="K44" s="629"/>
      <c r="L44" s="653"/>
      <c r="M44" s="629">
        <f t="shared" ref="M44" si="37">M45+(O45/60)</f>
        <v>0</v>
      </c>
      <c r="N44" s="629"/>
      <c r="O44" s="629"/>
      <c r="P44" s="653"/>
      <c r="Q44" s="629">
        <f t="shared" ref="Q44" si="38">Q45+(S45/60)</f>
        <v>0</v>
      </c>
      <c r="R44" s="629"/>
      <c r="S44" s="629"/>
      <c r="T44" s="653"/>
      <c r="U44" s="629">
        <f t="shared" ref="U44" si="39">U45+(W45/60)</f>
        <v>0</v>
      </c>
      <c r="V44" s="629"/>
      <c r="W44" s="629"/>
      <c r="X44" s="653"/>
      <c r="Y44" s="629">
        <f t="shared" ref="Y44" si="40">Y45+(AA45/60)</f>
        <v>0</v>
      </c>
      <c r="Z44" s="629"/>
      <c r="AA44" s="629"/>
      <c r="AB44" s="653"/>
      <c r="AC44" s="629">
        <f t="shared" ref="AC44" si="41">AC45+(AE45/60)</f>
        <v>0</v>
      </c>
      <c r="AD44" s="629"/>
      <c r="AE44" s="629"/>
      <c r="AF44" s="653"/>
      <c r="AG44" s="628">
        <f>SUM(E44:AF44)</f>
        <v>0</v>
      </c>
      <c r="AH44" s="629"/>
      <c r="AI44" s="629"/>
      <c r="AJ44" s="630"/>
      <c r="AK44" s="695"/>
      <c r="AL44" s="5"/>
      <c r="AM44" s="27"/>
      <c r="AN44" s="45"/>
      <c r="AO44" s="40"/>
      <c r="AP44" s="689"/>
      <c r="AQ44" s="690"/>
      <c r="AR44" s="690"/>
      <c r="AS44" s="690"/>
      <c r="AT44" s="690"/>
      <c r="AU44" s="691"/>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95"/>
      <c r="AL45" s="27"/>
      <c r="AM45" s="27"/>
      <c r="AN45" s="45"/>
      <c r="AO45" s="40"/>
      <c r="AP45" s="689"/>
      <c r="AQ45" s="690"/>
      <c r="AR45" s="690"/>
      <c r="AS45" s="690"/>
      <c r="AT45" s="690"/>
      <c r="AU45" s="691"/>
      <c r="AV45" s="41"/>
    </row>
    <row r="46" spans="2:48" ht="13.5" hidden="1" customHeight="1" x14ac:dyDescent="0.2">
      <c r="B46" s="40"/>
      <c r="C46" s="10"/>
      <c r="D46" s="124" t="s">
        <v>146</v>
      </c>
      <c r="E46" s="658">
        <f>MAX(G43,IF($V$15=$AM$15,$AF$15,HLOOKUP(H43,Rates,$AL$15,FALSE)))</f>
        <v>8.91</v>
      </c>
      <c r="F46" s="651"/>
      <c r="G46" s="651"/>
      <c r="H46" s="652"/>
      <c r="I46" s="650">
        <f>MAX(K43,IF($V$15=$AM$15,$AF$15,HLOOKUP(L43,Rates,$AL$15,FALSE)))</f>
        <v>8.91</v>
      </c>
      <c r="J46" s="651"/>
      <c r="K46" s="651"/>
      <c r="L46" s="652"/>
      <c r="M46" s="650">
        <f>MAX(O43,IF($V$15=$AM$15,$AF$15,HLOOKUP(P43,Rates,$AL$15,FALSE)))</f>
        <v>8.91</v>
      </c>
      <c r="N46" s="651"/>
      <c r="O46" s="651"/>
      <c r="P46" s="652"/>
      <c r="Q46" s="650">
        <f>MAX(S43,IF($V$15=$AM$15,$AF$15,HLOOKUP(T43,Rates,$AL$15,FALSE)))</f>
        <v>8.1999999999999993</v>
      </c>
      <c r="R46" s="651"/>
      <c r="S46" s="651"/>
      <c r="T46" s="652"/>
      <c r="U46" s="650">
        <f>MAX(W43,IF($V$15=$AM$15,$AF$15,HLOOKUP(X43,Rates,$AL$15,FALSE)))</f>
        <v>8.91</v>
      </c>
      <c r="V46" s="651"/>
      <c r="W46" s="651"/>
      <c r="X46" s="652"/>
      <c r="Y46" s="650">
        <f>MAX(AA43,IF($V$15=$AM$15,$AF$15,HLOOKUP(AB43,Rates,$AL$15,FALSE)))</f>
        <v>8.1999999999999993</v>
      </c>
      <c r="Z46" s="651"/>
      <c r="AA46" s="651"/>
      <c r="AB46" s="652"/>
      <c r="AC46" s="650">
        <f>MAX(AE43,IF($V$15=$AM$15,$AF$15,HLOOKUP(AF43,Rates,$AL$15,FALSE)))</f>
        <v>8.91</v>
      </c>
      <c r="AD46" s="651"/>
      <c r="AE46" s="651"/>
      <c r="AF46" s="666"/>
      <c r="AG46" s="663">
        <f>SUMPRODUCT(E46:AF46,E44:AF44)</f>
        <v>0</v>
      </c>
      <c r="AH46" s="664"/>
      <c r="AI46" s="664"/>
      <c r="AJ46" s="665"/>
      <c r="AK46" s="695"/>
      <c r="AL46" s="35">
        <f>AG46*IF($V$15="Demonstrator Rate",0.1711,0.1207)</f>
        <v>0</v>
      </c>
      <c r="AM46" s="27"/>
      <c r="AN46" s="45"/>
      <c r="AO46" s="40"/>
      <c r="AP46" s="689"/>
      <c r="AQ46" s="690"/>
      <c r="AR46" s="690"/>
      <c r="AS46" s="690"/>
      <c r="AT46" s="690"/>
      <c r="AU46" s="691"/>
      <c r="AV46" s="41"/>
    </row>
    <row r="47" spans="2:48" ht="13.5" hidden="1" customHeight="1" x14ac:dyDescent="0.2">
      <c r="B47" s="40"/>
      <c r="C47" s="10"/>
      <c r="D47" s="193" t="s">
        <v>147</v>
      </c>
      <c r="E47" s="716">
        <f>((E37+(G37/60))*E38)+((E41+(G41/60))*E42)+((E45+(G45/60))*E46)</f>
        <v>0</v>
      </c>
      <c r="F47" s="673"/>
      <c r="G47" s="673"/>
      <c r="H47" s="674"/>
      <c r="I47" s="672">
        <f>((I37+(K37/60))*I38)+((I41+(K41/60))*I42)+((I45+(K45/60))*I46)</f>
        <v>27.2</v>
      </c>
      <c r="J47" s="673"/>
      <c r="K47" s="673"/>
      <c r="L47" s="674"/>
      <c r="M47" s="672">
        <f>((M37+(O37/60))*M38)+((M41+(O41/60))*M42)+((M45+(O45/60))*M46)</f>
        <v>0</v>
      </c>
      <c r="N47" s="673"/>
      <c r="O47" s="673"/>
      <c r="P47" s="674"/>
      <c r="Q47" s="672">
        <f>((Q37+(S37/60))*Q38)+((Q41+(S41/60))*Q42)+((Q45+(S45/60))*Q46)</f>
        <v>0</v>
      </c>
      <c r="R47" s="673"/>
      <c r="S47" s="673"/>
      <c r="T47" s="674"/>
      <c r="U47" s="672">
        <f>((U37+(W37/60))*U38)+((U41+(W41/60))*U42)+((U45+(W45/60))*U46)</f>
        <v>0</v>
      </c>
      <c r="V47" s="673"/>
      <c r="W47" s="673"/>
      <c r="X47" s="674"/>
      <c r="Y47" s="672">
        <f>((Y37+(AA37/60))*Y38)+((Y41+(AA41/60))*Y42)+((Y45+(AA45/60))*Y46)</f>
        <v>0</v>
      </c>
      <c r="Z47" s="673"/>
      <c r="AA47" s="673"/>
      <c r="AB47" s="674"/>
      <c r="AC47" s="672">
        <f>((AC37+(AE37/60))*AC38)+((AC41+(AE41/60))*AC42)+((AC45+(AE45/60))*AC46)</f>
        <v>0</v>
      </c>
      <c r="AD47" s="673"/>
      <c r="AE47" s="673"/>
      <c r="AF47" s="684"/>
      <c r="AG47" s="634">
        <f>AG46+AG42+AG38</f>
        <v>27.2</v>
      </c>
      <c r="AH47" s="635"/>
      <c r="AI47" s="635"/>
      <c r="AJ47" s="636"/>
      <c r="AK47" s="695"/>
      <c r="AL47" s="28">
        <f>AG36+AG40+AG44+AG48</f>
        <v>2</v>
      </c>
      <c r="AM47" s="27" t="str">
        <f>IF(AND(AL47&gt;0,AE7="Yes",OR(E49="",G49="",I49="",K49="",M49="",O49="",Q49="",S49="",U49="",W49="",Y49="",AA49="",AC49="",AE49="")),"FALSE","TRUE")</f>
        <v>TRUE</v>
      </c>
      <c r="AN47" s="45"/>
      <c r="AO47" s="40"/>
      <c r="AP47" s="689"/>
      <c r="AQ47" s="690"/>
      <c r="AR47" s="690"/>
      <c r="AS47" s="690"/>
      <c r="AT47" s="690"/>
      <c r="AU47" s="691"/>
      <c r="AV47" s="41"/>
    </row>
    <row r="48" spans="2:48" ht="13.5" hidden="1" customHeight="1" x14ac:dyDescent="0.2">
      <c r="B48" s="40"/>
      <c r="C48" s="10"/>
      <c r="D48" s="104" t="s">
        <v>148</v>
      </c>
      <c r="E48" s="631">
        <f>E49+(G49/60)</f>
        <v>0</v>
      </c>
      <c r="F48" s="632"/>
      <c r="G48" s="632"/>
      <c r="H48" s="654"/>
      <c r="I48" s="632">
        <f t="shared" ref="I48" si="42">I49+(K49/60)</f>
        <v>0</v>
      </c>
      <c r="J48" s="632"/>
      <c r="K48" s="632"/>
      <c r="L48" s="654"/>
      <c r="M48" s="632">
        <f t="shared" ref="M48" si="43">M49+(O49/60)</f>
        <v>0</v>
      </c>
      <c r="N48" s="632"/>
      <c r="O48" s="632"/>
      <c r="P48" s="654"/>
      <c r="Q48" s="632">
        <f t="shared" ref="Q48" si="44">Q49+(S49/60)</f>
        <v>0</v>
      </c>
      <c r="R48" s="632"/>
      <c r="S48" s="632"/>
      <c r="T48" s="654"/>
      <c r="U48" s="632">
        <f t="shared" ref="U48" si="45">U49+(W49/60)</f>
        <v>0</v>
      </c>
      <c r="V48" s="632"/>
      <c r="W48" s="632"/>
      <c r="X48" s="654"/>
      <c r="Y48" s="632">
        <f t="shared" ref="Y48" si="46">Y49+(AA49/60)</f>
        <v>0</v>
      </c>
      <c r="Z48" s="632"/>
      <c r="AA48" s="632"/>
      <c r="AB48" s="654"/>
      <c r="AC48" s="632">
        <f t="shared" ref="AC48" si="47">AC49+(AE49/60)</f>
        <v>0</v>
      </c>
      <c r="AD48" s="632"/>
      <c r="AE48" s="632"/>
      <c r="AF48" s="654"/>
      <c r="AG48" s="631">
        <f>SUM(E48:AF48)</f>
        <v>0</v>
      </c>
      <c r="AH48" s="632"/>
      <c r="AI48" s="632"/>
      <c r="AJ48" s="633"/>
      <c r="AK48" s="695"/>
      <c r="AL48" s="28"/>
      <c r="AM48" s="27"/>
      <c r="AN48" s="45"/>
      <c r="AO48" s="40"/>
      <c r="AP48" s="689"/>
      <c r="AQ48" s="690"/>
      <c r="AR48" s="690"/>
      <c r="AS48" s="690"/>
      <c r="AT48" s="690"/>
      <c r="AU48" s="691"/>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95"/>
      <c r="AL49" s="27"/>
      <c r="AM49" s="27"/>
      <c r="AN49" s="45"/>
      <c r="AO49" s="40"/>
      <c r="AP49" s="689"/>
      <c r="AQ49" s="690"/>
      <c r="AR49" s="690"/>
      <c r="AS49" s="690"/>
      <c r="AT49" s="690"/>
      <c r="AU49" s="691"/>
      <c r="AV49" s="41"/>
    </row>
    <row r="50" spans="2:48" ht="12" customHeight="1" x14ac:dyDescent="0.2">
      <c r="B50" s="40"/>
      <c r="C50" s="10">
        <f>C34+7</f>
        <v>44515</v>
      </c>
      <c r="D50" s="71" t="s">
        <v>133</v>
      </c>
      <c r="E50" s="668">
        <f>IF(ISNA(C50),"",C50)</f>
        <v>44515</v>
      </c>
      <c r="F50" s="669"/>
      <c r="G50" s="669"/>
      <c r="H50" s="670"/>
      <c r="I50" s="671">
        <f>IF(ISNA(C50),"",E50+1)</f>
        <v>44516</v>
      </c>
      <c r="J50" s="669"/>
      <c r="K50" s="669"/>
      <c r="L50" s="670"/>
      <c r="M50" s="671">
        <f>IF(ISNA(C50),"",I50+1)</f>
        <v>44517</v>
      </c>
      <c r="N50" s="669"/>
      <c r="O50" s="669"/>
      <c r="P50" s="670"/>
      <c r="Q50" s="671">
        <f>IF(ISNA(C50),"",M50+1)</f>
        <v>44518</v>
      </c>
      <c r="R50" s="669"/>
      <c r="S50" s="669"/>
      <c r="T50" s="670"/>
      <c r="U50" s="671">
        <f>IF(ISNA(C50),"",Q50+1)</f>
        <v>44519</v>
      </c>
      <c r="V50" s="669"/>
      <c r="W50" s="669"/>
      <c r="X50" s="670"/>
      <c r="Y50" s="671">
        <f>IF(ISNA(C50),"",U50+1)</f>
        <v>44520</v>
      </c>
      <c r="Z50" s="669"/>
      <c r="AA50" s="669"/>
      <c r="AB50" s="670"/>
      <c r="AC50" s="671">
        <f>IF(ISNA(C50),"",Y50+1)</f>
        <v>44521</v>
      </c>
      <c r="AD50" s="669"/>
      <c r="AE50" s="669"/>
      <c r="AF50" s="699"/>
      <c r="AG50" s="668" t="str">
        <f>IF(AE7="Yes",VLOOKUP(C50,TermTime,2,FALSE),"Week Total")</f>
        <v>Week Total</v>
      </c>
      <c r="AH50" s="669"/>
      <c r="AI50" s="669"/>
      <c r="AJ50" s="685"/>
      <c r="AK50" s="695" t="str">
        <f>IF(OR(AL63&gt;36,AM63="FALSE",AND(AL63&gt;20,AE7="Yes")),"WARNING","")</f>
        <v/>
      </c>
      <c r="AL50" s="27"/>
      <c r="AM50" s="27"/>
      <c r="AN50" s="45"/>
      <c r="AO50" s="40"/>
      <c r="AP50" s="689"/>
      <c r="AQ50" s="690"/>
      <c r="AR50" s="690"/>
      <c r="AS50" s="690"/>
      <c r="AT50" s="690"/>
      <c r="AU50" s="691"/>
      <c r="AV50" s="41"/>
    </row>
    <row r="51" spans="2:48" ht="12" hidden="1" customHeight="1" x14ac:dyDescent="0.2">
      <c r="B51" s="40"/>
      <c r="C51" s="10"/>
      <c r="D51" s="104" t="s">
        <v>135</v>
      </c>
      <c r="E51" s="116">
        <f>DATEDIF($E$5,E$50,"Y")</f>
        <v>23</v>
      </c>
      <c r="F51" s="97">
        <f>VLOOKUP(E51,Rates!$B:$C,2,1)</f>
        <v>5</v>
      </c>
      <c r="G51" s="102">
        <f>HLOOKUP(H51,Rates,F51,FALSE)</f>
        <v>8.91</v>
      </c>
      <c r="H51" s="99" t="str">
        <f>HLOOKUP(E$50,Rates!$1:$2,2,1)</f>
        <v>I</v>
      </c>
      <c r="I51" s="100">
        <f>DATEDIF($E$5,I$50,"Y")</f>
        <v>23</v>
      </c>
      <c r="J51" s="97">
        <f>VLOOKUP(I51,Rates!$B:$C,2,1)</f>
        <v>5</v>
      </c>
      <c r="K51" s="102">
        <f>HLOOKUP(L51,Rates,J51,FALSE)</f>
        <v>8.91</v>
      </c>
      <c r="L51" s="99" t="str">
        <f>HLOOKUP(I$50,Rates!$1:$2,2,1)</f>
        <v>I</v>
      </c>
      <c r="M51" s="100">
        <f>DATEDIF($E$5,M$50,"Y")</f>
        <v>23</v>
      </c>
      <c r="N51" s="97">
        <f>VLOOKUP(M51,Rates!$B:$C,2,1)</f>
        <v>5</v>
      </c>
      <c r="O51" s="102">
        <f>HLOOKUP(P51,Rates,N51,FALSE)</f>
        <v>8.91</v>
      </c>
      <c r="P51" s="99" t="str">
        <f>HLOOKUP(M$50,Rates!$1:$2,2,1)</f>
        <v>I</v>
      </c>
      <c r="Q51" s="100">
        <f>DATEDIF($E$5,Q$50,"Y")</f>
        <v>23</v>
      </c>
      <c r="R51" s="97">
        <f>VLOOKUP(Q51,Rates!$B:$C,2,1)</f>
        <v>5</v>
      </c>
      <c r="S51" s="102">
        <f>HLOOKUP(T51,Rates,R51,FALSE)</f>
        <v>8.91</v>
      </c>
      <c r="T51" s="99" t="str">
        <f>HLOOKUP(Q$50,Rates!$1:$2,2,1)</f>
        <v>I</v>
      </c>
      <c r="U51" s="100">
        <f>DATEDIF($E$5,U$50,"Y")</f>
        <v>23</v>
      </c>
      <c r="V51" s="97">
        <f>VLOOKUP(U51,Rates!$B:$C,2,1)</f>
        <v>5</v>
      </c>
      <c r="W51" s="102">
        <f>HLOOKUP(X51,Rates,V51,FALSE)</f>
        <v>8.91</v>
      </c>
      <c r="X51" s="99" t="str">
        <f>HLOOKUP(U$50,Rates!$1:$2,2,1)</f>
        <v>I</v>
      </c>
      <c r="Y51" s="100">
        <f>DATEDIF($E$5,Y$50,"Y")</f>
        <v>23</v>
      </c>
      <c r="Z51" s="97">
        <f>VLOOKUP(Y51,Rates!$B:$C,2,1)</f>
        <v>5</v>
      </c>
      <c r="AA51" s="102">
        <f>HLOOKUP(AB51,Rates,Z51,FALSE)</f>
        <v>8.91</v>
      </c>
      <c r="AB51" s="99" t="str">
        <f>HLOOKUP(Y$50,Rates!$1:$2,2,1)</f>
        <v>I</v>
      </c>
      <c r="AC51" s="100">
        <f>DATEDIF($E$5,AC$50,"Y")</f>
        <v>23</v>
      </c>
      <c r="AD51" s="97">
        <f>VLOOKUP(AC51,Rates!$B:$C,2,1)</f>
        <v>5</v>
      </c>
      <c r="AE51" s="102">
        <f>HLOOKUP(AF51,Rates,AD51,FALSE)</f>
        <v>8.91</v>
      </c>
      <c r="AF51" s="99" t="str">
        <f>HLOOKUP(AC$50,Rates!$1:$2,2,1)</f>
        <v>I</v>
      </c>
      <c r="AG51" s="659"/>
      <c r="AH51" s="660"/>
      <c r="AI51" s="660"/>
      <c r="AJ51" s="661"/>
      <c r="AK51" s="695"/>
      <c r="AL51" s="27"/>
      <c r="AM51" s="27"/>
      <c r="AN51" s="45"/>
      <c r="AO51" s="40"/>
      <c r="AP51" s="689"/>
      <c r="AQ51" s="690"/>
      <c r="AR51" s="690"/>
      <c r="AS51" s="690"/>
      <c r="AT51" s="690"/>
      <c r="AU51" s="691"/>
      <c r="AV51" s="41"/>
    </row>
    <row r="52" spans="2:48" ht="12" hidden="1" customHeight="1" x14ac:dyDescent="0.2">
      <c r="B52" s="40"/>
      <c r="C52" s="10"/>
      <c r="D52" s="104" t="s">
        <v>136</v>
      </c>
      <c r="E52" s="628">
        <f>E53+(G53/60)</f>
        <v>0</v>
      </c>
      <c r="F52" s="629"/>
      <c r="G52" s="629"/>
      <c r="H52" s="653"/>
      <c r="I52" s="629">
        <f t="shared" ref="I52" si="48">I53+(K53/60)</f>
        <v>0</v>
      </c>
      <c r="J52" s="629"/>
      <c r="K52" s="629"/>
      <c r="L52" s="653"/>
      <c r="M52" s="629">
        <f t="shared" ref="M52" si="49">M53+(O53/60)</f>
        <v>0</v>
      </c>
      <c r="N52" s="629"/>
      <c r="O52" s="629"/>
      <c r="P52" s="653"/>
      <c r="Q52" s="629">
        <f t="shared" ref="Q52" si="50">Q53+(S53/60)</f>
        <v>0</v>
      </c>
      <c r="R52" s="629"/>
      <c r="S52" s="629"/>
      <c r="T52" s="653"/>
      <c r="U52" s="629">
        <f t="shared" ref="U52" si="51">U53+(W53/60)</f>
        <v>0</v>
      </c>
      <c r="V52" s="629"/>
      <c r="W52" s="629"/>
      <c r="X52" s="653"/>
      <c r="Y52" s="629">
        <f t="shared" ref="Y52" si="52">Y53+(AA53/60)</f>
        <v>0</v>
      </c>
      <c r="Z52" s="629"/>
      <c r="AA52" s="629"/>
      <c r="AB52" s="653"/>
      <c r="AC52" s="629">
        <f t="shared" ref="AC52" si="53">AC53+(AE53/60)</f>
        <v>0</v>
      </c>
      <c r="AD52" s="629"/>
      <c r="AE52" s="629"/>
      <c r="AF52" s="653"/>
      <c r="AG52" s="628">
        <f>SUM(E52:AF52)</f>
        <v>0</v>
      </c>
      <c r="AH52" s="629"/>
      <c r="AI52" s="629"/>
      <c r="AJ52" s="630"/>
      <c r="AK52" s="695"/>
      <c r="AL52" s="27"/>
      <c r="AM52" s="27"/>
      <c r="AN52" s="45"/>
      <c r="AO52" s="40"/>
      <c r="AP52" s="689"/>
      <c r="AQ52" s="690"/>
      <c r="AR52" s="690"/>
      <c r="AS52" s="690"/>
      <c r="AT52" s="690"/>
      <c r="AU52" s="691"/>
      <c r="AV52" s="41"/>
    </row>
    <row r="53" spans="2:48" ht="15" customHeight="1" x14ac:dyDescent="0.2">
      <c r="B53" s="40"/>
      <c r="C53" s="10"/>
      <c r="D53" s="91" t="s">
        <v>137</v>
      </c>
      <c r="E53" s="81"/>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0</v>
      </c>
      <c r="AH53" s="79" t="s">
        <v>80</v>
      </c>
      <c r="AI53" s="78">
        <f>(AG52-AG53)*60</f>
        <v>0</v>
      </c>
      <c r="AJ53" s="82" t="s">
        <v>81</v>
      </c>
      <c r="AK53" s="695"/>
      <c r="AL53" s="27"/>
      <c r="AM53" s="27"/>
      <c r="AN53" s="45"/>
      <c r="AO53" s="40"/>
      <c r="AP53" s="689"/>
      <c r="AQ53" s="690"/>
      <c r="AR53" s="690"/>
      <c r="AS53" s="690"/>
      <c r="AT53" s="690"/>
      <c r="AU53" s="691"/>
      <c r="AV53" s="41"/>
    </row>
    <row r="54" spans="2:48" ht="15" customHeight="1" x14ac:dyDescent="0.2">
      <c r="B54" s="40"/>
      <c r="C54" s="10"/>
      <c r="D54" s="124" t="s">
        <v>138</v>
      </c>
      <c r="E54" s="658">
        <f>MAX(G51,IF($V$11=$AM$11,$AF$11,HLOOKUP(H51,Rates,$AL$11,FALSE)))</f>
        <v>13.6</v>
      </c>
      <c r="F54" s="651"/>
      <c r="G54" s="651"/>
      <c r="H54" s="652"/>
      <c r="I54" s="650">
        <f>MAX(K51,IF($V$11=$AM$11,$AF$11,HLOOKUP(L51,Rates,$AL$11,FALSE)))</f>
        <v>13.6</v>
      </c>
      <c r="J54" s="651"/>
      <c r="K54" s="651"/>
      <c r="L54" s="652"/>
      <c r="M54" s="650">
        <f>MAX(O51,IF($V$11=$AM$11,$AF$11,HLOOKUP(P51,Rates,$AL$11,FALSE)))</f>
        <v>13.6</v>
      </c>
      <c r="N54" s="651"/>
      <c r="O54" s="651"/>
      <c r="P54" s="652"/>
      <c r="Q54" s="650">
        <f>MAX(S51,IF($V$11=$AM$11,$AF$11,HLOOKUP(T51,Rates,$AL$11,FALSE)))</f>
        <v>13.6</v>
      </c>
      <c r="R54" s="651"/>
      <c r="S54" s="651"/>
      <c r="T54" s="652"/>
      <c r="U54" s="650">
        <f>MAX(W51,IF($V$11=$AM$11,$AF$11,HLOOKUP(X51,Rates,$AL$11,FALSE)))</f>
        <v>13.6</v>
      </c>
      <c r="V54" s="651"/>
      <c r="W54" s="651"/>
      <c r="X54" s="652"/>
      <c r="Y54" s="650">
        <f>MAX(AA51,IF($V$11=$AM$11,$AF$11,HLOOKUP(AB51,Rates,$AL$11,FALSE)))</f>
        <v>13.6</v>
      </c>
      <c r="Z54" s="651"/>
      <c r="AA54" s="651"/>
      <c r="AB54" s="652"/>
      <c r="AC54" s="650">
        <f>MAX(AE51,IF($V$11=$AM$11,$AF$11,HLOOKUP(AF51,Rates,$AL$11,FALSE)))</f>
        <v>13.6</v>
      </c>
      <c r="AD54" s="651"/>
      <c r="AE54" s="651"/>
      <c r="AF54" s="666"/>
      <c r="AG54" s="663">
        <f>SUMPRODUCT(E54:AF54,E52:AF52)</f>
        <v>0</v>
      </c>
      <c r="AH54" s="664"/>
      <c r="AI54" s="664"/>
      <c r="AJ54" s="665"/>
      <c r="AK54" s="695"/>
      <c r="AL54" s="35">
        <f>AG54*IF($V$11="Demonstrator Rate",0.1711,0.1207)</f>
        <v>0</v>
      </c>
      <c r="AM54" s="27"/>
      <c r="AN54" s="45"/>
      <c r="AO54" s="40"/>
      <c r="AP54" s="689"/>
      <c r="AQ54" s="690"/>
      <c r="AR54" s="690"/>
      <c r="AS54" s="690"/>
      <c r="AT54" s="690"/>
      <c r="AU54" s="691"/>
      <c r="AV54" s="41"/>
    </row>
    <row r="55" spans="2:48" ht="12" hidden="1" customHeight="1" x14ac:dyDescent="0.2">
      <c r="B55" s="40"/>
      <c r="C55" s="10"/>
      <c r="D55" s="104" t="s">
        <v>139</v>
      </c>
      <c r="E55" s="116">
        <f>DATEDIF($E$5,E$50,"Y")</f>
        <v>23</v>
      </c>
      <c r="F55" s="97">
        <f>VLOOKUP(E55,Rates!$B:$C,2,1)</f>
        <v>5</v>
      </c>
      <c r="G55" s="102">
        <f>HLOOKUP(H55,Rates,F55,FALSE)</f>
        <v>8.91</v>
      </c>
      <c r="H55" s="99" t="str">
        <f>HLOOKUP(E$50,Rates!$1:$2,2,1)</f>
        <v>I</v>
      </c>
      <c r="I55" s="100">
        <f>DATEDIF($E$5,I$50,"Y")</f>
        <v>23</v>
      </c>
      <c r="J55" s="97">
        <f>VLOOKUP(I55,Rates!$B:$C,2,1)</f>
        <v>5</v>
      </c>
      <c r="K55" s="102">
        <f>HLOOKUP(L55,Rates,J55,FALSE)</f>
        <v>8.91</v>
      </c>
      <c r="L55" s="99" t="str">
        <f>HLOOKUP(I$50,Rates!$1:$2,2,1)</f>
        <v>I</v>
      </c>
      <c r="M55" s="100">
        <f>DATEDIF($E$5,M$50,"Y")</f>
        <v>23</v>
      </c>
      <c r="N55" s="97">
        <f>VLOOKUP(M55,Rates!$B:$C,2,1)</f>
        <v>5</v>
      </c>
      <c r="O55" s="102">
        <f>HLOOKUP(P55,Rates,N55,FALSE)</f>
        <v>8.91</v>
      </c>
      <c r="P55" s="99" t="str">
        <f>HLOOKUP(M$50,Rates!$1:$2,2,1)</f>
        <v>I</v>
      </c>
      <c r="Q55" s="100">
        <f>DATEDIF($E$5,Q$50,"Y")</f>
        <v>23</v>
      </c>
      <c r="R55" s="97">
        <f>VLOOKUP(Q55,Rates!$B:$C,2,1)</f>
        <v>5</v>
      </c>
      <c r="S55" s="102">
        <f>HLOOKUP(T55,Rates,R55,FALSE)</f>
        <v>8.91</v>
      </c>
      <c r="T55" s="99" t="str">
        <f>HLOOKUP(Q$50,Rates!$1:$2,2,1)</f>
        <v>I</v>
      </c>
      <c r="U55" s="100">
        <f>DATEDIF($E$5,U$50,"Y")</f>
        <v>23</v>
      </c>
      <c r="V55" s="97">
        <f>VLOOKUP(U55,Rates!$B:$C,2,1)</f>
        <v>5</v>
      </c>
      <c r="W55" s="102">
        <f>HLOOKUP(X55,Rates,V55,FALSE)</f>
        <v>8.91</v>
      </c>
      <c r="X55" s="99" t="str">
        <f>HLOOKUP(U$50,Rates!$1:$2,2,1)</f>
        <v>I</v>
      </c>
      <c r="Y55" s="100">
        <f>DATEDIF($E$5,Y$50,"Y")</f>
        <v>23</v>
      </c>
      <c r="Z55" s="97">
        <f>VLOOKUP(Y55,Rates!$B:$C,2,1)</f>
        <v>5</v>
      </c>
      <c r="AA55" s="102">
        <f>HLOOKUP(AB55,Rates,Z55,FALSE)</f>
        <v>8.91</v>
      </c>
      <c r="AB55" s="99" t="str">
        <f>HLOOKUP(Y$50,Rates!$1:$2,2,1)</f>
        <v>I</v>
      </c>
      <c r="AC55" s="100">
        <f>DATEDIF($E$5,AC$50,"Y")</f>
        <v>23</v>
      </c>
      <c r="AD55" s="97">
        <f>VLOOKUP(AC55,Rates!$B:$C,2,1)</f>
        <v>5</v>
      </c>
      <c r="AE55" s="102">
        <f>HLOOKUP(AF55,Rates,AD55,FALSE)</f>
        <v>8.91</v>
      </c>
      <c r="AF55" s="99" t="str">
        <f>HLOOKUP(AC$50,Rates!$1:$2,2,1)</f>
        <v>I</v>
      </c>
      <c r="AG55" s="659"/>
      <c r="AH55" s="660"/>
      <c r="AI55" s="660"/>
      <c r="AJ55" s="661"/>
      <c r="AK55" s="695"/>
      <c r="AL55" s="5"/>
      <c r="AM55" s="27"/>
      <c r="AN55" s="45"/>
      <c r="AO55" s="40"/>
      <c r="AP55" s="689"/>
      <c r="AQ55" s="690"/>
      <c r="AR55" s="690"/>
      <c r="AS55" s="690"/>
      <c r="AT55" s="690"/>
      <c r="AU55" s="691"/>
      <c r="AV55" s="41"/>
    </row>
    <row r="56" spans="2:48" ht="12" hidden="1" customHeight="1" x14ac:dyDescent="0.2">
      <c r="B56" s="40"/>
      <c r="C56" s="10"/>
      <c r="D56" s="104" t="s">
        <v>140</v>
      </c>
      <c r="E56" s="628">
        <f>E57+(G57/60)</f>
        <v>0</v>
      </c>
      <c r="F56" s="629"/>
      <c r="G56" s="629"/>
      <c r="H56" s="653"/>
      <c r="I56" s="629">
        <f t="shared" ref="I56" si="54">I57+(K57/60)</f>
        <v>0</v>
      </c>
      <c r="J56" s="629"/>
      <c r="K56" s="629"/>
      <c r="L56" s="653"/>
      <c r="M56" s="629">
        <f t="shared" ref="M56" si="55">M57+(O57/60)</f>
        <v>0</v>
      </c>
      <c r="N56" s="629"/>
      <c r="O56" s="629"/>
      <c r="P56" s="653"/>
      <c r="Q56" s="629">
        <f t="shared" ref="Q56" si="56">Q57+(S57/60)</f>
        <v>0</v>
      </c>
      <c r="R56" s="629"/>
      <c r="S56" s="629"/>
      <c r="T56" s="653"/>
      <c r="U56" s="629">
        <f t="shared" ref="U56" si="57">U57+(W57/60)</f>
        <v>0</v>
      </c>
      <c r="V56" s="629"/>
      <c r="W56" s="629"/>
      <c r="X56" s="653"/>
      <c r="Y56" s="629">
        <f t="shared" ref="Y56" si="58">Y57+(AA57/60)</f>
        <v>0</v>
      </c>
      <c r="Z56" s="629"/>
      <c r="AA56" s="629"/>
      <c r="AB56" s="653"/>
      <c r="AC56" s="629">
        <f t="shared" ref="AC56" si="59">AC57+(AE57/60)</f>
        <v>0</v>
      </c>
      <c r="AD56" s="629"/>
      <c r="AE56" s="629"/>
      <c r="AF56" s="653"/>
      <c r="AG56" s="628">
        <f>SUM(E56:AF56)</f>
        <v>0</v>
      </c>
      <c r="AH56" s="629"/>
      <c r="AI56" s="629"/>
      <c r="AJ56" s="630"/>
      <c r="AK56" s="695"/>
      <c r="AL56" s="5"/>
      <c r="AM56" s="27"/>
      <c r="AN56" s="45"/>
      <c r="AO56" s="40"/>
      <c r="AP56" s="689"/>
      <c r="AQ56" s="690"/>
      <c r="AR56" s="690"/>
      <c r="AS56" s="690"/>
      <c r="AT56" s="690"/>
      <c r="AU56" s="691"/>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95"/>
      <c r="AL57" s="27"/>
      <c r="AM57" s="27"/>
      <c r="AN57" s="45"/>
      <c r="AO57" s="40"/>
      <c r="AP57" s="689"/>
      <c r="AQ57" s="690"/>
      <c r="AR57" s="690"/>
      <c r="AS57" s="690"/>
      <c r="AT57" s="690"/>
      <c r="AU57" s="691"/>
      <c r="AV57" s="41"/>
    </row>
    <row r="58" spans="2:48" ht="15" hidden="1" customHeight="1" x14ac:dyDescent="0.2">
      <c r="B58" s="40"/>
      <c r="C58" s="10"/>
      <c r="D58" s="91" t="s">
        <v>142</v>
      </c>
      <c r="E58" s="678">
        <f>MAX(G55,IF($V$13=$AM$13,$AF$13,HLOOKUP(H55,Rates,$AL$13,FALSE)))</f>
        <v>8.91</v>
      </c>
      <c r="F58" s="676"/>
      <c r="G58" s="676"/>
      <c r="H58" s="677"/>
      <c r="I58" s="675">
        <f>MAX(K55,IF($V$13=$AM$13,$AF$13,HLOOKUP(L55,Rates,$AL$13,FALSE)))</f>
        <v>8.91</v>
      </c>
      <c r="J58" s="676"/>
      <c r="K58" s="676"/>
      <c r="L58" s="677"/>
      <c r="M58" s="675">
        <f>MAX(O55,IF($V$13=$AM$13,$AF$13,HLOOKUP(P55,Rates,$AL$13,FALSE)))</f>
        <v>8.91</v>
      </c>
      <c r="N58" s="676"/>
      <c r="O58" s="676"/>
      <c r="P58" s="677"/>
      <c r="Q58" s="675">
        <f>MAX(S55,IF($V$13=$AM$13,$AF$13,HLOOKUP(T55,Rates,$AL$13,FALSE)))</f>
        <v>8.91</v>
      </c>
      <c r="R58" s="676"/>
      <c r="S58" s="676"/>
      <c r="T58" s="677"/>
      <c r="U58" s="675">
        <f>MAX(W55,IF($V$13=$AM$13,$AF$13,HLOOKUP(X55,Rates,$AL$13,FALSE)))</f>
        <v>8.91</v>
      </c>
      <c r="V58" s="676"/>
      <c r="W58" s="676"/>
      <c r="X58" s="677"/>
      <c r="Y58" s="675">
        <f>MAX(AA55,IF($V$13=$AM$13,$AF$13,HLOOKUP(AB55,Rates,$AL$13,FALSE)))</f>
        <v>8.91</v>
      </c>
      <c r="Z58" s="676"/>
      <c r="AA58" s="676"/>
      <c r="AB58" s="677"/>
      <c r="AC58" s="675">
        <f>MAX(AE55,IF($V$13=$AM$13,$AF$13,HLOOKUP(AF55,Rates,$AL$13,FALSE)))</f>
        <v>8.91</v>
      </c>
      <c r="AD58" s="676"/>
      <c r="AE58" s="676"/>
      <c r="AF58" s="682"/>
      <c r="AG58" s="663">
        <f>SUMPRODUCT(E58:AF58,E56:AF56)</f>
        <v>0</v>
      </c>
      <c r="AH58" s="664"/>
      <c r="AI58" s="664"/>
      <c r="AJ58" s="665"/>
      <c r="AK58" s="695"/>
      <c r="AL58" s="35">
        <f>AG58*IF($V$13="Demonstrator Rate",0.1711,0.1207)</f>
        <v>0</v>
      </c>
      <c r="AM58" s="27"/>
      <c r="AN58" s="45"/>
      <c r="AO58" s="40"/>
      <c r="AP58" s="689"/>
      <c r="AQ58" s="690"/>
      <c r="AR58" s="690"/>
      <c r="AS58" s="690"/>
      <c r="AT58" s="690"/>
      <c r="AU58" s="691"/>
      <c r="AV58" s="41"/>
    </row>
    <row r="59" spans="2:48" ht="12" hidden="1" customHeight="1" x14ac:dyDescent="0.2">
      <c r="B59" s="40"/>
      <c r="C59" s="10"/>
      <c r="D59" s="125" t="s">
        <v>143</v>
      </c>
      <c r="E59" s="126">
        <f>DATEDIF($E$5,E$50,"Y")</f>
        <v>23</v>
      </c>
      <c r="F59" s="97">
        <f>VLOOKUP(E59,Rates!$B:$C,2,1)</f>
        <v>5</v>
      </c>
      <c r="G59" s="127">
        <f>HLOOKUP(H59,Rates,F59,FALSE)</f>
        <v>8.91</v>
      </c>
      <c r="H59" s="99" t="str">
        <f>HLOOKUP(E$50,Rates!$1:$2,2,1)</f>
        <v>I</v>
      </c>
      <c r="I59" s="128">
        <f>DATEDIF($E$5,I$50,"Y")</f>
        <v>23</v>
      </c>
      <c r="J59" s="97">
        <f>VLOOKUP(I59,Rates!$B:$C,2,1)</f>
        <v>5</v>
      </c>
      <c r="K59" s="127">
        <f>HLOOKUP(L59,Rates,J59,FALSE)</f>
        <v>8.91</v>
      </c>
      <c r="L59" s="99" t="str">
        <f>HLOOKUP(I$50,Rates!$1:$2,2,1)</f>
        <v>I</v>
      </c>
      <c r="M59" s="128">
        <f>DATEDIF($E$5,M$50,"Y")</f>
        <v>23</v>
      </c>
      <c r="N59" s="97">
        <f>VLOOKUP(M59,Rates!$B:$C,2,1)</f>
        <v>5</v>
      </c>
      <c r="O59" s="127">
        <f>HLOOKUP(P59,Rates,N59,FALSE)</f>
        <v>8.91</v>
      </c>
      <c r="P59" s="99" t="str">
        <f>HLOOKUP(M$50,Rates!$1:$2,2,1)</f>
        <v>I</v>
      </c>
      <c r="Q59" s="128">
        <f>DATEDIF($E$5,Q$50,"Y")</f>
        <v>23</v>
      </c>
      <c r="R59" s="97">
        <f>VLOOKUP(Q59,Rates!$B:$C,2,1)</f>
        <v>5</v>
      </c>
      <c r="S59" s="127">
        <f>HLOOKUP(T59,Rates,R59,FALSE)</f>
        <v>8.91</v>
      </c>
      <c r="T59" s="99" t="str">
        <f>HLOOKUP(Q$50,Rates!$1:$2,2,1)</f>
        <v>I</v>
      </c>
      <c r="U59" s="128">
        <f>DATEDIF($E$5,U$50,"Y")</f>
        <v>23</v>
      </c>
      <c r="V59" s="97">
        <f>VLOOKUP(U59,Rates!$B:$C,2,1)</f>
        <v>5</v>
      </c>
      <c r="W59" s="127">
        <f>HLOOKUP(X59,Rates,V59,FALSE)</f>
        <v>8.91</v>
      </c>
      <c r="X59" s="99" t="str">
        <f>HLOOKUP(U$50,Rates!$1:$2,2,1)</f>
        <v>I</v>
      </c>
      <c r="Y59" s="128">
        <f>DATEDIF($E$5,Y$50,"Y")</f>
        <v>23</v>
      </c>
      <c r="Z59" s="97">
        <f>VLOOKUP(Y59,Rates!$B:$C,2,1)</f>
        <v>5</v>
      </c>
      <c r="AA59" s="127">
        <f>HLOOKUP(AB59,Rates,Z59,FALSE)</f>
        <v>8.91</v>
      </c>
      <c r="AB59" s="99" t="str">
        <f>HLOOKUP(Y$50,Rates!$1:$2,2,1)</f>
        <v>I</v>
      </c>
      <c r="AC59" s="128">
        <f>DATEDIF($E$5,AC$50,"Y")</f>
        <v>23</v>
      </c>
      <c r="AD59" s="97">
        <f>VLOOKUP(AC59,Rates!$B:$C,2,1)</f>
        <v>5</v>
      </c>
      <c r="AE59" s="127">
        <f>HLOOKUP(AF59,Rates,AD59,FALSE)</f>
        <v>8.91</v>
      </c>
      <c r="AF59" s="99" t="str">
        <f>HLOOKUP(AC$50,Rates!$1:$2,2,1)</f>
        <v>I</v>
      </c>
      <c r="AG59" s="659"/>
      <c r="AH59" s="660"/>
      <c r="AI59" s="660"/>
      <c r="AJ59" s="661"/>
      <c r="AK59" s="695"/>
      <c r="AL59" s="5"/>
      <c r="AM59" s="27"/>
      <c r="AN59" s="45"/>
      <c r="AO59" s="40"/>
      <c r="AP59" s="689"/>
      <c r="AQ59" s="690"/>
      <c r="AR59" s="690"/>
      <c r="AS59" s="690"/>
      <c r="AT59" s="690"/>
      <c r="AU59" s="691"/>
      <c r="AV59" s="41"/>
    </row>
    <row r="60" spans="2:48" ht="12" hidden="1" customHeight="1" x14ac:dyDescent="0.2">
      <c r="B60" s="40"/>
      <c r="C60" s="10"/>
      <c r="D60" s="104" t="s">
        <v>144</v>
      </c>
      <c r="E60" s="628">
        <f>E61+(G61/60)</f>
        <v>0</v>
      </c>
      <c r="F60" s="629"/>
      <c r="G60" s="629"/>
      <c r="H60" s="653"/>
      <c r="I60" s="629">
        <f t="shared" ref="I60" si="60">I61+(K61/60)</f>
        <v>0</v>
      </c>
      <c r="J60" s="629"/>
      <c r="K60" s="629"/>
      <c r="L60" s="653"/>
      <c r="M60" s="629">
        <f t="shared" ref="M60" si="61">M61+(O61/60)</f>
        <v>0</v>
      </c>
      <c r="N60" s="629"/>
      <c r="O60" s="629"/>
      <c r="P60" s="653"/>
      <c r="Q60" s="629">
        <f t="shared" ref="Q60" si="62">Q61+(S61/60)</f>
        <v>0</v>
      </c>
      <c r="R60" s="629"/>
      <c r="S60" s="629"/>
      <c r="T60" s="653"/>
      <c r="U60" s="629">
        <f t="shared" ref="U60" si="63">U61+(W61/60)</f>
        <v>0</v>
      </c>
      <c r="V60" s="629"/>
      <c r="W60" s="629"/>
      <c r="X60" s="653"/>
      <c r="Y60" s="629">
        <f t="shared" ref="Y60" si="64">Y61+(AA61/60)</f>
        <v>0</v>
      </c>
      <c r="Z60" s="629"/>
      <c r="AA60" s="629"/>
      <c r="AB60" s="653"/>
      <c r="AC60" s="629">
        <f t="shared" ref="AC60" si="65">AC61+(AE61/60)</f>
        <v>0</v>
      </c>
      <c r="AD60" s="629"/>
      <c r="AE60" s="629"/>
      <c r="AF60" s="653"/>
      <c r="AG60" s="628">
        <f>SUM(E60:AF60)</f>
        <v>0</v>
      </c>
      <c r="AH60" s="629"/>
      <c r="AI60" s="629"/>
      <c r="AJ60" s="630"/>
      <c r="AK60" s="695"/>
      <c r="AL60" s="5"/>
      <c r="AM60" s="27"/>
      <c r="AN60" s="45"/>
      <c r="AO60" s="40"/>
      <c r="AP60" s="689"/>
      <c r="AQ60" s="690"/>
      <c r="AR60" s="690"/>
      <c r="AS60" s="690"/>
      <c r="AT60" s="690"/>
      <c r="AU60" s="691"/>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95"/>
      <c r="AL61" s="27"/>
      <c r="AM61" s="27"/>
      <c r="AN61" s="45"/>
      <c r="AO61" s="40"/>
      <c r="AP61" s="689"/>
      <c r="AQ61" s="690"/>
      <c r="AR61" s="690"/>
      <c r="AS61" s="690"/>
      <c r="AT61" s="690"/>
      <c r="AU61" s="691"/>
      <c r="AV61" s="41"/>
    </row>
    <row r="62" spans="2:48" ht="15" hidden="1" customHeight="1" x14ac:dyDescent="0.2">
      <c r="B62" s="40"/>
      <c r="C62" s="10"/>
      <c r="D62" s="124" t="s">
        <v>146</v>
      </c>
      <c r="E62" s="658">
        <f>MAX(G59,IF($V$15=$AM$15,$AF$15,HLOOKUP(H59,Rates,$AL$15,FALSE)))</f>
        <v>8.91</v>
      </c>
      <c r="F62" s="651"/>
      <c r="G62" s="651"/>
      <c r="H62" s="652"/>
      <c r="I62" s="650">
        <f>MAX(K59,IF($V$15=$AM$15,$AF$15,HLOOKUP(L59,Rates,$AL$15,FALSE)))</f>
        <v>8.91</v>
      </c>
      <c r="J62" s="651"/>
      <c r="K62" s="651"/>
      <c r="L62" s="652"/>
      <c r="M62" s="650">
        <f>MAX(O59,IF($V$15=$AM$15,$AF$15,HLOOKUP(P59,Rates,$AL$15,FALSE)))</f>
        <v>8.91</v>
      </c>
      <c r="N62" s="651"/>
      <c r="O62" s="651"/>
      <c r="P62" s="652"/>
      <c r="Q62" s="650">
        <f>MAX(S59,IF($V$15=$AM$15,$AF$15,HLOOKUP(T59,Rates,$AL$15,FALSE)))</f>
        <v>8.91</v>
      </c>
      <c r="R62" s="651"/>
      <c r="S62" s="651"/>
      <c r="T62" s="652"/>
      <c r="U62" s="650">
        <f>MAX(W59,IF($V$15=$AM$15,$AF$15,HLOOKUP(X59,Rates,$AL$15,FALSE)))</f>
        <v>8.91</v>
      </c>
      <c r="V62" s="651"/>
      <c r="W62" s="651"/>
      <c r="X62" s="652"/>
      <c r="Y62" s="650">
        <f>MAX(AA59,IF($V$15=$AM$15,$AF$15,HLOOKUP(AB59,Rates,$AL$15,FALSE)))</f>
        <v>8.91</v>
      </c>
      <c r="Z62" s="651"/>
      <c r="AA62" s="651"/>
      <c r="AB62" s="652"/>
      <c r="AC62" s="650">
        <f>MAX(AE59,IF($V$15=$AM$15,$AF$15,HLOOKUP(AF59,Rates,$AL$15,FALSE)))</f>
        <v>8.91</v>
      </c>
      <c r="AD62" s="651"/>
      <c r="AE62" s="651"/>
      <c r="AF62" s="666"/>
      <c r="AG62" s="663">
        <f>SUMPRODUCT(E62:AF62,E60:AF60)</f>
        <v>0</v>
      </c>
      <c r="AH62" s="664"/>
      <c r="AI62" s="664"/>
      <c r="AJ62" s="665"/>
      <c r="AK62" s="695"/>
      <c r="AL62" s="35">
        <f>AG62*IF($V$15="Demonstrator Rate",0.1711,0.1207)</f>
        <v>0</v>
      </c>
      <c r="AM62" s="27"/>
      <c r="AN62" s="45"/>
      <c r="AO62" s="40"/>
      <c r="AP62" s="689"/>
      <c r="AQ62" s="690"/>
      <c r="AR62" s="690"/>
      <c r="AS62" s="690"/>
      <c r="AT62" s="690"/>
      <c r="AU62" s="691"/>
      <c r="AV62" s="41"/>
    </row>
    <row r="63" spans="2:48" ht="12" hidden="1" customHeight="1" x14ac:dyDescent="0.2">
      <c r="B63" s="40"/>
      <c r="C63" s="10"/>
      <c r="D63" s="193" t="s">
        <v>147</v>
      </c>
      <c r="E63" s="716">
        <f>((E53+(G53/60))*E54)+((E57+(G57/60))*E58)+((E61+(G61/60))*E62)</f>
        <v>0</v>
      </c>
      <c r="F63" s="673"/>
      <c r="G63" s="673"/>
      <c r="H63" s="674"/>
      <c r="I63" s="672">
        <f>((I53+(K53/60))*I54)+((I57+(K57/60))*I58)+((I61+(K61/60))*I62)</f>
        <v>0</v>
      </c>
      <c r="J63" s="673"/>
      <c r="K63" s="673"/>
      <c r="L63" s="674"/>
      <c r="M63" s="672">
        <f>((M53+(O53/60))*M54)+((M57+(O57/60))*M58)+((M61+(O61/60))*M62)</f>
        <v>0</v>
      </c>
      <c r="N63" s="673"/>
      <c r="O63" s="673"/>
      <c r="P63" s="674"/>
      <c r="Q63" s="672">
        <f>((Q53+(S53/60))*Q54)+((Q57+(S57/60))*Q58)+((Q61+(S61/60))*Q62)</f>
        <v>0</v>
      </c>
      <c r="R63" s="673"/>
      <c r="S63" s="673"/>
      <c r="T63" s="674"/>
      <c r="U63" s="672">
        <f>((U53+(W53/60))*U54)+((U57+(W57/60))*U58)+((U61+(W61/60))*U62)</f>
        <v>0</v>
      </c>
      <c r="V63" s="673"/>
      <c r="W63" s="673"/>
      <c r="X63" s="674"/>
      <c r="Y63" s="672">
        <f>((Y53+(AA53/60))*Y54)+((Y57+(AA57/60))*Y58)+((Y61+(AA61/60))*Y62)</f>
        <v>0</v>
      </c>
      <c r="Z63" s="673"/>
      <c r="AA63" s="673"/>
      <c r="AB63" s="674"/>
      <c r="AC63" s="672">
        <f>((AC53+(AE53/60))*AC54)+((AC57+(AE57/60))*AC58)+((AC61+(AE61/60))*AC62)</f>
        <v>0</v>
      </c>
      <c r="AD63" s="673"/>
      <c r="AE63" s="673"/>
      <c r="AF63" s="684"/>
      <c r="AG63" s="634">
        <f>AG62+AG58+AG54</f>
        <v>0</v>
      </c>
      <c r="AH63" s="635"/>
      <c r="AI63" s="635"/>
      <c r="AJ63" s="636"/>
      <c r="AK63" s="695"/>
      <c r="AL63" s="28">
        <f>AG52+AG56+AG60+AG64</f>
        <v>0</v>
      </c>
      <c r="AM63" s="27" t="str">
        <f>IF(AND(AL63&gt;0,AE7="Yes",OR(E65="",G65="",I65="",K65="",M65="",O65="",Q65="",S65="",U65="",W65="",Y65="",AA65="",AC65="",AE65="")),"FALSE","TRUE")</f>
        <v>TRUE</v>
      </c>
      <c r="AN63" s="45"/>
      <c r="AO63" s="40"/>
      <c r="AP63" s="689"/>
      <c r="AQ63" s="690"/>
      <c r="AR63" s="690"/>
      <c r="AS63" s="690"/>
      <c r="AT63" s="690"/>
      <c r="AU63" s="691"/>
      <c r="AV63" s="41"/>
    </row>
    <row r="64" spans="2:48" ht="12" hidden="1" customHeight="1" x14ac:dyDescent="0.2">
      <c r="B64" s="40"/>
      <c r="C64" s="10"/>
      <c r="D64" s="104" t="s">
        <v>148</v>
      </c>
      <c r="E64" s="631">
        <f>E65+(G65/60)</f>
        <v>0</v>
      </c>
      <c r="F64" s="632"/>
      <c r="G64" s="632"/>
      <c r="H64" s="654"/>
      <c r="I64" s="632">
        <f t="shared" ref="I64" si="66">I65+(K65/60)</f>
        <v>0</v>
      </c>
      <c r="J64" s="632"/>
      <c r="K64" s="632"/>
      <c r="L64" s="654"/>
      <c r="M64" s="632">
        <f t="shared" ref="M64" si="67">M65+(O65/60)</f>
        <v>0</v>
      </c>
      <c r="N64" s="632"/>
      <c r="O64" s="632"/>
      <c r="P64" s="654"/>
      <c r="Q64" s="632">
        <f t="shared" ref="Q64" si="68">Q65+(S65/60)</f>
        <v>0</v>
      </c>
      <c r="R64" s="632"/>
      <c r="S64" s="632"/>
      <c r="T64" s="654"/>
      <c r="U64" s="632">
        <f t="shared" ref="U64" si="69">U65+(W65/60)</f>
        <v>0</v>
      </c>
      <c r="V64" s="632"/>
      <c r="W64" s="632"/>
      <c r="X64" s="654"/>
      <c r="Y64" s="632">
        <f t="shared" ref="Y64" si="70">Y65+(AA65/60)</f>
        <v>0</v>
      </c>
      <c r="Z64" s="632"/>
      <c r="AA64" s="632"/>
      <c r="AB64" s="654"/>
      <c r="AC64" s="632">
        <f t="shared" ref="AC64" si="71">AC65+(AE65/60)</f>
        <v>0</v>
      </c>
      <c r="AD64" s="632"/>
      <c r="AE64" s="632"/>
      <c r="AF64" s="654"/>
      <c r="AG64" s="631">
        <f>SUM(E64:AF64)</f>
        <v>0</v>
      </c>
      <c r="AH64" s="632"/>
      <c r="AI64" s="632"/>
      <c r="AJ64" s="633"/>
      <c r="AK64" s="695"/>
      <c r="AL64" s="28"/>
      <c r="AM64" s="27"/>
      <c r="AN64" s="45"/>
      <c r="AO64" s="40"/>
      <c r="AP64" s="689"/>
      <c r="AQ64" s="690"/>
      <c r="AR64" s="690"/>
      <c r="AS64" s="690"/>
      <c r="AT64" s="690"/>
      <c r="AU64" s="691"/>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95"/>
      <c r="AL65" s="27"/>
      <c r="AM65" s="27"/>
      <c r="AN65" s="45"/>
      <c r="AO65" s="40"/>
      <c r="AP65" s="689"/>
      <c r="AQ65" s="690"/>
      <c r="AR65" s="690"/>
      <c r="AS65" s="690"/>
      <c r="AT65" s="690"/>
      <c r="AU65" s="691"/>
      <c r="AV65" s="41"/>
    </row>
    <row r="66" spans="2:48" ht="13.5" customHeight="1" x14ac:dyDescent="0.2">
      <c r="B66" s="40"/>
      <c r="C66" s="10">
        <f>C50+7</f>
        <v>44522</v>
      </c>
      <c r="D66" s="152" t="s">
        <v>133</v>
      </c>
      <c r="E66" s="745">
        <f>IF(ISNA(C66),"",C66)</f>
        <v>44522</v>
      </c>
      <c r="F66" s="680"/>
      <c r="G66" s="680"/>
      <c r="H66" s="681"/>
      <c r="I66" s="679">
        <f>IF(ISNA(C66),"",E66+1)</f>
        <v>44523</v>
      </c>
      <c r="J66" s="680"/>
      <c r="K66" s="680"/>
      <c r="L66" s="681"/>
      <c r="M66" s="679">
        <f>IF(ISNA(C66),"",I66+1)</f>
        <v>44524</v>
      </c>
      <c r="N66" s="680"/>
      <c r="O66" s="680"/>
      <c r="P66" s="681"/>
      <c r="Q66" s="679">
        <f>IF(ISNA(C66),"",M66+1)</f>
        <v>44525</v>
      </c>
      <c r="R66" s="680"/>
      <c r="S66" s="680"/>
      <c r="T66" s="681"/>
      <c r="U66" s="679">
        <f>IF(ISNA(C66),"",Q66+1)</f>
        <v>44526</v>
      </c>
      <c r="V66" s="680"/>
      <c r="W66" s="680"/>
      <c r="X66" s="681"/>
      <c r="Y66" s="679">
        <f>IF(ISNA(C66),"",U66+1)</f>
        <v>44527</v>
      </c>
      <c r="Z66" s="680"/>
      <c r="AA66" s="680"/>
      <c r="AB66" s="681"/>
      <c r="AC66" s="679">
        <f>IF(ISNA(C66),"",Y66+1)</f>
        <v>44528</v>
      </c>
      <c r="AD66" s="680"/>
      <c r="AE66" s="680"/>
      <c r="AF66" s="683"/>
      <c r="AG66" s="696" t="str">
        <f>IF(AE7="Yes",VLOOKUP(C66,TermTime,2,FALSE),"Week Total")</f>
        <v>Week Total</v>
      </c>
      <c r="AH66" s="697"/>
      <c r="AI66" s="697"/>
      <c r="AJ66" s="698"/>
      <c r="AK66" s="695" t="str">
        <f>IF(OR(AL79&gt;36,AM79="FALSE",AND(AL79&gt;20,AE7="Yes")),"WARNING","")</f>
        <v/>
      </c>
      <c r="AL66" s="27"/>
      <c r="AM66" s="27"/>
      <c r="AN66" s="45"/>
      <c r="AO66" s="40"/>
      <c r="AP66" s="689"/>
      <c r="AQ66" s="690"/>
      <c r="AR66" s="690"/>
      <c r="AS66" s="690"/>
      <c r="AT66" s="690"/>
      <c r="AU66" s="691"/>
      <c r="AV66" s="41"/>
    </row>
    <row r="67" spans="2:48" ht="13.5" hidden="1" customHeight="1" x14ac:dyDescent="0.2">
      <c r="B67" s="40"/>
      <c r="C67" s="10"/>
      <c r="D67" s="104" t="s">
        <v>135</v>
      </c>
      <c r="E67" s="116">
        <f>DATEDIF($E$5,E$66,"Y")</f>
        <v>23</v>
      </c>
      <c r="F67" s="97">
        <f>VLOOKUP(E67,Rates!$B:$C,2,1)</f>
        <v>5</v>
      </c>
      <c r="G67" s="102">
        <f>HLOOKUP(H67,Rates,F67,FALSE)</f>
        <v>8.91</v>
      </c>
      <c r="H67" s="99" t="str">
        <f>HLOOKUP(E$66,Rates!$1:$2,2,1)</f>
        <v>I</v>
      </c>
      <c r="I67" s="100">
        <f>DATEDIF($E$5,I$66,"Y")</f>
        <v>23</v>
      </c>
      <c r="J67" s="97">
        <f>VLOOKUP(I67,Rates!$B:$C,2,1)</f>
        <v>5</v>
      </c>
      <c r="K67" s="102">
        <f>HLOOKUP(L67,Rates,J67,FALSE)</f>
        <v>8.91</v>
      </c>
      <c r="L67" s="99" t="str">
        <f>HLOOKUP(I$66,Rates!$1:$2,2,1)</f>
        <v>I</v>
      </c>
      <c r="M67" s="100">
        <f>DATEDIF($E$5,M$66,"Y")</f>
        <v>23</v>
      </c>
      <c r="N67" s="97">
        <f>VLOOKUP(M67,Rates!$B:$C,2,1)</f>
        <v>5</v>
      </c>
      <c r="O67" s="102">
        <f>HLOOKUP(P67,Rates,N67,FALSE)</f>
        <v>8.91</v>
      </c>
      <c r="P67" s="99" t="str">
        <f>HLOOKUP(M$66,Rates!$1:$2,2,1)</f>
        <v>I</v>
      </c>
      <c r="Q67" s="100">
        <f>DATEDIF($E$5,Q$66,"Y")</f>
        <v>23</v>
      </c>
      <c r="R67" s="97">
        <f>VLOOKUP(Q67,Rates!$B:$C,2,1)</f>
        <v>5</v>
      </c>
      <c r="S67" s="102">
        <f>HLOOKUP(T67,Rates,R67,FALSE)</f>
        <v>8.91</v>
      </c>
      <c r="T67" s="99" t="str">
        <f>HLOOKUP(Q$66,Rates!$1:$2,2,1)</f>
        <v>I</v>
      </c>
      <c r="U67" s="100">
        <f>DATEDIF($E$5,U$66,"Y")</f>
        <v>23</v>
      </c>
      <c r="V67" s="97">
        <f>VLOOKUP(U67,Rates!$B:$C,2,1)</f>
        <v>5</v>
      </c>
      <c r="W67" s="102">
        <f>HLOOKUP(X67,Rates,V67,FALSE)</f>
        <v>8.91</v>
      </c>
      <c r="X67" s="99" t="str">
        <f>HLOOKUP(U$66,Rates!$1:$2,2,1)</f>
        <v>I</v>
      </c>
      <c r="Y67" s="100">
        <f>DATEDIF($E$5,Y$66,"Y")</f>
        <v>23</v>
      </c>
      <c r="Z67" s="97">
        <f>VLOOKUP(Y67,Rates!$B:$C,2,1)</f>
        <v>5</v>
      </c>
      <c r="AA67" s="102">
        <f>HLOOKUP(AB67,Rates,Z67,FALSE)</f>
        <v>8.91</v>
      </c>
      <c r="AB67" s="103" t="str">
        <f>HLOOKUP(U$66,Rates!$1:$2,2,1)</f>
        <v>I</v>
      </c>
      <c r="AC67" s="100">
        <f>DATEDIF($E$5,AC$66,"Y")</f>
        <v>23</v>
      </c>
      <c r="AD67" s="97">
        <f>VLOOKUP(AC67,Rates!$B:$C,2,1)</f>
        <v>5</v>
      </c>
      <c r="AE67" s="102">
        <f>HLOOKUP(AF67,Rates,AD67,FALSE)</f>
        <v>8.91</v>
      </c>
      <c r="AF67" s="99" t="str">
        <f>HLOOKUP(AC$66,Rates!$1:$2,2,1)</f>
        <v>I</v>
      </c>
      <c r="AG67" s="659"/>
      <c r="AH67" s="660"/>
      <c r="AI67" s="660"/>
      <c r="AJ67" s="661"/>
      <c r="AK67" s="695"/>
      <c r="AL67" s="27"/>
      <c r="AM67" s="27"/>
      <c r="AN67" s="45"/>
      <c r="AO67" s="40"/>
      <c r="AP67" s="689"/>
      <c r="AQ67" s="690"/>
      <c r="AR67" s="690"/>
      <c r="AS67" s="690"/>
      <c r="AT67" s="690"/>
      <c r="AU67" s="691"/>
      <c r="AV67" s="41"/>
    </row>
    <row r="68" spans="2:48" ht="13.5" hidden="1" customHeight="1" x14ac:dyDescent="0.2">
      <c r="B68" s="40"/>
      <c r="C68" s="10"/>
      <c r="D68" s="104" t="s">
        <v>136</v>
      </c>
      <c r="E68" s="628">
        <f>E69+(G69/60)</f>
        <v>0</v>
      </c>
      <c r="F68" s="629"/>
      <c r="G68" s="629"/>
      <c r="H68" s="653"/>
      <c r="I68" s="629">
        <f t="shared" ref="I68" si="72">I69+(K69/60)</f>
        <v>0</v>
      </c>
      <c r="J68" s="629"/>
      <c r="K68" s="629"/>
      <c r="L68" s="653"/>
      <c r="M68" s="629">
        <f t="shared" ref="M68" si="73">M69+(O69/60)</f>
        <v>0</v>
      </c>
      <c r="N68" s="629"/>
      <c r="O68" s="629"/>
      <c r="P68" s="653"/>
      <c r="Q68" s="629">
        <f t="shared" ref="Q68" si="74">Q69+(S69/60)</f>
        <v>0</v>
      </c>
      <c r="R68" s="629"/>
      <c r="S68" s="629"/>
      <c r="T68" s="653"/>
      <c r="U68" s="629">
        <f t="shared" ref="U68" si="75">U69+(W69/60)</f>
        <v>0</v>
      </c>
      <c r="V68" s="629"/>
      <c r="W68" s="629"/>
      <c r="X68" s="653"/>
      <c r="Y68" s="629">
        <f t="shared" ref="Y68" si="76">Y69+(AA69/60)</f>
        <v>0</v>
      </c>
      <c r="Z68" s="629"/>
      <c r="AA68" s="629"/>
      <c r="AB68" s="653"/>
      <c r="AC68" s="629">
        <f t="shared" ref="AC68" si="77">AC69+(AE69/60)</f>
        <v>0</v>
      </c>
      <c r="AD68" s="629"/>
      <c r="AE68" s="629"/>
      <c r="AF68" s="653"/>
      <c r="AG68" s="628">
        <f>SUM(E68:AF68)</f>
        <v>0</v>
      </c>
      <c r="AH68" s="629"/>
      <c r="AI68" s="629"/>
      <c r="AJ68" s="630"/>
      <c r="AK68" s="695"/>
      <c r="AL68" s="27"/>
      <c r="AM68" s="27"/>
      <c r="AN68" s="45"/>
      <c r="AO68" s="40"/>
      <c r="AP68" s="689"/>
      <c r="AQ68" s="690"/>
      <c r="AR68" s="690"/>
      <c r="AS68" s="690"/>
      <c r="AT68" s="690"/>
      <c r="AU68" s="691"/>
      <c r="AV68" s="41"/>
    </row>
    <row r="69" spans="2:48" x14ac:dyDescent="0.2">
      <c r="B69" s="40"/>
      <c r="C69" s="10"/>
      <c r="D69" s="91" t="s">
        <v>137</v>
      </c>
      <c r="E69" s="81"/>
      <c r="F69" s="77" t="s">
        <v>80</v>
      </c>
      <c r="G69" s="76"/>
      <c r="H69" s="95" t="s">
        <v>81</v>
      </c>
      <c r="I69" s="93"/>
      <c r="J69" s="77" t="s">
        <v>80</v>
      </c>
      <c r="K69" s="76"/>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0</v>
      </c>
      <c r="AH69" s="79" t="s">
        <v>80</v>
      </c>
      <c r="AI69" s="78">
        <f>(AG68-AG69)*60</f>
        <v>0</v>
      </c>
      <c r="AJ69" s="82" t="s">
        <v>81</v>
      </c>
      <c r="AK69" s="695"/>
      <c r="AL69" s="27"/>
      <c r="AM69" s="27"/>
      <c r="AN69" s="45"/>
      <c r="AO69" s="40"/>
      <c r="AP69" s="689"/>
      <c r="AQ69" s="690"/>
      <c r="AR69" s="690"/>
      <c r="AS69" s="690"/>
      <c r="AT69" s="690"/>
      <c r="AU69" s="691"/>
      <c r="AV69" s="41"/>
    </row>
    <row r="70" spans="2:48" ht="17.25" customHeight="1" x14ac:dyDescent="0.2">
      <c r="B70" s="40"/>
      <c r="C70" s="10"/>
      <c r="D70" s="124" t="s">
        <v>138</v>
      </c>
      <c r="E70" s="658">
        <f>MAX(G67,IF($V$11=$AM$11,$AF$11,HLOOKUP(H67,Rates,$AL$11,FALSE)))</f>
        <v>13.6</v>
      </c>
      <c r="F70" s="651"/>
      <c r="G70" s="651"/>
      <c r="H70" s="652"/>
      <c r="I70" s="650">
        <f>MAX(K67,IF($V$11=$AM$11,$AF$11,HLOOKUP(L67,Rates,$AL$11,FALSE)))</f>
        <v>13.6</v>
      </c>
      <c r="J70" s="651"/>
      <c r="K70" s="651"/>
      <c r="L70" s="652"/>
      <c r="M70" s="650">
        <f>MAX(O67,IF($V$11=$AM$11,$AF$11,HLOOKUP(P67,Rates,$AL$11,FALSE)))</f>
        <v>13.6</v>
      </c>
      <c r="N70" s="651"/>
      <c r="O70" s="651"/>
      <c r="P70" s="652"/>
      <c r="Q70" s="650">
        <f>MAX(S67,IF($V$11=$AM$11,$AF$11,HLOOKUP(T67,Rates,$AL$11,FALSE)))</f>
        <v>13.6</v>
      </c>
      <c r="R70" s="651"/>
      <c r="S70" s="651"/>
      <c r="T70" s="652"/>
      <c r="U70" s="650">
        <f>MAX(W67,IF($V$11=$AM$11,$AF$11,HLOOKUP(X67,Rates,$AL$11,FALSE)))</f>
        <v>13.6</v>
      </c>
      <c r="V70" s="651"/>
      <c r="W70" s="651"/>
      <c r="X70" s="652"/>
      <c r="Y70" s="650">
        <f>MAX(AA67,IF($V$11=$AM$11,$AF$11,HLOOKUP(AB67,Rates,$AL$11,FALSE)))</f>
        <v>13.6</v>
      </c>
      <c r="Z70" s="651"/>
      <c r="AA70" s="651"/>
      <c r="AB70" s="652"/>
      <c r="AC70" s="650">
        <f>MAX(AE67,IF($V$11=$AM$11,$AF$11,HLOOKUP(AF67,Rates,$AL$11,FALSE)))</f>
        <v>13.6</v>
      </c>
      <c r="AD70" s="651"/>
      <c r="AE70" s="651"/>
      <c r="AF70" s="666"/>
      <c r="AG70" s="663">
        <f>SUMPRODUCT(E70:AF70,E68:AF68)</f>
        <v>0</v>
      </c>
      <c r="AH70" s="664"/>
      <c r="AI70" s="664"/>
      <c r="AJ70" s="665"/>
      <c r="AK70" s="695"/>
      <c r="AL70" s="35">
        <f>AG70*IF($V$11="Demonstrator Rate",0.1711,0.1207)</f>
        <v>0</v>
      </c>
      <c r="AM70" s="27"/>
      <c r="AN70" s="45"/>
      <c r="AO70" s="40"/>
      <c r="AP70" s="689"/>
      <c r="AQ70" s="690"/>
      <c r="AR70" s="690"/>
      <c r="AS70" s="690"/>
      <c r="AT70" s="690"/>
      <c r="AU70" s="691"/>
      <c r="AV70" s="41"/>
    </row>
    <row r="71" spans="2:48" ht="17.25" hidden="1" customHeight="1" x14ac:dyDescent="0.2">
      <c r="B71" s="40"/>
      <c r="C71" s="10"/>
      <c r="D71" s="104" t="s">
        <v>139</v>
      </c>
      <c r="E71" s="116">
        <f>DATEDIF($E$5,E$66,"Y")</f>
        <v>23</v>
      </c>
      <c r="F71" s="97">
        <f>VLOOKUP(E71,Rates!$B:$C,2,1)</f>
        <v>5</v>
      </c>
      <c r="G71" s="102">
        <f>HLOOKUP(H71,Rates,F71,FALSE)</f>
        <v>8.91</v>
      </c>
      <c r="H71" s="99" t="str">
        <f>HLOOKUP(E$66,Rates!$1:$2,2,1)</f>
        <v>I</v>
      </c>
      <c r="I71" s="100">
        <f>DATEDIF($E$5,I$66,"Y")</f>
        <v>23</v>
      </c>
      <c r="J71" s="97">
        <f>VLOOKUP(I71,Rates!$B:$C,2,1)</f>
        <v>5</v>
      </c>
      <c r="K71" s="102">
        <f>HLOOKUP(L71,Rates,J71,FALSE)</f>
        <v>8.91</v>
      </c>
      <c r="L71" s="99" t="str">
        <f>HLOOKUP(I$66,Rates!$1:$2,2,1)</f>
        <v>I</v>
      </c>
      <c r="M71" s="100">
        <f>DATEDIF($E$5,M$66,"Y")</f>
        <v>23</v>
      </c>
      <c r="N71" s="97">
        <f>VLOOKUP(M71,Rates!$B:$C,2,1)</f>
        <v>5</v>
      </c>
      <c r="O71" s="102">
        <f>HLOOKUP(P71,Rates,N71,FALSE)</f>
        <v>8.91</v>
      </c>
      <c r="P71" s="99" t="str">
        <f>HLOOKUP(M$66,Rates!$1:$2,2,1)</f>
        <v>I</v>
      </c>
      <c r="Q71" s="100">
        <f>DATEDIF($E$5,Q$66,"Y")</f>
        <v>23</v>
      </c>
      <c r="R71" s="97">
        <f>VLOOKUP(Q71,Rates!$B:$C,2,1)</f>
        <v>5</v>
      </c>
      <c r="S71" s="102">
        <f>HLOOKUP(T71,Rates,R71,FALSE)</f>
        <v>8.91</v>
      </c>
      <c r="T71" s="99" t="str">
        <f>HLOOKUP(Q$66,Rates!$1:$2,2,1)</f>
        <v>I</v>
      </c>
      <c r="U71" s="100">
        <f>DATEDIF($E$5,U$66,"Y")</f>
        <v>23</v>
      </c>
      <c r="V71" s="97">
        <f>VLOOKUP(U71,Rates!$B:$C,2,1)</f>
        <v>5</v>
      </c>
      <c r="W71" s="102">
        <f>HLOOKUP(X71,Rates,V71,FALSE)</f>
        <v>8.91</v>
      </c>
      <c r="X71" s="99" t="str">
        <f>HLOOKUP(U$66,Rates!$1:$2,2,1)</f>
        <v>I</v>
      </c>
      <c r="Y71" s="100">
        <f>DATEDIF($E$5,Y$66,"Y")</f>
        <v>23</v>
      </c>
      <c r="Z71" s="97">
        <f>VLOOKUP(Y71,Rates!$B:$C,2,1)</f>
        <v>5</v>
      </c>
      <c r="AA71" s="102">
        <f>HLOOKUP(AB71,Rates,Z71,FALSE)</f>
        <v>8.91</v>
      </c>
      <c r="AB71" s="99" t="str">
        <f>HLOOKUP(Y$66,Rates!$1:$2,2,1)</f>
        <v>I</v>
      </c>
      <c r="AC71" s="100">
        <f>DATEDIF($E$5,AC$66,"Y")</f>
        <v>23</v>
      </c>
      <c r="AD71" s="97">
        <f>VLOOKUP(AC71,Rates!$B:$C,2,1)</f>
        <v>5</v>
      </c>
      <c r="AE71" s="102">
        <f>HLOOKUP(AF71,Rates,AD71,FALSE)</f>
        <v>8.91</v>
      </c>
      <c r="AF71" s="99" t="str">
        <f>HLOOKUP(AC$66,Rates!$1:$2,2,1)</f>
        <v>I</v>
      </c>
      <c r="AG71" s="659"/>
      <c r="AH71" s="660"/>
      <c r="AI71" s="660"/>
      <c r="AJ71" s="661"/>
      <c r="AK71" s="695"/>
      <c r="AL71" s="5"/>
      <c r="AM71" s="27"/>
      <c r="AN71" s="45"/>
      <c r="AO71" s="40"/>
      <c r="AP71" s="689"/>
      <c r="AQ71" s="690"/>
      <c r="AR71" s="690"/>
      <c r="AS71" s="690"/>
      <c r="AT71" s="690"/>
      <c r="AU71" s="691"/>
      <c r="AV71" s="41"/>
    </row>
    <row r="72" spans="2:48" ht="17.25" hidden="1" customHeight="1" x14ac:dyDescent="0.2">
      <c r="B72" s="40"/>
      <c r="C72" s="10"/>
      <c r="D72" s="104" t="s">
        <v>140</v>
      </c>
      <c r="E72" s="628">
        <f>E73+(G73/60)</f>
        <v>0</v>
      </c>
      <c r="F72" s="629"/>
      <c r="G72" s="629"/>
      <c r="H72" s="653"/>
      <c r="I72" s="629">
        <f t="shared" ref="I72" si="78">I73+(K73/60)</f>
        <v>0</v>
      </c>
      <c r="J72" s="629"/>
      <c r="K72" s="629"/>
      <c r="L72" s="653"/>
      <c r="M72" s="629">
        <f t="shared" ref="M72" si="79">M73+(O73/60)</f>
        <v>0</v>
      </c>
      <c r="N72" s="629"/>
      <c r="O72" s="629"/>
      <c r="P72" s="653"/>
      <c r="Q72" s="629">
        <f t="shared" ref="Q72" si="80">Q73+(S73/60)</f>
        <v>0</v>
      </c>
      <c r="R72" s="629"/>
      <c r="S72" s="629"/>
      <c r="T72" s="653"/>
      <c r="U72" s="629">
        <f t="shared" ref="U72" si="81">U73+(W73/60)</f>
        <v>0</v>
      </c>
      <c r="V72" s="629"/>
      <c r="W72" s="629"/>
      <c r="X72" s="653"/>
      <c r="Y72" s="629">
        <f t="shared" ref="Y72" si="82">Y73+(AA73/60)</f>
        <v>0</v>
      </c>
      <c r="Z72" s="629"/>
      <c r="AA72" s="629"/>
      <c r="AB72" s="653"/>
      <c r="AC72" s="629">
        <f t="shared" ref="AC72" si="83">AC73+(AE73/60)</f>
        <v>0</v>
      </c>
      <c r="AD72" s="629"/>
      <c r="AE72" s="629"/>
      <c r="AF72" s="653"/>
      <c r="AG72" s="628">
        <f>SUM(E72:AF72)</f>
        <v>0</v>
      </c>
      <c r="AH72" s="629"/>
      <c r="AI72" s="629"/>
      <c r="AJ72" s="630"/>
      <c r="AK72" s="695"/>
      <c r="AL72" s="5"/>
      <c r="AM72" s="27"/>
      <c r="AN72" s="45"/>
      <c r="AO72" s="40"/>
      <c r="AP72" s="689"/>
      <c r="AQ72" s="690"/>
      <c r="AR72" s="690"/>
      <c r="AS72" s="690"/>
      <c r="AT72" s="690"/>
      <c r="AU72" s="691"/>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95"/>
      <c r="AL73" s="27"/>
      <c r="AM73" s="27"/>
      <c r="AN73" s="45"/>
      <c r="AO73" s="40"/>
      <c r="AP73" s="689"/>
      <c r="AQ73" s="690"/>
      <c r="AR73" s="690"/>
      <c r="AS73" s="690"/>
      <c r="AT73" s="690"/>
      <c r="AU73" s="691"/>
      <c r="AV73" s="41"/>
    </row>
    <row r="74" spans="2:48" ht="17.25" hidden="1" customHeight="1" x14ac:dyDescent="0.2">
      <c r="B74" s="40"/>
      <c r="C74" s="10"/>
      <c r="D74" s="124" t="s">
        <v>142</v>
      </c>
      <c r="E74" s="658">
        <f>MAX(G71,IF($V$13=$AM$13,$AF$13,HLOOKUP(H71,Rates,$AL$13,FALSE)))</f>
        <v>8.91</v>
      </c>
      <c r="F74" s="651"/>
      <c r="G74" s="651"/>
      <c r="H74" s="652"/>
      <c r="I74" s="650">
        <f>MAX(K71,IF($V$13=$AM$13,$AF$13,HLOOKUP(L71,Rates,$AL$13,FALSE)))</f>
        <v>8.91</v>
      </c>
      <c r="J74" s="651"/>
      <c r="K74" s="651"/>
      <c r="L74" s="652"/>
      <c r="M74" s="650">
        <f>MAX(O71,IF($V$13=$AM$13,$AF$13,HLOOKUP(P71,Rates,$AL$13,FALSE)))</f>
        <v>8.91</v>
      </c>
      <c r="N74" s="651"/>
      <c r="O74" s="651"/>
      <c r="P74" s="652"/>
      <c r="Q74" s="650">
        <f>MAX(S71,IF($V$13=$AM$13,$AF$13,HLOOKUP(T71,Rates,$AL$13,FALSE)))</f>
        <v>8.91</v>
      </c>
      <c r="R74" s="651"/>
      <c r="S74" s="651"/>
      <c r="T74" s="652"/>
      <c r="U74" s="650">
        <f>MAX(W71,IF($V$13=$AM$13,$AF$13,HLOOKUP(X71,Rates,$AL$13,FALSE)))</f>
        <v>8.91</v>
      </c>
      <c r="V74" s="651"/>
      <c r="W74" s="651"/>
      <c r="X74" s="652"/>
      <c r="Y74" s="650">
        <f>MAX(AA71,IF($V$13=$AM$13,$AF$13,HLOOKUP(AB71,Rates,$AL$13,FALSE)))</f>
        <v>8.91</v>
      </c>
      <c r="Z74" s="651"/>
      <c r="AA74" s="651"/>
      <c r="AB74" s="652"/>
      <c r="AC74" s="650">
        <f>MAX(AE71,IF($V$13=$AM$13,$AF$13,HLOOKUP(AF71,Rates,$AL$13,FALSE)))</f>
        <v>8.91</v>
      </c>
      <c r="AD74" s="651"/>
      <c r="AE74" s="651"/>
      <c r="AF74" s="666"/>
      <c r="AG74" s="663">
        <f>SUMPRODUCT(E74:AF74,E72:AF72)</f>
        <v>0</v>
      </c>
      <c r="AH74" s="664"/>
      <c r="AI74" s="664"/>
      <c r="AJ74" s="665"/>
      <c r="AK74" s="695"/>
      <c r="AL74" s="35">
        <f>AG74*IF($V$13="Demonstrator Rate",0.1711,0.1207)</f>
        <v>0</v>
      </c>
      <c r="AM74" s="27"/>
      <c r="AN74" s="45"/>
      <c r="AO74" s="40"/>
      <c r="AP74" s="689"/>
      <c r="AQ74" s="690"/>
      <c r="AR74" s="690"/>
      <c r="AS74" s="690"/>
      <c r="AT74" s="690"/>
      <c r="AU74" s="691"/>
      <c r="AV74" s="41"/>
    </row>
    <row r="75" spans="2:48" ht="17.25" hidden="1" customHeight="1" x14ac:dyDescent="0.2">
      <c r="B75" s="40"/>
      <c r="C75" s="10"/>
      <c r="D75" s="104" t="s">
        <v>143</v>
      </c>
      <c r="E75" s="116">
        <f>DATEDIF($E$5,E$66,"Y")</f>
        <v>23</v>
      </c>
      <c r="F75" s="97">
        <f>VLOOKUP(E75,Rates!$B:$C,2,1)</f>
        <v>5</v>
      </c>
      <c r="G75" s="102">
        <f>HLOOKUP(H75,Rates,F75,FALSE)</f>
        <v>8.91</v>
      </c>
      <c r="H75" s="99" t="str">
        <f>HLOOKUP(E$66,Rates!$1:$2,2,1)</f>
        <v>I</v>
      </c>
      <c r="I75" s="100">
        <f>DATEDIF($E$5,I$66,"Y")</f>
        <v>23</v>
      </c>
      <c r="J75" s="97">
        <f>VLOOKUP(I75,Rates!$B:$C,2,1)</f>
        <v>5</v>
      </c>
      <c r="K75" s="102">
        <f>HLOOKUP(L75,Rates,J75,FALSE)</f>
        <v>8.91</v>
      </c>
      <c r="L75" s="99" t="str">
        <f>HLOOKUP(I$66,Rates!$1:$2,2,1)</f>
        <v>I</v>
      </c>
      <c r="M75" s="100">
        <f>DATEDIF($E$5,M$66,"Y")</f>
        <v>23</v>
      </c>
      <c r="N75" s="97">
        <f>VLOOKUP(M75,Rates!$B:$C,2,1)</f>
        <v>5</v>
      </c>
      <c r="O75" s="102">
        <f>HLOOKUP(P75,Rates,N75,FALSE)</f>
        <v>8.91</v>
      </c>
      <c r="P75" s="99" t="str">
        <f>HLOOKUP(M$66,Rates!$1:$2,2,1)</f>
        <v>I</v>
      </c>
      <c r="Q75" s="100">
        <f>DATEDIF($E$5,Q$66,"Y")</f>
        <v>23</v>
      </c>
      <c r="R75" s="97">
        <f>VLOOKUP(Q75,Rates!$B:$C,2,1)</f>
        <v>5</v>
      </c>
      <c r="S75" s="102">
        <f>HLOOKUP(T75,Rates,R75,FALSE)</f>
        <v>8.91</v>
      </c>
      <c r="T75" s="99" t="str">
        <f>HLOOKUP(Q$66,Rates!$1:$2,2,1)</f>
        <v>I</v>
      </c>
      <c r="U75" s="100">
        <f>DATEDIF($E$5,U$66,"Y")</f>
        <v>23</v>
      </c>
      <c r="V75" s="97">
        <f>VLOOKUP(U75,Rates!$B:$C,2,1)</f>
        <v>5</v>
      </c>
      <c r="W75" s="102">
        <f>HLOOKUP(X75,Rates,V75,FALSE)</f>
        <v>8.91</v>
      </c>
      <c r="X75" s="99" t="str">
        <f>HLOOKUP(U$66,Rates!$1:$2,2,1)</f>
        <v>I</v>
      </c>
      <c r="Y75" s="100">
        <f>DATEDIF($E$5,Y$66,"Y")</f>
        <v>23</v>
      </c>
      <c r="Z75" s="97">
        <f>VLOOKUP(Y75,Rates!$B:$C,2,1)</f>
        <v>5</v>
      </c>
      <c r="AA75" s="102">
        <f>HLOOKUP(AB75,Rates,Z75,FALSE)</f>
        <v>8.91</v>
      </c>
      <c r="AB75" s="99" t="str">
        <f>HLOOKUP(Y$66,Rates!$1:$2,2,1)</f>
        <v>I</v>
      </c>
      <c r="AC75" s="100">
        <f>DATEDIF($E$5,AC$66,"Y")</f>
        <v>23</v>
      </c>
      <c r="AD75" s="97">
        <f>VLOOKUP(AC75,Rates!$B:$C,2,1)</f>
        <v>5</v>
      </c>
      <c r="AE75" s="102">
        <f>HLOOKUP(AF75,Rates,AD75,FALSE)</f>
        <v>8.91</v>
      </c>
      <c r="AF75" s="99" t="str">
        <f>HLOOKUP(AC$66,Rates!$1:$2,2,1)</f>
        <v>I</v>
      </c>
      <c r="AG75" s="659"/>
      <c r="AH75" s="660"/>
      <c r="AI75" s="660"/>
      <c r="AJ75" s="661"/>
      <c r="AK75" s="695"/>
      <c r="AL75" s="5"/>
      <c r="AM75" s="27"/>
      <c r="AN75" s="45"/>
      <c r="AO75" s="40"/>
      <c r="AP75" s="689"/>
      <c r="AQ75" s="690"/>
      <c r="AR75" s="690"/>
      <c r="AS75" s="690"/>
      <c r="AT75" s="690"/>
      <c r="AU75" s="691"/>
      <c r="AV75" s="41"/>
    </row>
    <row r="76" spans="2:48" ht="17.25" hidden="1" customHeight="1" x14ac:dyDescent="0.2">
      <c r="B76" s="40"/>
      <c r="C76" s="10"/>
      <c r="D76" s="104" t="s">
        <v>144</v>
      </c>
      <c r="E76" s="628">
        <f>E77+(G77/60)</f>
        <v>0</v>
      </c>
      <c r="F76" s="629"/>
      <c r="G76" s="629"/>
      <c r="H76" s="653"/>
      <c r="I76" s="629">
        <f t="shared" ref="I76" si="84">I77+(K77/60)</f>
        <v>0</v>
      </c>
      <c r="J76" s="629"/>
      <c r="K76" s="629"/>
      <c r="L76" s="653"/>
      <c r="M76" s="629">
        <f t="shared" ref="M76" si="85">M77+(O77/60)</f>
        <v>0</v>
      </c>
      <c r="N76" s="629"/>
      <c r="O76" s="629"/>
      <c r="P76" s="653"/>
      <c r="Q76" s="629">
        <f t="shared" ref="Q76" si="86">Q77+(S77/60)</f>
        <v>0</v>
      </c>
      <c r="R76" s="629"/>
      <c r="S76" s="629"/>
      <c r="T76" s="653"/>
      <c r="U76" s="629">
        <f t="shared" ref="U76" si="87">U77+(W77/60)</f>
        <v>0</v>
      </c>
      <c r="V76" s="629"/>
      <c r="W76" s="629"/>
      <c r="X76" s="653"/>
      <c r="Y76" s="629">
        <f t="shared" ref="Y76" si="88">Y77+(AA77/60)</f>
        <v>0</v>
      </c>
      <c r="Z76" s="629"/>
      <c r="AA76" s="629"/>
      <c r="AB76" s="653"/>
      <c r="AC76" s="629">
        <f t="shared" ref="AC76" si="89">AC77+(AE77/60)</f>
        <v>0</v>
      </c>
      <c r="AD76" s="629"/>
      <c r="AE76" s="629"/>
      <c r="AF76" s="653"/>
      <c r="AG76" s="628">
        <f>SUM(E76:AF76)</f>
        <v>0</v>
      </c>
      <c r="AH76" s="629"/>
      <c r="AI76" s="629"/>
      <c r="AJ76" s="630"/>
      <c r="AK76" s="695"/>
      <c r="AL76" s="5"/>
      <c r="AM76" s="27"/>
      <c r="AN76" s="45"/>
      <c r="AO76" s="40"/>
      <c r="AP76" s="689"/>
      <c r="AQ76" s="690"/>
      <c r="AR76" s="690"/>
      <c r="AS76" s="690"/>
      <c r="AT76" s="690"/>
      <c r="AU76" s="691"/>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95"/>
      <c r="AL77" s="27"/>
      <c r="AM77" s="27"/>
      <c r="AN77" s="45"/>
      <c r="AO77" s="40"/>
      <c r="AP77" s="689"/>
      <c r="AQ77" s="690"/>
      <c r="AR77" s="690"/>
      <c r="AS77" s="690"/>
      <c r="AT77" s="690"/>
      <c r="AU77" s="691"/>
      <c r="AV77" s="41"/>
    </row>
    <row r="78" spans="2:48" ht="17.25" hidden="1" customHeight="1" x14ac:dyDescent="0.2">
      <c r="B78" s="40"/>
      <c r="C78" s="10"/>
      <c r="D78" s="91" t="s">
        <v>146</v>
      </c>
      <c r="E78" s="678">
        <f>MAX(G75,IF($V$15=$AM$15,$AF$15,HLOOKUP(H75,Rates,$AL$15,FALSE)))</f>
        <v>8.91</v>
      </c>
      <c r="F78" s="676"/>
      <c r="G78" s="676"/>
      <c r="H78" s="677"/>
      <c r="I78" s="675">
        <f>MAX(K75,IF($V$15=$AM$15,$AF$15,HLOOKUP(L75,Rates,$AL$15,FALSE)))</f>
        <v>8.91</v>
      </c>
      <c r="J78" s="676"/>
      <c r="K78" s="676"/>
      <c r="L78" s="677"/>
      <c r="M78" s="675">
        <f>MAX(O75,IF($V$15=$AM$15,$AF$15,HLOOKUP(P75,Rates,$AL$15,FALSE)))</f>
        <v>8.91</v>
      </c>
      <c r="N78" s="676"/>
      <c r="O78" s="676"/>
      <c r="P78" s="677"/>
      <c r="Q78" s="675">
        <f>MAX(S75,IF($V$15=$AM$15,$AF$15,HLOOKUP(T75,Rates,$AL$15,FALSE)))</f>
        <v>8.91</v>
      </c>
      <c r="R78" s="676"/>
      <c r="S78" s="676"/>
      <c r="T78" s="677"/>
      <c r="U78" s="675">
        <f>MAX(W75,IF($V$15=$AM$15,$AF$15,HLOOKUP(X75,Rates,$AL$15,FALSE)))</f>
        <v>8.91</v>
      </c>
      <c r="V78" s="676"/>
      <c r="W78" s="676"/>
      <c r="X78" s="677"/>
      <c r="Y78" s="675">
        <f>MAX(AA75,IF($V$15=$AM$15,$AF$15,HLOOKUP(AB75,Rates,$AL$15,FALSE)))</f>
        <v>8.91</v>
      </c>
      <c r="Z78" s="676"/>
      <c r="AA78" s="676"/>
      <c r="AB78" s="677"/>
      <c r="AC78" s="675">
        <f>MAX(AE75,IF($V$15=$AM$15,$AF$15,HLOOKUP(AF75,Rates,$AL$15,FALSE)))</f>
        <v>8.91</v>
      </c>
      <c r="AD78" s="676"/>
      <c r="AE78" s="676"/>
      <c r="AF78" s="682"/>
      <c r="AG78" s="663">
        <f>SUMPRODUCT(E78:AF78,E76:AF76)</f>
        <v>0</v>
      </c>
      <c r="AH78" s="664"/>
      <c r="AI78" s="664"/>
      <c r="AJ78" s="665"/>
      <c r="AK78" s="695"/>
      <c r="AL78" s="35">
        <f>AG78*IF($V$15="Demonstrator Rate",0.1711,0.1207)</f>
        <v>0</v>
      </c>
      <c r="AM78" s="27"/>
      <c r="AN78" s="45"/>
      <c r="AO78" s="40"/>
      <c r="AP78" s="689"/>
      <c r="AQ78" s="690"/>
      <c r="AR78" s="690"/>
      <c r="AS78" s="690"/>
      <c r="AT78" s="690"/>
      <c r="AU78" s="691"/>
      <c r="AV78" s="41"/>
    </row>
    <row r="79" spans="2:48" ht="17.25" hidden="1" customHeight="1" x14ac:dyDescent="0.2">
      <c r="B79" s="40"/>
      <c r="C79" s="10"/>
      <c r="D79" s="194" t="s">
        <v>147</v>
      </c>
      <c r="E79" s="667">
        <f>((E69+(G69/60))*E70)+((E73+(G73/60))*E74)+((E77+(G77/60))*E78)</f>
        <v>0</v>
      </c>
      <c r="F79" s="638"/>
      <c r="G79" s="638"/>
      <c r="H79" s="639"/>
      <c r="I79" s="637">
        <f>((I69+(K69/60))*I70)+((I73+(K73/60))*I74)+((I77+(K77/60))*I78)</f>
        <v>0</v>
      </c>
      <c r="J79" s="638"/>
      <c r="K79" s="638"/>
      <c r="L79" s="639"/>
      <c r="M79" s="637">
        <f>((M69+(O69/60))*M70)+((M73+(O73/60))*M74)+((M77+(O77/60))*M78)</f>
        <v>0</v>
      </c>
      <c r="N79" s="638"/>
      <c r="O79" s="638"/>
      <c r="P79" s="639"/>
      <c r="Q79" s="637">
        <f>((Q69+(S69/60))*Q70)+((Q73+(S73/60))*Q74)+((Q77+(S77/60))*Q78)</f>
        <v>0</v>
      </c>
      <c r="R79" s="638"/>
      <c r="S79" s="638"/>
      <c r="T79" s="639"/>
      <c r="U79" s="637">
        <f>((U69+(W69/60))*U70)+((U73+(W73/60))*U74)+((U77+(W77/60))*U78)</f>
        <v>0</v>
      </c>
      <c r="V79" s="638"/>
      <c r="W79" s="638"/>
      <c r="X79" s="639"/>
      <c r="Y79" s="637">
        <f>((Y69+(AA69/60))*Y70)+((Y73+(AA73/60))*Y74)+((Y77+(AA77/60))*Y78)</f>
        <v>0</v>
      </c>
      <c r="Z79" s="638"/>
      <c r="AA79" s="638"/>
      <c r="AB79" s="639"/>
      <c r="AC79" s="637">
        <f>((AC69+(AE69/60))*AC70)+((AC73+(AE73/60))*AC74)+((AC77+(AE77/60))*AC78)</f>
        <v>0</v>
      </c>
      <c r="AD79" s="638"/>
      <c r="AE79" s="638"/>
      <c r="AF79" s="700"/>
      <c r="AG79" s="634">
        <f>AG78+AG74+AG70</f>
        <v>0</v>
      </c>
      <c r="AH79" s="635"/>
      <c r="AI79" s="635"/>
      <c r="AJ79" s="636"/>
      <c r="AK79" s="695"/>
      <c r="AL79" s="28">
        <f>AG68+AG72+AG76+AG80</f>
        <v>0</v>
      </c>
      <c r="AM79" s="27" t="str">
        <f>IF(AND(AL79&gt;0,AE7="Yes",OR(E81="",G81="",I81="",K81="",M81="",O81="",Q81="",S81="",U81="",W81="",Y81="",AA81="",AC81="",AE81="")),"FALSE","TRUE")</f>
        <v>TRUE</v>
      </c>
      <c r="AN79" s="45"/>
      <c r="AO79" s="40"/>
      <c r="AP79" s="689"/>
      <c r="AQ79" s="690"/>
      <c r="AR79" s="690"/>
      <c r="AS79" s="690"/>
      <c r="AT79" s="690"/>
      <c r="AU79" s="691"/>
      <c r="AV79" s="41"/>
    </row>
    <row r="80" spans="2:48" ht="17.25" hidden="1" customHeight="1" x14ac:dyDescent="0.2">
      <c r="B80" s="40"/>
      <c r="C80" s="10"/>
      <c r="D80" s="104" t="s">
        <v>148</v>
      </c>
      <c r="E80" s="631">
        <f>E81+(G81/60)</f>
        <v>0</v>
      </c>
      <c r="F80" s="632"/>
      <c r="G80" s="632"/>
      <c r="H80" s="654"/>
      <c r="I80" s="632">
        <f t="shared" ref="I80" si="90">I81+(K81/60)</f>
        <v>0</v>
      </c>
      <c r="J80" s="632"/>
      <c r="K80" s="632"/>
      <c r="L80" s="654"/>
      <c r="M80" s="632">
        <f t="shared" ref="M80" si="91">M81+(O81/60)</f>
        <v>0</v>
      </c>
      <c r="N80" s="632"/>
      <c r="O80" s="632"/>
      <c r="P80" s="654"/>
      <c r="Q80" s="632">
        <f t="shared" ref="Q80" si="92">Q81+(S81/60)</f>
        <v>0</v>
      </c>
      <c r="R80" s="632"/>
      <c r="S80" s="632"/>
      <c r="T80" s="654"/>
      <c r="U80" s="632">
        <f t="shared" ref="U80" si="93">U81+(W81/60)</f>
        <v>0</v>
      </c>
      <c r="V80" s="632"/>
      <c r="W80" s="632"/>
      <c r="X80" s="654"/>
      <c r="Y80" s="632">
        <f t="shared" ref="Y80" si="94">Y81+(AA81/60)</f>
        <v>0</v>
      </c>
      <c r="Z80" s="632"/>
      <c r="AA80" s="632"/>
      <c r="AB80" s="654"/>
      <c r="AC80" s="632">
        <f t="shared" ref="AC80" si="95">AC81+(AE81/60)</f>
        <v>0</v>
      </c>
      <c r="AD80" s="632"/>
      <c r="AE80" s="632"/>
      <c r="AF80" s="654"/>
      <c r="AG80" s="631">
        <f>SUM(E80:AF80)</f>
        <v>0</v>
      </c>
      <c r="AH80" s="632"/>
      <c r="AI80" s="632"/>
      <c r="AJ80" s="633"/>
      <c r="AK80" s="695"/>
      <c r="AL80" s="28"/>
      <c r="AM80" s="27"/>
      <c r="AN80" s="45"/>
      <c r="AO80" s="40"/>
      <c r="AP80" s="689"/>
      <c r="AQ80" s="690"/>
      <c r="AR80" s="690"/>
      <c r="AS80" s="690"/>
      <c r="AT80" s="690"/>
      <c r="AU80" s="691"/>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95"/>
      <c r="AL81" s="27"/>
      <c r="AM81" s="27"/>
      <c r="AN81" s="45"/>
      <c r="AO81" s="72"/>
      <c r="AP81" s="689"/>
      <c r="AQ81" s="690"/>
      <c r="AR81" s="690"/>
      <c r="AS81" s="690"/>
      <c r="AT81" s="690"/>
      <c r="AU81" s="691"/>
      <c r="AV81" s="41"/>
    </row>
    <row r="82" spans="2:48" ht="9.75" customHeight="1" x14ac:dyDescent="0.2">
      <c r="B82" s="40"/>
      <c r="C82" s="10">
        <f>C66+7</f>
        <v>44529</v>
      </c>
      <c r="D82" s="71" t="s">
        <v>133</v>
      </c>
      <c r="E82" s="668">
        <f>IF(ISNA(C82),"",C82)</f>
        <v>44529</v>
      </c>
      <c r="F82" s="669"/>
      <c r="G82" s="669"/>
      <c r="H82" s="670"/>
      <c r="I82" s="671">
        <f>IF(ISNA(C82),"",E82+1)</f>
        <v>44530</v>
      </c>
      <c r="J82" s="669"/>
      <c r="K82" s="669"/>
      <c r="L82" s="670"/>
      <c r="M82" s="671">
        <f>IF(ISNA(C82),"",I82+1)</f>
        <v>44531</v>
      </c>
      <c r="N82" s="669"/>
      <c r="O82" s="669"/>
      <c r="P82" s="670"/>
      <c r="Q82" s="671">
        <f>IF(ISNA(C82),"",M82+1)</f>
        <v>44532</v>
      </c>
      <c r="R82" s="669"/>
      <c r="S82" s="669"/>
      <c r="T82" s="670"/>
      <c r="U82" s="671">
        <f>IF(ISNA(C82),"",Q82+1)</f>
        <v>44533</v>
      </c>
      <c r="V82" s="669"/>
      <c r="W82" s="669"/>
      <c r="X82" s="670"/>
      <c r="Y82" s="671">
        <f>IF(ISNA(C82),"",U82+1)</f>
        <v>44534</v>
      </c>
      <c r="Z82" s="669"/>
      <c r="AA82" s="669"/>
      <c r="AB82" s="670"/>
      <c r="AC82" s="671">
        <f>IF(ISNA(C82),"",Y82+1)</f>
        <v>44535</v>
      </c>
      <c r="AD82" s="669"/>
      <c r="AE82" s="669"/>
      <c r="AF82" s="699"/>
      <c r="AG82" s="748" t="str">
        <f>IF(AE7="Yes",VLOOKUP(C82,TermTime,2,FALSE),"Week Total")</f>
        <v>Week Total</v>
      </c>
      <c r="AH82" s="749"/>
      <c r="AI82" s="749"/>
      <c r="AJ82" s="750"/>
      <c r="AK82" s="695" t="str">
        <f>IF(OR(AL95&gt;36,AM95="FALSE",AND(AL95&gt;20,AE7="Yes")),"WARNING","")</f>
        <v/>
      </c>
      <c r="AL82" s="27"/>
      <c r="AM82" s="27"/>
      <c r="AN82" s="45"/>
      <c r="AO82" s="72"/>
      <c r="AP82" s="689"/>
      <c r="AQ82" s="690"/>
      <c r="AR82" s="690"/>
      <c r="AS82" s="690"/>
      <c r="AT82" s="690"/>
      <c r="AU82" s="691"/>
      <c r="AV82" s="41"/>
    </row>
    <row r="83" spans="2:48" ht="9.75" hidden="1" customHeight="1" x14ac:dyDescent="0.2">
      <c r="B83" s="40"/>
      <c r="C83" s="10"/>
      <c r="D83" s="104" t="s">
        <v>135</v>
      </c>
      <c r="E83" s="116">
        <f>DATEDIF($E$5,E$82,"Y")</f>
        <v>23</v>
      </c>
      <c r="F83" s="101">
        <f>VLOOKUP(E83,Rates!$B:$C,2,1)</f>
        <v>5</v>
      </c>
      <c r="G83" s="102">
        <f>HLOOKUP(H83,Rates,F83,FALSE)</f>
        <v>8.91</v>
      </c>
      <c r="H83" s="103" t="str">
        <f>HLOOKUP(E$82,Rates!$1:$2,2,1)</f>
        <v>I</v>
      </c>
      <c r="I83" s="100">
        <f>DATEDIF($E$5,I$82,"Y")</f>
        <v>23</v>
      </c>
      <c r="J83" s="101">
        <f>VLOOKUP(I83,Rates!$B:$C,2,1)</f>
        <v>5</v>
      </c>
      <c r="K83" s="102">
        <f>HLOOKUP(L83,Rates,J83,FALSE)</f>
        <v>8.91</v>
      </c>
      <c r="L83" s="103" t="str">
        <f>HLOOKUP(I$82,Rates!$1:$2,2,1)</f>
        <v>I</v>
      </c>
      <c r="M83" s="100">
        <f>DATEDIF($E$5,M$82,"Y")</f>
        <v>23</v>
      </c>
      <c r="N83" s="101">
        <f>VLOOKUP(M83,Rates!$B:$C,2,1)</f>
        <v>5</v>
      </c>
      <c r="O83" s="102">
        <f>HLOOKUP(P83,Rates,N83,FALSE)</f>
        <v>8.91</v>
      </c>
      <c r="P83" s="103" t="str">
        <f>HLOOKUP(M$82,Rates!$1:$2,2,1)</f>
        <v>I</v>
      </c>
      <c r="Q83" s="100">
        <f>DATEDIF($E$5,Q$82,"Y")</f>
        <v>23</v>
      </c>
      <c r="R83" s="101">
        <f>VLOOKUP(Q83,Rates!$B:$C,2,1)</f>
        <v>5</v>
      </c>
      <c r="S83" s="102">
        <f>HLOOKUP(T83,Rates,R83,FALSE)</f>
        <v>8.91</v>
      </c>
      <c r="T83" s="103" t="str">
        <f>HLOOKUP(Q$82,Rates!$1:$2,2,1)</f>
        <v>I</v>
      </c>
      <c r="U83" s="100">
        <f>DATEDIF($E$5,U$82,"Y")</f>
        <v>23</v>
      </c>
      <c r="V83" s="101">
        <f>VLOOKUP(U83,Rates!$B:$C,2,1)</f>
        <v>5</v>
      </c>
      <c r="W83" s="102">
        <f>HLOOKUP(X83,Rates,V83,FALSE)</f>
        <v>8.91</v>
      </c>
      <c r="X83" s="103" t="str">
        <f>HLOOKUP(U$82,Rates!$1:$2,2,1)</f>
        <v>I</v>
      </c>
      <c r="Y83" s="100">
        <f>DATEDIF($E$5,Y$82,"Y")</f>
        <v>23</v>
      </c>
      <c r="Z83" s="101">
        <f>VLOOKUP(Y83,Rates!$B:$C,2,1)</f>
        <v>5</v>
      </c>
      <c r="AA83" s="102">
        <f>HLOOKUP(AB83,Rates,Z83,FALSE)</f>
        <v>8.91</v>
      </c>
      <c r="AB83" s="103" t="str">
        <f>HLOOKUP(Y$82,Rates!$1:$2,2,1)</f>
        <v>I</v>
      </c>
      <c r="AC83" s="100">
        <f>ROUNDDOWN(YEARFRAC($E$5,AC$82),0)</f>
        <v>23</v>
      </c>
      <c r="AD83" s="101">
        <f>VLOOKUP(AC83,Rates!$B:$C,2,1)</f>
        <v>5</v>
      </c>
      <c r="AE83" s="102">
        <f>HLOOKUP(AF83,Rates,AD83,FALSE)</f>
        <v>8.91</v>
      </c>
      <c r="AF83" s="103" t="str">
        <f>HLOOKUP(AC$82,Rates!$1:$2,2,1)</f>
        <v>I</v>
      </c>
      <c r="AG83" s="659"/>
      <c r="AH83" s="660"/>
      <c r="AI83" s="660"/>
      <c r="AJ83" s="661"/>
      <c r="AK83" s="695"/>
      <c r="AL83" s="27"/>
      <c r="AM83" s="27"/>
      <c r="AN83" s="45"/>
      <c r="AO83" s="72"/>
      <c r="AP83" s="689"/>
      <c r="AQ83" s="690"/>
      <c r="AR83" s="690"/>
      <c r="AS83" s="690"/>
      <c r="AT83" s="690"/>
      <c r="AU83" s="691"/>
      <c r="AV83" s="41"/>
    </row>
    <row r="84" spans="2:48" ht="9.75" hidden="1" customHeight="1" x14ac:dyDescent="0.2">
      <c r="B84" s="40"/>
      <c r="C84" s="10"/>
      <c r="D84" s="104" t="s">
        <v>136</v>
      </c>
      <c r="E84" s="628">
        <f>E85+(G85/60)</f>
        <v>0</v>
      </c>
      <c r="F84" s="629"/>
      <c r="G84" s="629"/>
      <c r="H84" s="653"/>
      <c r="I84" s="629">
        <f t="shared" ref="I84" si="96">I85+(K85/60)</f>
        <v>0</v>
      </c>
      <c r="J84" s="629"/>
      <c r="K84" s="629"/>
      <c r="L84" s="653"/>
      <c r="M84" s="629">
        <f t="shared" ref="M84" si="97">M85+(O85/60)</f>
        <v>0</v>
      </c>
      <c r="N84" s="629"/>
      <c r="O84" s="629"/>
      <c r="P84" s="653"/>
      <c r="Q84" s="629">
        <f t="shared" ref="Q84" si="98">Q85+(S85/60)</f>
        <v>0</v>
      </c>
      <c r="R84" s="629"/>
      <c r="S84" s="629"/>
      <c r="T84" s="653"/>
      <c r="U84" s="629">
        <f t="shared" ref="U84" si="99">U85+(W85/60)</f>
        <v>0</v>
      </c>
      <c r="V84" s="629"/>
      <c r="W84" s="629"/>
      <c r="X84" s="653"/>
      <c r="Y84" s="629">
        <f t="shared" ref="Y84" si="100">Y85+(AA85/60)</f>
        <v>0</v>
      </c>
      <c r="Z84" s="629"/>
      <c r="AA84" s="629"/>
      <c r="AB84" s="653"/>
      <c r="AC84" s="629">
        <f t="shared" ref="AC84" si="101">AC85+(AE85/60)</f>
        <v>0</v>
      </c>
      <c r="AD84" s="629"/>
      <c r="AE84" s="629"/>
      <c r="AF84" s="653"/>
      <c r="AG84" s="628">
        <f>SUM(E84:AF84)</f>
        <v>0</v>
      </c>
      <c r="AH84" s="629"/>
      <c r="AI84" s="629"/>
      <c r="AJ84" s="630"/>
      <c r="AK84" s="695"/>
      <c r="AL84" s="27"/>
      <c r="AM84" s="27"/>
      <c r="AN84" s="45"/>
      <c r="AO84" s="72"/>
      <c r="AP84" s="689"/>
      <c r="AQ84" s="690"/>
      <c r="AR84" s="690"/>
      <c r="AS84" s="690"/>
      <c r="AT84" s="690"/>
      <c r="AU84" s="691"/>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95"/>
      <c r="AL85" s="27"/>
      <c r="AM85" s="27"/>
      <c r="AN85" s="45"/>
      <c r="AO85" s="72"/>
      <c r="AP85" s="689"/>
      <c r="AQ85" s="690"/>
      <c r="AR85" s="690"/>
      <c r="AS85" s="690"/>
      <c r="AT85" s="690"/>
      <c r="AU85" s="691"/>
      <c r="AV85" s="267"/>
    </row>
    <row r="86" spans="2:48" ht="15.75" customHeight="1" x14ac:dyDescent="0.2">
      <c r="B86" s="40"/>
      <c r="C86" s="10"/>
      <c r="D86" s="124" t="s">
        <v>138</v>
      </c>
      <c r="E86" s="658">
        <f>MAX(G83,IF($V$11=$AM$11,$AF$11,HLOOKUP(H83,Rates,$AL$11,FALSE)))</f>
        <v>13.6</v>
      </c>
      <c r="F86" s="651"/>
      <c r="G86" s="651"/>
      <c r="H86" s="652"/>
      <c r="I86" s="650">
        <f>MAX(K83,IF($V$11=$AM$11,$AF$11,HLOOKUP(L83,Rates,$AL$11,FALSE)))</f>
        <v>13.6</v>
      </c>
      <c r="J86" s="651"/>
      <c r="K86" s="651"/>
      <c r="L86" s="652"/>
      <c r="M86" s="650">
        <f>MAX(O83,IF($V$11=$AM$11,$AF$11,HLOOKUP(P83,Rates,$AL$11,FALSE)))</f>
        <v>13.6</v>
      </c>
      <c r="N86" s="651"/>
      <c r="O86" s="651"/>
      <c r="P86" s="652"/>
      <c r="Q86" s="650">
        <f>MAX(S83,IF($V$11=$AM$11,$AF$11,HLOOKUP(T83,Rates,$AL$11,FALSE)))</f>
        <v>13.6</v>
      </c>
      <c r="R86" s="651"/>
      <c r="S86" s="651"/>
      <c r="T86" s="652"/>
      <c r="U86" s="650">
        <f>MAX(W83,IF($V$11=$AM$11,$AF$11,HLOOKUP(X83,Rates,$AL$11,FALSE)))</f>
        <v>13.6</v>
      </c>
      <c r="V86" s="651"/>
      <c r="W86" s="651"/>
      <c r="X86" s="652"/>
      <c r="Y86" s="650">
        <f>MAX(AA83,IF($V$11=$AM$11,$AF$11,HLOOKUP(AB83,Rates,$AL$11,FALSE)))</f>
        <v>13.6</v>
      </c>
      <c r="Z86" s="651"/>
      <c r="AA86" s="651"/>
      <c r="AB86" s="652"/>
      <c r="AC86" s="650">
        <f>MAX(AE83,IF($V$11=$AM$11,$AF$11,HLOOKUP(AF83,Rates,$AL$11,FALSE)))</f>
        <v>13.6</v>
      </c>
      <c r="AD86" s="651"/>
      <c r="AE86" s="651"/>
      <c r="AF86" s="666"/>
      <c r="AG86" s="663">
        <f>IF(AM17&lt;&gt;5,0,SUMPRODUCT(E86:AF86,E84:AF84))</f>
        <v>0</v>
      </c>
      <c r="AH86" s="664"/>
      <c r="AI86" s="664"/>
      <c r="AJ86" s="665"/>
      <c r="AK86" s="695"/>
      <c r="AL86" s="35">
        <f>AG86*IF($V$11="Demonstrator Rate",0.1711,0.1207)</f>
        <v>0</v>
      </c>
      <c r="AM86" s="27"/>
      <c r="AN86" s="45"/>
      <c r="AO86" s="72"/>
      <c r="AP86" s="692"/>
      <c r="AQ86" s="693"/>
      <c r="AR86" s="693"/>
      <c r="AS86" s="693"/>
      <c r="AT86" s="693"/>
      <c r="AU86" s="694"/>
      <c r="AV86" s="267"/>
    </row>
    <row r="87" spans="2:48" ht="15.75" hidden="1" customHeight="1" x14ac:dyDescent="0.2">
      <c r="B87" s="40"/>
      <c r="C87" s="10"/>
      <c r="D87" s="104" t="s">
        <v>139</v>
      </c>
      <c r="E87" s="116">
        <f>DATEDIF($E$5,E$82,"Y")</f>
        <v>23</v>
      </c>
      <c r="F87" s="101">
        <f>VLOOKUP(E87,Rates!$B:$C,2,1)</f>
        <v>5</v>
      </c>
      <c r="G87" s="102">
        <f>HLOOKUP(H87,Rates,F87,FALSE)</f>
        <v>8.91</v>
      </c>
      <c r="H87" s="103" t="str">
        <f>HLOOKUP(E$82,Rates!$1:$2,2,1)</f>
        <v>I</v>
      </c>
      <c r="I87" s="100">
        <f>DATEDIF($E$5,I$82,"Y")</f>
        <v>23</v>
      </c>
      <c r="J87" s="101">
        <f>VLOOKUP(I87,Rates!$B:$C,2,1)</f>
        <v>5</v>
      </c>
      <c r="K87" s="102">
        <f>HLOOKUP(L87,Rates,J87,FALSE)</f>
        <v>8.91</v>
      </c>
      <c r="L87" s="103" t="str">
        <f>HLOOKUP(I$82,Rates!$1:$2,2,1)</f>
        <v>I</v>
      </c>
      <c r="M87" s="100">
        <f>DATEDIF($E$5,M$82,"Y")</f>
        <v>23</v>
      </c>
      <c r="N87" s="101">
        <f>VLOOKUP(M87,Rates!$B:$C,2,1)</f>
        <v>5</v>
      </c>
      <c r="O87" s="102">
        <f>HLOOKUP(P87,Rates,N87,FALSE)</f>
        <v>8.91</v>
      </c>
      <c r="P87" s="103" t="str">
        <f>HLOOKUP(M$82,Rates!$1:$2,2,1)</f>
        <v>I</v>
      </c>
      <c r="Q87" s="100">
        <f>DATEDIF($E$5,Q$82,"Y")</f>
        <v>23</v>
      </c>
      <c r="R87" s="101">
        <f>VLOOKUP(Q87,Rates!$B:$C,2,1)</f>
        <v>5</v>
      </c>
      <c r="S87" s="102">
        <f>HLOOKUP(T87,Rates,R87,FALSE)</f>
        <v>8.91</v>
      </c>
      <c r="T87" s="103" t="str">
        <f>HLOOKUP(Q$82,Rates!$1:$2,2,1)</f>
        <v>I</v>
      </c>
      <c r="U87" s="100">
        <f>DATEDIF($E$5,U$82,"Y")</f>
        <v>23</v>
      </c>
      <c r="V87" s="101">
        <f>VLOOKUP(U87,Rates!$B:$C,2,1)</f>
        <v>5</v>
      </c>
      <c r="W87" s="102">
        <f>HLOOKUP(X87,Rates,V87,FALSE)</f>
        <v>8.91</v>
      </c>
      <c r="X87" s="103" t="str">
        <f>HLOOKUP(U$82,Rates!$1:$2,2,1)</f>
        <v>I</v>
      </c>
      <c r="Y87" s="100">
        <f>DATEDIF($E$5,Y$82,"Y")</f>
        <v>23</v>
      </c>
      <c r="Z87" s="101">
        <f>VLOOKUP(Y87,Rates!$B:$C,2,1)</f>
        <v>5</v>
      </c>
      <c r="AA87" s="102">
        <f>HLOOKUP(AB87,Rates,Z87,FALSE)</f>
        <v>8.91</v>
      </c>
      <c r="AB87" s="103" t="str">
        <f>HLOOKUP(Y$82,Rates!$1:$2,2,1)</f>
        <v>I</v>
      </c>
      <c r="AC87" s="100">
        <f>ROUNDDOWN(YEARFRAC($E$5,AC$82),0)</f>
        <v>23</v>
      </c>
      <c r="AD87" s="101">
        <f>VLOOKUP(AC87,Rates!$B:$C,2,1)</f>
        <v>5</v>
      </c>
      <c r="AE87" s="102">
        <f>HLOOKUP(AF87,Rates,AD87,FALSE)</f>
        <v>8.91</v>
      </c>
      <c r="AF87" s="103" t="str">
        <f>HLOOKUP(AC$82,Rates!$1:$2,2,1)</f>
        <v>I</v>
      </c>
      <c r="AG87" s="659"/>
      <c r="AH87" s="660"/>
      <c r="AI87" s="660"/>
      <c r="AJ87" s="661"/>
      <c r="AK87" s="695"/>
      <c r="AL87" s="5"/>
      <c r="AM87" s="27"/>
      <c r="AN87" s="45"/>
      <c r="AO87" s="72"/>
      <c r="AP87" s="266"/>
      <c r="AQ87" s="351"/>
      <c r="AR87" s="351"/>
      <c r="AS87" s="351"/>
      <c r="AT87" s="351"/>
      <c r="AU87" s="266"/>
      <c r="AV87" s="267"/>
    </row>
    <row r="88" spans="2:48" ht="15.75" hidden="1" customHeight="1" x14ac:dyDescent="0.2">
      <c r="B88" s="40"/>
      <c r="C88" s="10"/>
      <c r="D88" s="104" t="s">
        <v>140</v>
      </c>
      <c r="E88" s="628">
        <f>E89+(G89/60)</f>
        <v>0</v>
      </c>
      <c r="F88" s="629"/>
      <c r="G88" s="629"/>
      <c r="H88" s="653"/>
      <c r="I88" s="629">
        <f t="shared" ref="I88" si="102">I89+(K89/60)</f>
        <v>0</v>
      </c>
      <c r="J88" s="629"/>
      <c r="K88" s="629"/>
      <c r="L88" s="653"/>
      <c r="M88" s="629">
        <f t="shared" ref="M88" si="103">M89+(O89/60)</f>
        <v>0</v>
      </c>
      <c r="N88" s="629"/>
      <c r="O88" s="629"/>
      <c r="P88" s="653"/>
      <c r="Q88" s="629">
        <f t="shared" ref="Q88" si="104">Q89+(S89/60)</f>
        <v>0</v>
      </c>
      <c r="R88" s="629"/>
      <c r="S88" s="629"/>
      <c r="T88" s="653"/>
      <c r="U88" s="629">
        <f t="shared" ref="U88" si="105">U89+(W89/60)</f>
        <v>0</v>
      </c>
      <c r="V88" s="629"/>
      <c r="W88" s="629"/>
      <c r="X88" s="653"/>
      <c r="Y88" s="629">
        <f t="shared" ref="Y88" si="106">Y89+(AA89/60)</f>
        <v>0</v>
      </c>
      <c r="Z88" s="629"/>
      <c r="AA88" s="629"/>
      <c r="AB88" s="653"/>
      <c r="AC88" s="629">
        <f t="shared" ref="AC88" si="107">AC89+(AE89/60)</f>
        <v>0</v>
      </c>
      <c r="AD88" s="629"/>
      <c r="AE88" s="629"/>
      <c r="AF88" s="653"/>
      <c r="AG88" s="628">
        <f>SUM(E88:AF88)</f>
        <v>0</v>
      </c>
      <c r="AH88" s="629"/>
      <c r="AI88" s="629"/>
      <c r="AJ88" s="630"/>
      <c r="AK88" s="695"/>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95"/>
      <c r="AL89" s="27"/>
      <c r="AM89" s="27"/>
      <c r="AN89" s="45"/>
      <c r="AO89" s="72"/>
      <c r="AP89" s="266"/>
      <c r="AQ89" s="353"/>
      <c r="AR89" s="353"/>
      <c r="AS89" s="353"/>
      <c r="AT89" s="353"/>
      <c r="AU89" s="266"/>
      <c r="AV89" s="267"/>
    </row>
    <row r="90" spans="2:48" ht="15.75" hidden="1" customHeight="1" x14ac:dyDescent="0.2">
      <c r="B90" s="40"/>
      <c r="C90" s="10"/>
      <c r="D90" s="124" t="s">
        <v>142</v>
      </c>
      <c r="E90" s="658">
        <f>MAX(G87,IF($V$13=$AM$13,$AF$13,HLOOKUP(H87,Rates,$AL$13,FALSE)))</f>
        <v>8.91</v>
      </c>
      <c r="F90" s="651"/>
      <c r="G90" s="651"/>
      <c r="H90" s="652"/>
      <c r="I90" s="650">
        <f>MAX(K87,IF($V$13=$AM$13,$AF$13,HLOOKUP(L87,Rates,$AL$13,FALSE)))</f>
        <v>8.91</v>
      </c>
      <c r="J90" s="651"/>
      <c r="K90" s="651"/>
      <c r="L90" s="652"/>
      <c r="M90" s="650">
        <f>MAX(O87,IF($V$13=$AM$13,$AF$13,HLOOKUP(P87,Rates,$AL$13,FALSE)))</f>
        <v>8.91</v>
      </c>
      <c r="N90" s="651"/>
      <c r="O90" s="651"/>
      <c r="P90" s="652"/>
      <c r="Q90" s="650">
        <f>MAX(S87,IF($V$13=$AM$13,$AF$13,HLOOKUP(T87,Rates,$AL$13,FALSE)))</f>
        <v>8.91</v>
      </c>
      <c r="R90" s="651"/>
      <c r="S90" s="651"/>
      <c r="T90" s="652"/>
      <c r="U90" s="650">
        <f>MAX(W87,IF($V$13=$AM$13,$AF$13,HLOOKUP(X87,Rates,$AL$13,FALSE)))</f>
        <v>8.91</v>
      </c>
      <c r="V90" s="651"/>
      <c r="W90" s="651"/>
      <c r="X90" s="652"/>
      <c r="Y90" s="650">
        <f>MAX(AA87,IF($V$13=$AM$13,$AF$13,HLOOKUP(AB87,Rates,$AL$13,FALSE)))</f>
        <v>8.91</v>
      </c>
      <c r="Z90" s="651"/>
      <c r="AA90" s="651"/>
      <c r="AB90" s="652"/>
      <c r="AC90" s="650">
        <f>MAX(AE87,IF($V$13=$AM$13,$AF$13,HLOOKUP(AF87,Rates,$AL$13,FALSE)))</f>
        <v>8.91</v>
      </c>
      <c r="AD90" s="651"/>
      <c r="AE90" s="651"/>
      <c r="AF90" s="666"/>
      <c r="AG90" s="663">
        <f>IF(AM17&lt;&gt;5,0,SUMPRODUCT(E90:AF90,E88:AF88))</f>
        <v>0</v>
      </c>
      <c r="AH90" s="664"/>
      <c r="AI90" s="664"/>
      <c r="AJ90" s="665"/>
      <c r="AK90" s="695"/>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23</v>
      </c>
      <c r="F91" s="101">
        <f>VLOOKUP(E91,Rates!$B:$C,2,1)</f>
        <v>5</v>
      </c>
      <c r="G91" s="102">
        <f>HLOOKUP(H91,Rates,F91,FALSE)</f>
        <v>8.91</v>
      </c>
      <c r="H91" s="103" t="str">
        <f>HLOOKUP(E$82,Rates!$1:$2,2,1)</f>
        <v>I</v>
      </c>
      <c r="I91" s="100">
        <f>DATEDIF($E$5,I$82,"Y")</f>
        <v>23</v>
      </c>
      <c r="J91" s="101">
        <f>VLOOKUP(I91,Rates!$B:$C,2,1)</f>
        <v>5</v>
      </c>
      <c r="K91" s="102">
        <f>HLOOKUP(L91,Rates,J91,FALSE)</f>
        <v>8.91</v>
      </c>
      <c r="L91" s="103" t="str">
        <f>HLOOKUP(I$82,Rates!$1:$2,2,1)</f>
        <v>I</v>
      </c>
      <c r="M91" s="100">
        <f>DATEDIF($E$5,M$82,"Y")</f>
        <v>23</v>
      </c>
      <c r="N91" s="101">
        <f>VLOOKUP(M91,Rates!$B:$C,2,1)</f>
        <v>5</v>
      </c>
      <c r="O91" s="102">
        <f>HLOOKUP(P91,Rates,N91,FALSE)</f>
        <v>8.91</v>
      </c>
      <c r="P91" s="103" t="str">
        <f>HLOOKUP(M$82,Rates!$1:$2,2,1)</f>
        <v>I</v>
      </c>
      <c r="Q91" s="100">
        <f>DATEDIF($E$5,Q$82,"Y")</f>
        <v>23</v>
      </c>
      <c r="R91" s="101">
        <f>VLOOKUP(Q91,Rates!$B:$C,2,1)</f>
        <v>5</v>
      </c>
      <c r="S91" s="102">
        <f>HLOOKUP(T91,Rates,R91,FALSE)</f>
        <v>8.91</v>
      </c>
      <c r="T91" s="103" t="str">
        <f>HLOOKUP(Q$82,Rates!$1:$2,2,1)</f>
        <v>I</v>
      </c>
      <c r="U91" s="100">
        <f>DATEDIF($E$5,U$82,"Y")</f>
        <v>23</v>
      </c>
      <c r="V91" s="101">
        <f>VLOOKUP(U91,Rates!$B:$C,2,1)</f>
        <v>5</v>
      </c>
      <c r="W91" s="102">
        <f>HLOOKUP(X91,Rates,V91,FALSE)</f>
        <v>8.91</v>
      </c>
      <c r="X91" s="103" t="str">
        <f>HLOOKUP(U$82,Rates!$1:$2,2,1)</f>
        <v>I</v>
      </c>
      <c r="Y91" s="100">
        <f>DATEDIF($E$5,Y$82,"Y")</f>
        <v>23</v>
      </c>
      <c r="Z91" s="101">
        <f>VLOOKUP(Y91,Rates!$B:$C,2,1)</f>
        <v>5</v>
      </c>
      <c r="AA91" s="102">
        <f>HLOOKUP(AB91,Rates,Z91,FALSE)</f>
        <v>8.91</v>
      </c>
      <c r="AB91" s="103" t="str">
        <f>HLOOKUP(Y$82,Rates!$1:$2,2,1)</f>
        <v>I</v>
      </c>
      <c r="AC91" s="100">
        <f>ROUNDDOWN(YEARFRAC($E$5,AC$82),0)</f>
        <v>23</v>
      </c>
      <c r="AD91" s="101">
        <f>VLOOKUP(AC91,Rates!$B:$C,2,1)</f>
        <v>5</v>
      </c>
      <c r="AE91" s="102">
        <f>HLOOKUP(AF91,Rates,AD91,FALSE)</f>
        <v>8.91</v>
      </c>
      <c r="AF91" s="103" t="str">
        <f>HLOOKUP(AC$82,Rates!$1:$2,2,1)</f>
        <v>I</v>
      </c>
      <c r="AG91" s="659"/>
      <c r="AH91" s="660"/>
      <c r="AI91" s="660"/>
      <c r="AJ91" s="661"/>
      <c r="AK91" s="695"/>
      <c r="AL91" s="5"/>
      <c r="AM91" s="27"/>
      <c r="AN91" s="45"/>
      <c r="AO91" s="72"/>
      <c r="AP91" s="266"/>
      <c r="AQ91" s="353"/>
      <c r="AR91" s="353"/>
      <c r="AS91" s="353"/>
      <c r="AT91" s="353"/>
      <c r="AU91" s="266"/>
      <c r="AV91" s="267"/>
    </row>
    <row r="92" spans="2:48" ht="0.75" hidden="1" customHeight="1" x14ac:dyDescent="0.2">
      <c r="B92" s="40"/>
      <c r="C92" s="10"/>
      <c r="D92" s="104" t="s">
        <v>144</v>
      </c>
      <c r="E92" s="628">
        <f>E93+(G93/60)</f>
        <v>0</v>
      </c>
      <c r="F92" s="629"/>
      <c r="G92" s="629"/>
      <c r="H92" s="653"/>
      <c r="I92" s="629">
        <f t="shared" ref="I92" si="108">I93+(K93/60)</f>
        <v>0</v>
      </c>
      <c r="J92" s="629"/>
      <c r="K92" s="629"/>
      <c r="L92" s="653"/>
      <c r="M92" s="629">
        <f t="shared" ref="M92" si="109">M93+(O93/60)</f>
        <v>0</v>
      </c>
      <c r="N92" s="629"/>
      <c r="O92" s="629"/>
      <c r="P92" s="653"/>
      <c r="Q92" s="629">
        <f t="shared" ref="Q92" si="110">Q93+(S93/60)</f>
        <v>0</v>
      </c>
      <c r="R92" s="629"/>
      <c r="S92" s="629"/>
      <c r="T92" s="653"/>
      <c r="U92" s="629">
        <f t="shared" ref="U92" si="111">U93+(W93/60)</f>
        <v>0</v>
      </c>
      <c r="V92" s="629"/>
      <c r="W92" s="629"/>
      <c r="X92" s="653"/>
      <c r="Y92" s="629">
        <f t="shared" ref="Y92" si="112">Y93+(AA93/60)</f>
        <v>0</v>
      </c>
      <c r="Z92" s="629"/>
      <c r="AA92" s="629"/>
      <c r="AB92" s="653"/>
      <c r="AC92" s="629">
        <f t="shared" ref="AC92" si="113">AC93+(AE93/60)</f>
        <v>0</v>
      </c>
      <c r="AD92" s="629"/>
      <c r="AE92" s="629"/>
      <c r="AF92" s="653"/>
      <c r="AG92" s="628">
        <f>SUM(E92:AF92)</f>
        <v>0</v>
      </c>
      <c r="AH92" s="629"/>
      <c r="AI92" s="629"/>
      <c r="AJ92" s="630"/>
      <c r="AK92" s="695"/>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95"/>
      <c r="AL93" s="27"/>
      <c r="AM93" s="27"/>
      <c r="AN93" s="45"/>
      <c r="AO93" s="72"/>
      <c r="AP93" s="266"/>
      <c r="AQ93" s="353"/>
      <c r="AR93" s="353"/>
      <c r="AS93" s="353"/>
      <c r="AT93" s="353"/>
      <c r="AU93" s="266"/>
      <c r="AV93" s="267"/>
    </row>
    <row r="94" spans="2:48" ht="15.75" hidden="1" customHeight="1" x14ac:dyDescent="0.2">
      <c r="B94" s="40"/>
      <c r="C94" s="10"/>
      <c r="D94" s="124" t="s">
        <v>146</v>
      </c>
      <c r="E94" s="658">
        <f>MAX(G91,IF($V$15=$AM$15,$AF$15,HLOOKUP(H91,Rates,$AL$15,FALSE)))</f>
        <v>8.91</v>
      </c>
      <c r="F94" s="651"/>
      <c r="G94" s="651"/>
      <c r="H94" s="652"/>
      <c r="I94" s="650">
        <f>MAX(K91,IF($V$15=$AM$15,$AF$15,HLOOKUP(L91,Rates,$AL$15,FALSE)))</f>
        <v>8.91</v>
      </c>
      <c r="J94" s="651"/>
      <c r="K94" s="651"/>
      <c r="L94" s="652"/>
      <c r="M94" s="650">
        <f>MAX(O91,IF($V$15=$AM$15,$AF$15,HLOOKUP(P91,Rates,$AL$15,FALSE)))</f>
        <v>8.91</v>
      </c>
      <c r="N94" s="651"/>
      <c r="O94" s="651"/>
      <c r="P94" s="652"/>
      <c r="Q94" s="650">
        <f>MAX(S91,IF($V$15=$AM$15,$AF$15,HLOOKUP(T91,Rates,$AL$15,FALSE)))</f>
        <v>8.91</v>
      </c>
      <c r="R94" s="651"/>
      <c r="S94" s="651"/>
      <c r="T94" s="652"/>
      <c r="U94" s="650">
        <f>MAX(W91,IF($V$15=$AM$15,$AF$15,HLOOKUP(X91,Rates,$AL$15,FALSE)))</f>
        <v>8.91</v>
      </c>
      <c r="V94" s="651"/>
      <c r="W94" s="651"/>
      <c r="X94" s="652"/>
      <c r="Y94" s="650">
        <f>MAX(AA91,IF($V$15=$AM$15,$AF$15,HLOOKUP(AB91,Rates,$AL$15,FALSE)))</f>
        <v>8.91</v>
      </c>
      <c r="Z94" s="651"/>
      <c r="AA94" s="651"/>
      <c r="AB94" s="652"/>
      <c r="AC94" s="650">
        <f>MAX(AE91,IF($V$15=$AM$15,$AF$15,HLOOKUP(AF91,Rates,$AL$15,FALSE)))</f>
        <v>8.91</v>
      </c>
      <c r="AD94" s="651"/>
      <c r="AE94" s="651"/>
      <c r="AF94" s="666"/>
      <c r="AG94" s="663">
        <f>IF(AM17&lt;&gt;5,0,SUMPRODUCT(E94:AF94,E92:AF92))</f>
        <v>0</v>
      </c>
      <c r="AH94" s="664"/>
      <c r="AI94" s="664"/>
      <c r="AJ94" s="665"/>
      <c r="AK94" s="695"/>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716">
        <f>((E85+(G85/60))*E86)+((E89+(G89/60))*E90)+((E93+(G93/60))*E94)</f>
        <v>0</v>
      </c>
      <c r="F95" s="673"/>
      <c r="G95" s="673"/>
      <c r="H95" s="674"/>
      <c r="I95" s="672">
        <f>((I85+(K85/60))*I86)+((I89+(K89/60))*I90)+((I93+(K93/60))*I94)</f>
        <v>0</v>
      </c>
      <c r="J95" s="673"/>
      <c r="K95" s="673"/>
      <c r="L95" s="674"/>
      <c r="M95" s="672">
        <f>((M85+(O85/60))*M86)+((M89+(O89/60))*M90)+((M93+(O93/60))*M94)</f>
        <v>0</v>
      </c>
      <c r="N95" s="673"/>
      <c r="O95" s="673"/>
      <c r="P95" s="674"/>
      <c r="Q95" s="672">
        <f>((Q85+(S85/60))*Q86)+((Q89+(S89/60))*Q90)+((Q93+(S93/60))*Q94)</f>
        <v>0</v>
      </c>
      <c r="R95" s="673"/>
      <c r="S95" s="673"/>
      <c r="T95" s="674"/>
      <c r="U95" s="672">
        <f>((U85+(W85/60))*U86)+((U89+(W89/60))*U90)+((U93+(W93/60))*U94)</f>
        <v>0</v>
      </c>
      <c r="V95" s="673"/>
      <c r="W95" s="673"/>
      <c r="X95" s="674"/>
      <c r="Y95" s="672">
        <f>((Y85+(AA85/60))*Y86)+((Y89+(AA89/60))*Y90)+((Y93+(AA93/60))*Y94)</f>
        <v>0</v>
      </c>
      <c r="Z95" s="673"/>
      <c r="AA95" s="673"/>
      <c r="AB95" s="674"/>
      <c r="AC95" s="672">
        <f>((AC85+(AE85/60))*AC86)+((AC89+(AE89/60))*AC90)+((AC93+(AE93/60))*AC94)</f>
        <v>0</v>
      </c>
      <c r="AD95" s="673"/>
      <c r="AE95" s="673"/>
      <c r="AF95" s="684"/>
      <c r="AG95" s="634">
        <f>AG94+AG90+AG86</f>
        <v>0</v>
      </c>
      <c r="AH95" s="635"/>
      <c r="AI95" s="635"/>
      <c r="AJ95" s="636"/>
      <c r="AK95" s="695"/>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631">
        <f>E97+(G97/60)</f>
        <v>0</v>
      </c>
      <c r="F96" s="632"/>
      <c r="G96" s="632"/>
      <c r="H96" s="654"/>
      <c r="I96" s="632">
        <f t="shared" ref="I96" si="114">I97+(K97/60)</f>
        <v>0</v>
      </c>
      <c r="J96" s="632"/>
      <c r="K96" s="632"/>
      <c r="L96" s="654"/>
      <c r="M96" s="632">
        <f t="shared" ref="M96" si="115">M97+(O97/60)</f>
        <v>0</v>
      </c>
      <c r="N96" s="632"/>
      <c r="O96" s="632"/>
      <c r="P96" s="654"/>
      <c r="Q96" s="632">
        <f t="shared" ref="Q96" si="116">Q97+(S97/60)</f>
        <v>0</v>
      </c>
      <c r="R96" s="632"/>
      <c r="S96" s="632"/>
      <c r="T96" s="654"/>
      <c r="U96" s="632">
        <f t="shared" ref="U96" si="117">U97+(W97/60)</f>
        <v>0</v>
      </c>
      <c r="V96" s="632"/>
      <c r="W96" s="632"/>
      <c r="X96" s="654"/>
      <c r="Y96" s="632">
        <f t="shared" ref="Y96" si="118">Y97+(AA97/60)</f>
        <v>0</v>
      </c>
      <c r="Z96" s="632"/>
      <c r="AA96" s="632"/>
      <c r="AB96" s="654"/>
      <c r="AC96" s="632">
        <f t="shared" ref="AC96" si="119">AC97+(AE97/60)</f>
        <v>0</v>
      </c>
      <c r="AD96" s="632"/>
      <c r="AE96" s="632"/>
      <c r="AF96" s="654"/>
      <c r="AG96" s="631">
        <f>SUM(E96:AF96)</f>
        <v>0</v>
      </c>
      <c r="AH96" s="632"/>
      <c r="AI96" s="632"/>
      <c r="AJ96" s="633"/>
      <c r="AK96" s="695"/>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95"/>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727" t="s">
        <v>86</v>
      </c>
      <c r="AQ98" s="727"/>
      <c r="AR98" s="727"/>
      <c r="AS98" s="727"/>
      <c r="AT98" s="727"/>
      <c r="AU98" s="727"/>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443" t="s">
        <v>821</v>
      </c>
      <c r="F99" s="444"/>
      <c r="G99" s="444"/>
      <c r="H99" s="444"/>
      <c r="I99" s="444"/>
      <c r="J99" s="444"/>
      <c r="K99" s="444"/>
      <c r="L99" s="444"/>
      <c r="M99" s="445"/>
      <c r="O99" s="551" t="s">
        <v>91</v>
      </c>
      <c r="P99" s="662"/>
      <c r="Q99" s="662"/>
      <c r="R99" s="648" t="s">
        <v>92</v>
      </c>
      <c r="S99" s="662"/>
      <c r="T99" s="553"/>
      <c r="U99" s="640" t="s">
        <v>93</v>
      </c>
      <c r="V99" s="640"/>
      <c r="W99" s="640"/>
      <c r="X99" s="640"/>
      <c r="Y99" s="647" t="s">
        <v>94</v>
      </c>
      <c r="Z99" s="640"/>
      <c r="AA99" s="640"/>
      <c r="AB99" s="648"/>
      <c r="AC99" s="647" t="s">
        <v>95</v>
      </c>
      <c r="AD99" s="640"/>
      <c r="AE99" s="640"/>
      <c r="AF99" s="552"/>
      <c r="AG99" s="551" t="s">
        <v>96</v>
      </c>
      <c r="AH99" s="662"/>
      <c r="AI99" s="662"/>
      <c r="AJ99" s="553"/>
      <c r="AL99" s="48" t="s">
        <v>97</v>
      </c>
      <c r="AM99" s="47" t="str">
        <f>IF((AG95+AG79+AG63+AG47+AG31)&gt;0,"TRUE","FALSE")</f>
        <v>TRUE</v>
      </c>
      <c r="AN99" s="45"/>
      <c r="AO99" s="143"/>
      <c r="AP99" s="725" t="s">
        <v>151</v>
      </c>
      <c r="AQ99" s="725"/>
      <c r="AR99" s="725"/>
      <c r="AS99" s="725"/>
      <c r="AT99" s="725"/>
      <c r="AU99" s="725"/>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739" t="s">
        <v>98</v>
      </c>
      <c r="E100" s="739"/>
      <c r="F100" s="739"/>
      <c r="G100" s="739"/>
      <c r="H100" s="739"/>
      <c r="I100" s="739"/>
      <c r="J100" s="739"/>
      <c r="K100" s="738" t="s">
        <v>99</v>
      </c>
      <c r="L100" s="738"/>
      <c r="M100" s="738"/>
      <c r="O100" s="734">
        <f>DH155</f>
        <v>4000</v>
      </c>
      <c r="P100" s="656"/>
      <c r="Q100" s="656"/>
      <c r="R100" s="735">
        <f>DI155</f>
        <v>13.6</v>
      </c>
      <c r="S100" s="736"/>
      <c r="T100" s="737"/>
      <c r="U100" s="641">
        <f>DJ155</f>
        <v>3</v>
      </c>
      <c r="V100" s="642"/>
      <c r="W100" s="642"/>
      <c r="X100" s="642"/>
      <c r="Y100" s="642">
        <f>DK155</f>
        <v>0</v>
      </c>
      <c r="Z100" s="642"/>
      <c r="AA100" s="642"/>
      <c r="AB100" s="642"/>
      <c r="AC100" s="642">
        <f>DL155</f>
        <v>0</v>
      </c>
      <c r="AD100" s="642"/>
      <c r="AE100" s="642"/>
      <c r="AF100" s="751"/>
      <c r="AG100" s="655">
        <f>DM155</f>
        <v>40.799999999999997</v>
      </c>
      <c r="AH100" s="656"/>
      <c r="AI100" s="656"/>
      <c r="AJ100" s="657"/>
      <c r="AL100" s="5">
        <f>VLOOKUP(E11,TypeFPE,2,FALSE)</f>
        <v>4000</v>
      </c>
      <c r="AM100" s="35" t="str">
        <f>IF((AG86+AG70+AG54+AG38+AG22)&gt;0,"TRUE","FALSE")</f>
        <v>TRUE</v>
      </c>
      <c r="AN100" s="45"/>
      <c r="AO100" s="144"/>
      <c r="AP100" s="726"/>
      <c r="AQ100" s="726"/>
      <c r="AR100" s="726"/>
      <c r="AS100" s="726"/>
      <c r="AT100" s="726"/>
      <c r="AU100" s="726"/>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49" t="s">
        <v>102</v>
      </c>
      <c r="E101" s="649"/>
      <c r="F101" s="649"/>
      <c r="G101" s="649"/>
      <c r="H101" s="649"/>
      <c r="I101" s="649"/>
      <c r="J101" s="649"/>
      <c r="K101" s="435">
        <f>'UniWorkforce Expenses Claim'!AF34</f>
        <v>0</v>
      </c>
      <c r="L101" s="436"/>
      <c r="M101" s="437"/>
      <c r="N101" s="258"/>
      <c r="O101" s="608" t="str">
        <f t="shared" ref="O101:O105" si="120">DH156</f>
        <v/>
      </c>
      <c r="P101" s="609"/>
      <c r="Q101" s="610"/>
      <c r="R101" s="611" t="str">
        <f t="shared" ref="R101:R105" si="121">DI156</f>
        <v/>
      </c>
      <c r="S101" s="612"/>
      <c r="T101" s="613"/>
      <c r="U101" s="643" t="str">
        <f t="shared" ref="U101:U105" si="122">DJ156</f>
        <v/>
      </c>
      <c r="V101" s="578"/>
      <c r="W101" s="578"/>
      <c r="X101" s="579"/>
      <c r="Y101" s="577" t="str">
        <f t="shared" ref="Y101:Y105" si="123">DK156</f>
        <v/>
      </c>
      <c r="Z101" s="578"/>
      <c r="AA101" s="578"/>
      <c r="AB101" s="579"/>
      <c r="AC101" s="577" t="str">
        <f t="shared" ref="AC101:AC105" si="124">DL156</f>
        <v/>
      </c>
      <c r="AD101" s="578"/>
      <c r="AE101" s="578"/>
      <c r="AF101" s="617"/>
      <c r="AG101" s="703" t="str">
        <f t="shared" ref="AG101:AG105" si="125">DM156</f>
        <v/>
      </c>
      <c r="AH101" s="704"/>
      <c r="AI101" s="704"/>
      <c r="AJ101" s="705"/>
      <c r="AL101" s="5" t="str">
        <f>VLOOKUP(E13,TypeFPE,2,FALSE)</f>
        <v>----</v>
      </c>
      <c r="AM101" s="35" t="str">
        <f>IF((AG90+AG74+AG58+AG42+AG26)&gt;0,"TRUE","FALSE")</f>
        <v>FALSE</v>
      </c>
      <c r="AN101" s="45"/>
      <c r="AO101" s="145"/>
      <c r="AP101" s="706" t="str">
        <f>IF(OR(E7="Please select",Z5=0,Z3="Please enter"),"[Pay Ref No] - [Surname] - [Claim Period].xlsx",CONCATENATE(Z5," - ",Z3," - ",VLOOKUP(E7,ClaimPeriods,5,FALSE),".xlsx"))</f>
        <v>2915413 - Giamouridis - Nov21.xlsx</v>
      </c>
      <c r="AQ101" s="707"/>
      <c r="AR101" s="707"/>
      <c r="AS101" s="707"/>
      <c r="AT101" s="707"/>
      <c r="AU101" s="708"/>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49" t="s">
        <v>103</v>
      </c>
      <c r="E102" s="649"/>
      <c r="F102" s="649"/>
      <c r="G102" s="649"/>
      <c r="H102" s="649"/>
      <c r="I102" s="649"/>
      <c r="J102" s="649"/>
      <c r="K102" s="438">
        <f>'UniWorkforce Expenses Claim'!AF36</f>
        <v>0</v>
      </c>
      <c r="L102" s="439"/>
      <c r="M102" s="440"/>
      <c r="N102" s="64"/>
      <c r="O102" s="608" t="str">
        <f t="shared" si="120"/>
        <v/>
      </c>
      <c r="P102" s="609"/>
      <c r="Q102" s="610"/>
      <c r="R102" s="611" t="str">
        <f t="shared" si="121"/>
        <v/>
      </c>
      <c r="S102" s="612"/>
      <c r="T102" s="613"/>
      <c r="U102" s="643" t="str">
        <f t="shared" si="122"/>
        <v/>
      </c>
      <c r="V102" s="578"/>
      <c r="W102" s="578"/>
      <c r="X102" s="579"/>
      <c r="Y102" s="577" t="str">
        <f t="shared" si="123"/>
        <v/>
      </c>
      <c r="Z102" s="578"/>
      <c r="AA102" s="578"/>
      <c r="AB102" s="579"/>
      <c r="AC102" s="577" t="str">
        <f t="shared" si="124"/>
        <v/>
      </c>
      <c r="AD102" s="578"/>
      <c r="AE102" s="578"/>
      <c r="AF102" s="617"/>
      <c r="AG102" s="703" t="str">
        <f t="shared" si="125"/>
        <v/>
      </c>
      <c r="AH102" s="704"/>
      <c r="AI102" s="704"/>
      <c r="AJ102" s="705"/>
      <c r="AL102" s="5" t="str">
        <f>VLOOKUP(E15,TypeFPE,2,FALSE)</f>
        <v>----</v>
      </c>
      <c r="AM102" s="35" t="str">
        <f>IF((AG94+AG78+AG62+AG46+AG30)&gt;0,"TRUE","FALSE")</f>
        <v>FALSE</v>
      </c>
      <c r="AN102" s="45"/>
      <c r="AO102" s="143"/>
      <c r="AP102" s="709" t="s">
        <v>152</v>
      </c>
      <c r="AQ102" s="709"/>
      <c r="AR102" s="709"/>
      <c r="AS102" s="709"/>
      <c r="AT102" s="709"/>
      <c r="AU102" s="709"/>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713" t="s">
        <v>104</v>
      </c>
      <c r="E103" s="713"/>
      <c r="F103" s="713"/>
      <c r="G103" s="713"/>
      <c r="H103" s="713"/>
      <c r="I103" s="713"/>
      <c r="J103" s="713"/>
      <c r="K103" s="713"/>
      <c r="L103" s="713"/>
      <c r="M103" s="713"/>
      <c r="N103" s="259"/>
      <c r="O103" s="608" t="str">
        <f t="shared" si="120"/>
        <v/>
      </c>
      <c r="P103" s="609"/>
      <c r="Q103" s="610"/>
      <c r="R103" s="611" t="str">
        <f t="shared" si="121"/>
        <v/>
      </c>
      <c r="S103" s="612"/>
      <c r="T103" s="613"/>
      <c r="U103" s="643" t="str">
        <f t="shared" si="122"/>
        <v/>
      </c>
      <c r="V103" s="578"/>
      <c r="W103" s="578"/>
      <c r="X103" s="579"/>
      <c r="Y103" s="577" t="str">
        <f t="shared" si="123"/>
        <v/>
      </c>
      <c r="Z103" s="578"/>
      <c r="AA103" s="578"/>
      <c r="AB103" s="579"/>
      <c r="AC103" s="577" t="str">
        <f t="shared" si="124"/>
        <v/>
      </c>
      <c r="AD103" s="578"/>
      <c r="AE103" s="578"/>
      <c r="AF103" s="617"/>
      <c r="AG103" s="703" t="str">
        <f t="shared" si="125"/>
        <v/>
      </c>
      <c r="AH103" s="704"/>
      <c r="AI103" s="704"/>
      <c r="AJ103" s="705"/>
      <c r="AN103" s="45"/>
      <c r="AO103" s="146"/>
      <c r="AP103" s="709"/>
      <c r="AQ103" s="709"/>
      <c r="AR103" s="709"/>
      <c r="AS103" s="709"/>
      <c r="AT103" s="709"/>
      <c r="AU103" s="709"/>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568"/>
      <c r="E104" s="568"/>
      <c r="F104" s="568"/>
      <c r="G104" s="568"/>
      <c r="H104" s="568"/>
      <c r="I104" s="568"/>
      <c r="J104" s="568"/>
      <c r="K104" s="568"/>
      <c r="L104" s="568"/>
      <c r="M104" s="568"/>
      <c r="N104" s="259"/>
      <c r="O104" s="608" t="str">
        <f t="shared" si="120"/>
        <v/>
      </c>
      <c r="P104" s="609"/>
      <c r="Q104" s="610"/>
      <c r="R104" s="611" t="str">
        <f t="shared" si="121"/>
        <v/>
      </c>
      <c r="S104" s="612"/>
      <c r="T104" s="613"/>
      <c r="U104" s="643" t="str">
        <f t="shared" si="122"/>
        <v/>
      </c>
      <c r="V104" s="578"/>
      <c r="W104" s="578"/>
      <c r="X104" s="579"/>
      <c r="Y104" s="577" t="str">
        <f t="shared" si="123"/>
        <v/>
      </c>
      <c r="Z104" s="578"/>
      <c r="AA104" s="578"/>
      <c r="AB104" s="579"/>
      <c r="AC104" s="577" t="str">
        <f t="shared" si="124"/>
        <v/>
      </c>
      <c r="AD104" s="578"/>
      <c r="AE104" s="578"/>
      <c r="AF104" s="617"/>
      <c r="AG104" s="703" t="str">
        <f t="shared" si="125"/>
        <v/>
      </c>
      <c r="AH104" s="704"/>
      <c r="AI104" s="704"/>
      <c r="AJ104" s="705"/>
      <c r="AL104" s="48"/>
      <c r="AM104" s="47"/>
      <c r="AN104" s="45"/>
      <c r="AO104" s="72"/>
      <c r="AP104" s="709"/>
      <c r="AQ104" s="709"/>
      <c r="AR104" s="709"/>
      <c r="AS104" s="709"/>
      <c r="AT104" s="709"/>
      <c r="AU104" s="709"/>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458">
        <v>1</v>
      </c>
      <c r="F105" s="459"/>
      <c r="G105" s="459"/>
      <c r="H105" s="260" t="s">
        <v>17</v>
      </c>
      <c r="I105" s="619">
        <v>9</v>
      </c>
      <c r="J105" s="620"/>
      <c r="K105" s="620"/>
      <c r="L105" s="620"/>
      <c r="M105" s="621"/>
      <c r="N105" s="150"/>
      <c r="O105" s="614" t="str">
        <f t="shared" si="120"/>
        <v/>
      </c>
      <c r="P105" s="615"/>
      <c r="Q105" s="616"/>
      <c r="R105" s="622" t="str">
        <f t="shared" si="121"/>
        <v/>
      </c>
      <c r="S105" s="623"/>
      <c r="T105" s="624"/>
      <c r="U105" s="644" t="str">
        <f t="shared" si="122"/>
        <v/>
      </c>
      <c r="V105" s="645"/>
      <c r="W105" s="645"/>
      <c r="X105" s="646"/>
      <c r="Y105" s="701" t="str">
        <f t="shared" si="123"/>
        <v/>
      </c>
      <c r="Z105" s="645"/>
      <c r="AA105" s="645"/>
      <c r="AB105" s="646"/>
      <c r="AC105" s="701" t="str">
        <f t="shared" si="124"/>
        <v/>
      </c>
      <c r="AD105" s="645"/>
      <c r="AE105" s="645"/>
      <c r="AF105" s="702"/>
      <c r="AG105" s="625" t="str">
        <f t="shared" si="125"/>
        <v/>
      </c>
      <c r="AH105" s="626"/>
      <c r="AI105" s="626"/>
      <c r="AJ105" s="627"/>
      <c r="AL105" s="48"/>
      <c r="AM105" s="47"/>
      <c r="AN105" s="45"/>
      <c r="AO105" s="72"/>
      <c r="AP105" s="709"/>
      <c r="AQ105" s="709"/>
      <c r="AR105" s="709"/>
      <c r="AS105" s="709"/>
      <c r="AT105" s="709"/>
      <c r="AU105" s="709"/>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458">
        <v>0</v>
      </c>
      <c r="F106" s="459"/>
      <c r="G106" s="618"/>
      <c r="H106" s="31" t="s">
        <v>17</v>
      </c>
      <c r="I106" s="619">
        <v>0</v>
      </c>
      <c r="J106" s="620"/>
      <c r="K106" s="620"/>
      <c r="L106" s="620"/>
      <c r="M106" s="621"/>
      <c r="N106" s="259"/>
      <c r="O106" s="583" t="s">
        <v>153</v>
      </c>
      <c r="P106" s="584"/>
      <c r="Q106" s="584"/>
      <c r="R106" s="584"/>
      <c r="S106" s="584"/>
      <c r="T106" s="585"/>
      <c r="U106" s="586">
        <f>DJ144</f>
        <v>0</v>
      </c>
      <c r="V106" s="586"/>
      <c r="W106" s="586"/>
      <c r="X106" s="587"/>
      <c r="Y106" s="588">
        <f>DK144</f>
        <v>0</v>
      </c>
      <c r="Z106" s="586"/>
      <c r="AA106" s="586"/>
      <c r="AB106" s="587"/>
      <c r="AC106" s="588">
        <f>DL144</f>
        <v>0</v>
      </c>
      <c r="AD106" s="586"/>
      <c r="AE106" s="586"/>
      <c r="AF106" s="589"/>
      <c r="AG106" s="590">
        <f>DM144</f>
        <v>0</v>
      </c>
      <c r="AH106" s="591"/>
      <c r="AI106" s="591"/>
      <c r="AJ106" s="592"/>
      <c r="AL106" s="48"/>
      <c r="AM106" s="47"/>
      <c r="AN106" s="45"/>
      <c r="AO106" s="144"/>
      <c r="AP106" s="709"/>
      <c r="AQ106" s="709"/>
      <c r="AR106" s="709"/>
      <c r="AS106" s="709"/>
      <c r="AT106" s="709"/>
      <c r="AU106" s="709"/>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458">
        <v>0</v>
      </c>
      <c r="F107" s="459"/>
      <c r="G107" s="618"/>
      <c r="H107" s="31" t="s">
        <v>17</v>
      </c>
      <c r="I107" s="619">
        <v>0</v>
      </c>
      <c r="J107" s="620"/>
      <c r="K107" s="620"/>
      <c r="L107" s="620"/>
      <c r="M107" s="621"/>
      <c r="N107" s="150"/>
      <c r="O107" s="593" t="s">
        <v>154</v>
      </c>
      <c r="P107" s="594"/>
      <c r="Q107" s="594"/>
      <c r="R107" s="594"/>
      <c r="S107" s="594"/>
      <c r="T107" s="595"/>
      <c r="U107" s="596">
        <f>DJ145</f>
        <v>0</v>
      </c>
      <c r="V107" s="597"/>
      <c r="W107" s="597"/>
      <c r="X107" s="598"/>
      <c r="Y107" s="599">
        <f>DK145</f>
        <v>0</v>
      </c>
      <c r="Z107" s="597"/>
      <c r="AA107" s="597"/>
      <c r="AB107" s="598"/>
      <c r="AC107" s="599">
        <f>DL145</f>
        <v>0</v>
      </c>
      <c r="AD107" s="597"/>
      <c r="AE107" s="597"/>
      <c r="AF107" s="600"/>
      <c r="AG107" s="596">
        <f>DM145</f>
        <v>0</v>
      </c>
      <c r="AH107" s="597"/>
      <c r="AI107" s="597"/>
      <c r="AJ107" s="600"/>
      <c r="AL107" s="48"/>
      <c r="AM107" s="47"/>
      <c r="AN107" s="45"/>
      <c r="AO107" s="144"/>
      <c r="AP107" s="709"/>
      <c r="AQ107" s="709"/>
      <c r="AR107" s="709"/>
      <c r="AS107" s="709"/>
      <c r="AT107" s="709"/>
      <c r="AU107" s="709"/>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601" t="s">
        <v>105</v>
      </c>
      <c r="P108" s="602"/>
      <c r="Q108" s="602"/>
      <c r="R108" s="602"/>
      <c r="S108" s="602"/>
      <c r="T108" s="603"/>
      <c r="U108" s="604">
        <f>DJ146</f>
        <v>6.9808800000000009</v>
      </c>
      <c r="V108" s="604"/>
      <c r="W108" s="604"/>
      <c r="X108" s="605"/>
      <c r="Y108" s="606">
        <f>DK146</f>
        <v>0</v>
      </c>
      <c r="Z108" s="604"/>
      <c r="AA108" s="604"/>
      <c r="AB108" s="605"/>
      <c r="AC108" s="606">
        <f>DL146</f>
        <v>0</v>
      </c>
      <c r="AD108" s="604"/>
      <c r="AE108" s="604"/>
      <c r="AF108" s="607"/>
      <c r="AG108" s="722">
        <f>DM146</f>
        <v>6.9808800000000009</v>
      </c>
      <c r="AH108" s="723"/>
      <c r="AI108" s="723"/>
      <c r="AJ108" s="724"/>
      <c r="AL108" s="5">
        <v>4022</v>
      </c>
      <c r="AM108" s="35">
        <f>AL94+AL90+AL86+AL78+AL74+AL70+AL62+AL58+AL54+AL46+AL42+AL38+AL30+AL26+AL22</f>
        <v>6.9808800000000009</v>
      </c>
      <c r="AN108" s="45"/>
      <c r="AO108" s="144"/>
      <c r="AP108" s="709"/>
      <c r="AQ108" s="709"/>
      <c r="AR108" s="709"/>
      <c r="AS108" s="709"/>
      <c r="AT108" s="709"/>
      <c r="AU108" s="709"/>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580" t="s">
        <v>107</v>
      </c>
      <c r="Y109" s="581"/>
      <c r="Z109" s="581"/>
      <c r="AA109" s="581"/>
      <c r="AB109" s="581"/>
      <c r="AC109" s="581"/>
      <c r="AD109" s="581"/>
      <c r="AE109" s="581"/>
      <c r="AF109" s="582"/>
      <c r="AG109" s="710">
        <f>SUM(AG100:AJ108)</f>
        <v>47.780879999999996</v>
      </c>
      <c r="AH109" s="711"/>
      <c r="AI109" s="711"/>
      <c r="AJ109" s="711"/>
      <c r="AL109" s="48"/>
      <c r="AM109" s="47"/>
      <c r="AN109" s="45"/>
      <c r="AO109" s="144"/>
      <c r="AP109" s="709"/>
      <c r="AQ109" s="709"/>
      <c r="AR109" s="709"/>
      <c r="AS109" s="709"/>
      <c r="AT109" s="709"/>
      <c r="AU109" s="709"/>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709"/>
      <c r="AQ110" s="709"/>
      <c r="AR110" s="709"/>
      <c r="AS110" s="709"/>
      <c r="AT110" s="709"/>
      <c r="AU110" s="709"/>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449" t="s">
        <v>59</v>
      </c>
      <c r="F111" s="450"/>
      <c r="G111" s="450"/>
      <c r="H111" s="450"/>
      <c r="I111" s="450"/>
      <c r="J111" s="450"/>
      <c r="K111" s="450"/>
      <c r="L111" s="450"/>
      <c r="M111" s="451"/>
      <c r="N111" s="150"/>
      <c r="O111" s="515" t="s">
        <v>110</v>
      </c>
      <c r="P111" s="515"/>
      <c r="Q111" s="515"/>
      <c r="R111" s="515"/>
      <c r="S111" s="515"/>
      <c r="T111" s="515"/>
      <c r="U111" s="515"/>
      <c r="V111" s="515"/>
      <c r="W111" s="515"/>
      <c r="X111" s="515"/>
      <c r="Y111" s="712"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712"/>
      <c r="AA111" s="712"/>
      <c r="AB111" s="712"/>
      <c r="AC111" s="712"/>
      <c r="AD111" s="712"/>
      <c r="AE111" s="712"/>
      <c r="AF111" s="712"/>
      <c r="AG111" s="712"/>
      <c r="AH111" s="712"/>
      <c r="AI111" s="712"/>
      <c r="AJ111" s="712"/>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499" t="s">
        <v>112</v>
      </c>
      <c r="C113" s="500"/>
      <c r="D113" s="500"/>
      <c r="E113" s="500"/>
      <c r="F113" s="500"/>
      <c r="G113" s="500"/>
      <c r="H113" s="500"/>
      <c r="I113" s="500"/>
      <c r="J113" s="500"/>
      <c r="K113" s="500"/>
      <c r="L113" s="500"/>
      <c r="M113" s="500"/>
      <c r="N113" s="500"/>
      <c r="O113" s="500"/>
      <c r="P113" s="500"/>
      <c r="Q113" s="500"/>
      <c r="R113" s="500"/>
      <c r="S113" s="500"/>
      <c r="T113" s="500"/>
      <c r="U113" s="500"/>
      <c r="V113" s="500"/>
      <c r="W113" s="500"/>
      <c r="X113" s="500"/>
      <c r="Y113" s="500"/>
      <c r="Z113" s="500"/>
      <c r="AA113" s="500"/>
      <c r="AB113" s="500"/>
      <c r="AC113" s="500"/>
      <c r="AD113" s="500"/>
      <c r="AE113" s="500"/>
      <c r="AF113" s="500"/>
      <c r="AG113" s="500"/>
      <c r="AH113" s="500"/>
      <c r="AI113" s="500"/>
      <c r="AJ113" s="500"/>
      <c r="AK113" s="500"/>
      <c r="AL113" s="500"/>
      <c r="AM113" s="500"/>
      <c r="AN113" s="500"/>
      <c r="AO113" s="500"/>
      <c r="AP113" s="500"/>
      <c r="AQ113" s="500"/>
      <c r="AR113" s="500"/>
      <c r="AS113" s="500"/>
      <c r="AT113" s="500"/>
      <c r="AU113" s="500"/>
      <c r="AV113" s="501"/>
    </row>
    <row r="114" spans="2:79" ht="15" customHeight="1" x14ac:dyDescent="0.2">
      <c r="B114" s="502" t="s">
        <v>156</v>
      </c>
      <c r="C114" s="503"/>
      <c r="D114" s="503"/>
      <c r="E114" s="503"/>
      <c r="F114" s="503"/>
      <c r="G114" s="503"/>
      <c r="H114" s="503"/>
      <c r="I114" s="503"/>
      <c r="J114" s="503"/>
      <c r="K114" s="503"/>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4"/>
    </row>
    <row r="115" spans="2:79" x14ac:dyDescent="0.2">
      <c r="B115" s="505"/>
      <c r="C115" s="505"/>
      <c r="D115" s="505"/>
      <c r="E115" s="505"/>
      <c r="F115" s="505"/>
      <c r="G115" s="505"/>
      <c r="H115" s="505"/>
      <c r="I115" s="505"/>
      <c r="J115" s="505"/>
      <c r="K115" s="505"/>
      <c r="L115" s="505"/>
      <c r="M115" s="505"/>
      <c r="N115" s="505"/>
      <c r="O115" s="505"/>
      <c r="P115" s="505"/>
      <c r="Q115" s="505"/>
      <c r="R115" s="505"/>
      <c r="S115" s="505"/>
      <c r="T115" s="505"/>
      <c r="U115" s="505"/>
      <c r="V115" s="505"/>
      <c r="W115" s="505"/>
      <c r="X115" s="505"/>
      <c r="Y115" s="505"/>
      <c r="Z115" s="505"/>
      <c r="AA115" s="505"/>
      <c r="AB115" s="505"/>
      <c r="AC115" s="505"/>
      <c r="AD115" s="505"/>
      <c r="AE115" s="505"/>
      <c r="AF115" s="505"/>
      <c r="AG115" s="505"/>
      <c r="AH115" s="505"/>
      <c r="AI115" s="505"/>
      <c r="AJ115" s="505"/>
      <c r="AK115" s="505"/>
      <c r="AL115" s="505"/>
      <c r="AM115" s="505"/>
      <c r="AN115" s="505"/>
    </row>
    <row r="117" spans="2:79"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x14ac:dyDescent="0.2">
      <c r="AX120" s="199">
        <v>1</v>
      </c>
      <c r="AY120" s="199">
        <v>1</v>
      </c>
      <c r="AZ120" s="199">
        <v>1</v>
      </c>
      <c r="BA120" s="195">
        <f>$E20</f>
        <v>0</v>
      </c>
      <c r="BB120" s="197">
        <f>$E22</f>
        <v>13.6</v>
      </c>
      <c r="BD120" s="208">
        <v>2</v>
      </c>
      <c r="BE120" s="208">
        <v>1</v>
      </c>
      <c r="BF120" s="208">
        <v>1</v>
      </c>
      <c r="BG120" s="204">
        <f>$E36</f>
        <v>0</v>
      </c>
      <c r="BH120" s="206">
        <f>$E38</f>
        <v>13.6</v>
      </c>
      <c r="BJ120" s="217">
        <v>3</v>
      </c>
      <c r="BK120" s="217">
        <v>1</v>
      </c>
      <c r="BL120" s="217">
        <v>1</v>
      </c>
      <c r="BM120" s="213">
        <f>$E52</f>
        <v>0</v>
      </c>
      <c r="BN120" s="215">
        <f>$E54</f>
        <v>13.6</v>
      </c>
      <c r="BP120" s="226">
        <v>4</v>
      </c>
      <c r="BQ120" s="226">
        <v>1</v>
      </c>
      <c r="BR120" s="226">
        <v>1</v>
      </c>
      <c r="BS120" s="222">
        <f>$E68</f>
        <v>0</v>
      </c>
      <c r="BT120" s="224">
        <f>$E70</f>
        <v>13.6</v>
      </c>
      <c r="BV120" s="235">
        <v>5</v>
      </c>
      <c r="BW120" s="235">
        <v>1</v>
      </c>
      <c r="BX120" s="235">
        <v>1</v>
      </c>
      <c r="BY120" s="231">
        <f>IF(AM17&lt;&gt;5,0,$E84)</f>
        <v>0</v>
      </c>
      <c r="BZ120" s="233">
        <f>IF(AM17&lt;&gt;5,0,$E86)</f>
        <v>0</v>
      </c>
      <c r="CA120" s="233">
        <f>$E86</f>
        <v>13.6</v>
      </c>
    </row>
    <row r="121" spans="2:79" x14ac:dyDescent="0.2">
      <c r="AX121" s="199">
        <v>1</v>
      </c>
      <c r="AY121" s="199">
        <v>1</v>
      </c>
      <c r="AZ121" s="199">
        <v>2</v>
      </c>
      <c r="BA121" s="195">
        <f>$I20</f>
        <v>0</v>
      </c>
      <c r="BB121" s="197">
        <f>$I22</f>
        <v>13.6</v>
      </c>
      <c r="BD121" s="208">
        <v>2</v>
      </c>
      <c r="BE121" s="208">
        <v>1</v>
      </c>
      <c r="BF121" s="208">
        <v>2</v>
      </c>
      <c r="BG121" s="204">
        <f>$I36</f>
        <v>2</v>
      </c>
      <c r="BH121" s="206">
        <f>$I38</f>
        <v>13.6</v>
      </c>
      <c r="BJ121" s="217">
        <v>3</v>
      </c>
      <c r="BK121" s="217">
        <v>1</v>
      </c>
      <c r="BL121" s="217">
        <v>2</v>
      </c>
      <c r="BM121" s="213">
        <f>$I52</f>
        <v>0</v>
      </c>
      <c r="BN121" s="215">
        <f>$I54</f>
        <v>13.6</v>
      </c>
      <c r="BP121" s="226">
        <v>4</v>
      </c>
      <c r="BQ121" s="226">
        <v>1</v>
      </c>
      <c r="BR121" s="226">
        <v>2</v>
      </c>
      <c r="BS121" s="222">
        <f>$I68</f>
        <v>0</v>
      </c>
      <c r="BT121" s="224">
        <f>$I70</f>
        <v>13.6</v>
      </c>
      <c r="BV121" s="235">
        <v>5</v>
      </c>
      <c r="BW121" s="235">
        <v>1</v>
      </c>
      <c r="BX121" s="235">
        <v>2</v>
      </c>
      <c r="BY121" s="231">
        <f>IF(AM17&lt;&gt;5,0,$I84)</f>
        <v>0</v>
      </c>
      <c r="BZ121" s="233">
        <f>IF(AM17&lt;&gt;5,0,$I86)</f>
        <v>0</v>
      </c>
      <c r="CA121" s="233">
        <f>$I86</f>
        <v>13.6</v>
      </c>
    </row>
    <row r="122" spans="2:79"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0</v>
      </c>
      <c r="CA122" s="233">
        <f>$M86</f>
        <v>13.6</v>
      </c>
    </row>
    <row r="123" spans="2:79"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x14ac:dyDescent="0.2">
      <c r="AX126" s="199">
        <v>1</v>
      </c>
      <c r="AY126" s="199">
        <v>1</v>
      </c>
      <c r="AZ126" s="199">
        <v>7</v>
      </c>
      <c r="BA126" s="195">
        <f>$AC20</f>
        <v>1</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x14ac:dyDescent="0.2">
      <c r="AX143" s="199" t="str">
        <f t="shared" ref="AX143:AX160" si="126">IF(OR(BA143=0,AY143=0),"Ignore me","Claim")</f>
        <v>Claim</v>
      </c>
      <c r="AY143" s="200">
        <f>$I$105</f>
        <v>9</v>
      </c>
      <c r="AZ143" s="199">
        <f>$AL$100</f>
        <v>4000</v>
      </c>
      <c r="BA143" s="195">
        <f>(1-($E$106+$E$107))*SUMIF(BB$120:BB$126,BB143,BA$120:BA$126)</f>
        <v>1</v>
      </c>
      <c r="BB143" s="197">
        <f>MIN(BB$120:BB$126)</f>
        <v>13.6</v>
      </c>
      <c r="BD143" s="208" t="str">
        <f t="shared" ref="BD143:BD160" si="127">IF(OR(BG143=0,BE143=0),"Ignore me","Claim")</f>
        <v>Claim</v>
      </c>
      <c r="BE143" s="209">
        <f>$I$105</f>
        <v>9</v>
      </c>
      <c r="BF143" s="208">
        <f>$AL$100</f>
        <v>4000</v>
      </c>
      <c r="BG143" s="204">
        <f>(1-($E$106+$E$107))*SUMIF(BH$120:BH$126,BH143,BG$120:BG$126)</f>
        <v>2</v>
      </c>
      <c r="BH143" s="206">
        <f>MIN(BH$120:BH$126)</f>
        <v>13.6</v>
      </c>
      <c r="BJ143" s="217" t="str">
        <f t="shared" ref="BJ143:BJ160" si="128">IF(OR(BM143=0,BK143=0),"Ignore me","Claim")</f>
        <v>Ignore me</v>
      </c>
      <c r="BK143" s="218">
        <f>$I$105</f>
        <v>9</v>
      </c>
      <c r="BL143" s="217">
        <f>$AL$100</f>
        <v>4000</v>
      </c>
      <c r="BM143" s="213">
        <f>(1-($E$106+$E$107))*SUMIF(BN$120:BN$126,BN143,BM$120:BM$126)</f>
        <v>0</v>
      </c>
      <c r="BN143" s="215">
        <f>MIN(BN$120:BN$126)</f>
        <v>13.6</v>
      </c>
      <c r="BP143" s="226" t="str">
        <f t="shared" ref="BP143:BP160" si="129">IF(OR(BS143=0,BQ143=0),"Ignore me","Claim")</f>
        <v>Ignore me</v>
      </c>
      <c r="BQ143" s="227">
        <f>$I$105</f>
        <v>9</v>
      </c>
      <c r="BR143" s="226">
        <f>$AL$100</f>
        <v>4000</v>
      </c>
      <c r="BS143" s="222">
        <f>(1-($E$106+$E$107))*SUMIF(BT$120:BT$126,BT143,BS$120:BS$126)</f>
        <v>0</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1</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6.9808800000000009</v>
      </c>
      <c r="DK146" s="255">
        <f>DM146*$E$106</f>
        <v>0</v>
      </c>
      <c r="DL146" s="255">
        <f>DM146*$E$107</f>
        <v>0</v>
      </c>
      <c r="DM146" s="35">
        <f>AM108</f>
        <v>6.9808800000000009</v>
      </c>
    </row>
    <row r="147" spans="50:117"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3</v>
      </c>
      <c r="DK147" s="28">
        <f>SUMIFS($DD$144:$DD$233,$DC$144:$DC$233,$DH147,$DB$144:$DB$233,DK$143,$DA$144:$DA$233,$DG147,$DE$144:$DE$233,$DI147)</f>
        <v>0</v>
      </c>
      <c r="DL147" s="28">
        <f>SUMIFS($DD$144:$DD$233,$DC$144:$DC$233,$DH147,$DB$144:$DB$233,DL$143,$DA$144:$DA$233,$DG147,$DE$144:$DE$233,$DI147)</f>
        <v>0</v>
      </c>
      <c r="DM147" s="35">
        <f>DI147*SUM(DJ147:DL147)</f>
        <v>40.799999999999997</v>
      </c>
    </row>
    <row r="148" spans="50:117"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3</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40.799999999999997</v>
      </c>
    </row>
    <row r="156" spans="50:117"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2</v>
      </c>
      <c r="DE162" s="35">
        <f t="shared" si="157"/>
        <v>13.6</v>
      </c>
      <c r="DF162" s="35"/>
      <c r="DH162" s="48"/>
      <c r="DI162" s="48"/>
      <c r="DJ162" s="35"/>
      <c r="DK162" s="255"/>
      <c r="DL162" s="255"/>
      <c r="DM162" s="35"/>
    </row>
    <row r="163" spans="3:117"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x14ac:dyDescent="0.2">
      <c r="C173" s="379">
        <f>E$18</f>
        <v>44501</v>
      </c>
      <c r="D173" s="384">
        <f>E$31</f>
        <v>0</v>
      </c>
      <c r="E173" s="378"/>
      <c r="F173" s="378"/>
      <c r="G173" s="378"/>
      <c r="H173" s="378"/>
      <c r="I173" s="378"/>
      <c r="J173" s="378"/>
      <c r="K173" s="378"/>
      <c r="L173" s="378"/>
      <c r="M173" s="378"/>
      <c r="N173" s="378"/>
      <c r="O173" s="747"/>
      <c r="P173" s="747"/>
      <c r="Q173" s="747"/>
      <c r="R173" s="747"/>
      <c r="S173" s="747"/>
      <c r="AR173" s="377"/>
      <c r="AS173" s="328">
        <v>0</v>
      </c>
      <c r="AT173" s="1" t="str">
        <f>BA173&amp;(ROUND((AY173*AZ173)*(SUM(BB173:CJ173)/1000000),0))</f>
        <v>9259891</v>
      </c>
      <c r="AV173" s="328" t="str">
        <f>BA173&amp;(ROUND((AY173*AZ173)*(SUM(BB173:CJ173)/1000000),0))</f>
        <v>9259891</v>
      </c>
      <c r="AW173" s="328">
        <v>0</v>
      </c>
      <c r="AX173" s="201" t="str">
        <f>IF((BB173+BD173+BF173+BH173+BJ173+BL173+BN173+BP173+BR173+BT173+BV173+BX173+BZ173+CB173+CD173+CF173+CH173)=0,"Ignore me","Claim")</f>
        <v>Ignore me</v>
      </c>
      <c r="AY173" s="243">
        <f t="array" ref="AY173">IF(SUM($D$173:$D$179)=0,$E$18,MIN(IF($D$173:$D$179&gt;0,$C$173:$C$179)))</f>
        <v>44507</v>
      </c>
      <c r="AZ173" s="243">
        <f t="array" ref="AZ173">IF(SUM($D$173:$D$179)=0,$AC$18,MAX(IF($D$173:$D$179&gt;0,$C$173:$C$179)))</f>
        <v>44507</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x14ac:dyDescent="0.2">
      <c r="C174" s="379">
        <f>I$18</f>
        <v>44502</v>
      </c>
      <c r="D174" s="384">
        <f>I$31</f>
        <v>0</v>
      </c>
      <c r="AR174" s="377"/>
      <c r="AS174" s="328">
        <f>COUNTIF($AT$173:$AT173,$AT174)</f>
        <v>0</v>
      </c>
      <c r="AT174" s="1" t="str">
        <f t="shared" ref="AT174:AT237" si="181">BA174&amp;(ROUND((AY174*AZ174)*(SUM(BB174:CJ174)/1000000),0))</f>
        <v>9282393</v>
      </c>
      <c r="AV174" s="328" t="str">
        <f t="shared" ref="AV174:AV237" si="182">BA174&amp;(ROUND((AY174*AZ174)*(SUM(BB174:CJ174)/1000000),0))</f>
        <v>9282393</v>
      </c>
      <c r="AW174" s="328">
        <f>COUNTIF($AT$173:$AT173,$AT174)</f>
        <v>0</v>
      </c>
      <c r="AX174" s="201" t="str">
        <f>IF(OR((BB174+BD174+BF174+BH174+BJ174+BL174+BN174+BP174+BR174+BT174+BV174+BX174+BZ174+CB174+CD174+CF174+CH174)=0,AW174&lt;&gt;0),"Ignore me","Claim")</f>
        <v>Ignore me</v>
      </c>
      <c r="AY174" s="243">
        <f t="array" ref="AY174">IF(SUM($D$173:$D$179)=0,$E$18,MIN(IF($D$173:$D$179&gt;0,$C$173:$C$179)))</f>
        <v>44507</v>
      </c>
      <c r="AZ174" s="243">
        <f t="array" ref="AZ174">IF(SUM($D$173:$D$179)=0,$AC$18,MAX(IF($D$173:$D$179&gt;0,$C$173:$C$179)))</f>
        <v>44507</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x14ac:dyDescent="0.2">
      <c r="C175" s="379">
        <f>M$18</f>
        <v>44503</v>
      </c>
      <c r="D175" s="384">
        <f>M$31</f>
        <v>0</v>
      </c>
      <c r="AR175" s="377"/>
      <c r="AS175" s="328">
        <f>COUNTIF($AT$173:$AT174,$AT175)</f>
        <v>0</v>
      </c>
      <c r="AT175" s="1" t="str">
        <f t="shared" si="181"/>
        <v>9433019</v>
      </c>
      <c r="AV175" s="328" t="str">
        <f t="shared" si="182"/>
        <v>9433019</v>
      </c>
      <c r="AW175" s="328">
        <f>COUNTIF($AT$173:$AT174,$AT175)</f>
        <v>0</v>
      </c>
      <c r="AX175" s="201" t="str">
        <f t="shared" ref="AX175:AX238" si="183">IF(OR((BB175+BD175+BF175+BH175+BJ175+BL175+BN175+BP175+BR175+BT175+BV175+BX175+BZ175+CB175+CD175+CF175+CH175)=0,AW175&lt;&gt;0),"Ignore me","Claim")</f>
        <v>Claim</v>
      </c>
      <c r="AY175" s="243">
        <f t="array" ref="AY175">IF(SUM($D$173:$D$179)=0,$E$18,MIN(IF($D$173:$D$179&gt;0,$C$173:$C$179)))</f>
        <v>44507</v>
      </c>
      <c r="AZ175" s="243">
        <f t="array" ref="AZ175">IF(SUM($D$173:$D$179)=0,$AC$18,MAX(IF($D$173:$D$179&gt;0,$C$173:$C$179)))</f>
        <v>44507</v>
      </c>
      <c r="BA175" s="244">
        <f t="shared" si="164"/>
        <v>9</v>
      </c>
      <c r="BB175" s="195">
        <f t="shared" si="165"/>
        <v>1</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x14ac:dyDescent="0.2">
      <c r="C176" s="379">
        <f>Q$18</f>
        <v>44504</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44507</v>
      </c>
      <c r="AZ176" s="243">
        <f t="array" ref="AZ176">IF(SUM($D$173:$D$179)=0,$AC$18,MAX(IF($D$173:$D$179&gt;0,$C$173:$C$179)))</f>
        <v>44507</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x14ac:dyDescent="0.2">
      <c r="C177" s="379">
        <f>U$18</f>
        <v>44505</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44507</v>
      </c>
      <c r="AZ177" s="243">
        <f t="array" ref="AZ177">IF(SUM($D$173:$D$179)=0,$AC$18,MAX(IF($D$173:$D$179&gt;0,$C$173:$C$179)))</f>
        <v>44507</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x14ac:dyDescent="0.2">
      <c r="C178" s="379">
        <f>Y$18</f>
        <v>44506</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44507</v>
      </c>
      <c r="AZ178" s="243">
        <f t="array" ref="AZ178">IF(SUM($D$173:$D$179)=0,$AC$18,MAX(IF($D$173:$D$179&gt;0,$C$173:$C$179)))</f>
        <v>44507</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x14ac:dyDescent="0.2">
      <c r="C179" s="379">
        <f>AC$18</f>
        <v>44507</v>
      </c>
      <c r="D179" s="384">
        <f>AC$31</f>
        <v>13.6</v>
      </c>
      <c r="AR179" s="377"/>
      <c r="AS179" s="328">
        <f>COUNTIF($AT$173:$AT178,$AT179)</f>
        <v>0</v>
      </c>
      <c r="AT179" s="1" t="str">
        <f t="shared" si="181"/>
        <v>0259891</v>
      </c>
      <c r="AV179" s="328" t="str">
        <f t="shared" si="182"/>
        <v>0259891</v>
      </c>
      <c r="AW179" s="328">
        <f>COUNTIF($AT$173:$AT178,$AT179)</f>
        <v>0</v>
      </c>
      <c r="AX179" s="201" t="str">
        <f t="shared" si="183"/>
        <v>Ignore me</v>
      </c>
      <c r="AY179" s="243">
        <f t="array" ref="AY179">IF(SUM($D$173:$D$179)=0,$E$18,MIN(IF($D$173:$D$179&gt;0,$C$173:$C$179)))</f>
        <v>44507</v>
      </c>
      <c r="AZ179" s="243">
        <f t="array" ref="AZ179">IF(SUM($D$173:$D$179)=0,$AC$18,MAX(IF($D$173:$D$179&gt;0,$C$173:$C$179)))</f>
        <v>44507</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x14ac:dyDescent="0.2">
      <c r="C180" s="380">
        <f>E$34</f>
        <v>44508</v>
      </c>
      <c r="D180" s="385">
        <f>E$47</f>
        <v>0</v>
      </c>
      <c r="AR180" s="377"/>
      <c r="AS180" s="328">
        <f>COUNTIF($AT$173:$AT179,$AT180)</f>
        <v>0</v>
      </c>
      <c r="AT180" s="1" t="str">
        <f t="shared" si="181"/>
        <v>0282393</v>
      </c>
      <c r="AV180" s="328" t="str">
        <f t="shared" si="182"/>
        <v>0282393</v>
      </c>
      <c r="AW180" s="328">
        <f>COUNTIF($AT$173:$AT179,$AT180)</f>
        <v>0</v>
      </c>
      <c r="AX180" s="201" t="str">
        <f t="shared" si="183"/>
        <v>Ignore me</v>
      </c>
      <c r="AY180" s="243">
        <f t="array" ref="AY180">IF(SUM($D$173:$D$179)=0,$E$18,MIN(IF($D$173:$D$179&gt;0,$C$173:$C$179)))</f>
        <v>44507</v>
      </c>
      <c r="AZ180" s="243">
        <f t="array" ref="AZ180">IF(SUM($D$173:$D$179)=0,$AC$18,MAX(IF($D$173:$D$179&gt;0,$C$173:$C$179)))</f>
        <v>44507</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0</v>
      </c>
      <c r="DE180" s="35">
        <f t="shared" ref="DE180:DE197" si="187">BN143</f>
        <v>13.6</v>
      </c>
      <c r="DF180" s="35"/>
    </row>
    <row r="181" spans="3:110" x14ac:dyDescent="0.2">
      <c r="C181" s="380">
        <f>I$34</f>
        <v>44509</v>
      </c>
      <c r="D181" s="385">
        <f>I$47</f>
        <v>27.2</v>
      </c>
      <c r="AR181" s="377"/>
      <c r="AS181" s="328">
        <f>COUNTIF($AT$173:$AT180,$AT181)</f>
        <v>0</v>
      </c>
      <c r="AT181" s="1" t="str">
        <f t="shared" si="181"/>
        <v>0431038</v>
      </c>
      <c r="AV181" s="328" t="str">
        <f t="shared" si="182"/>
        <v>0431038</v>
      </c>
      <c r="AW181" s="328">
        <f>COUNTIF($AT$173:$AT180,$AT181)</f>
        <v>0</v>
      </c>
      <c r="AX181" s="201" t="str">
        <f t="shared" si="183"/>
        <v>Ignore me</v>
      </c>
      <c r="AY181" s="243">
        <f t="array" ref="AY181">IF(SUM($D$173:$D$179)=0,$E$18,MIN(IF($D$173:$D$179&gt;0,$C$173:$C$179)))</f>
        <v>44507</v>
      </c>
      <c r="AZ181" s="243">
        <f t="array" ref="AZ181">IF(SUM($D$173:$D$179)=0,$AC$18,MAX(IF($D$173:$D$179&gt;0,$C$173:$C$179)))</f>
        <v>44507</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x14ac:dyDescent="0.2">
      <c r="C182" s="380">
        <f>M$34</f>
        <v>44510</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44507</v>
      </c>
      <c r="AZ182" s="243">
        <f t="array" ref="AZ182">IF(SUM($D$173:$D$179)=0,$AC$18,MAX(IF($D$173:$D$179&gt;0,$C$173:$C$179)))</f>
        <v>44507</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x14ac:dyDescent="0.2">
      <c r="C183" s="380">
        <f>Q$34</f>
        <v>44511</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44507</v>
      </c>
      <c r="AZ183" s="243">
        <f t="array" ref="AZ183">IF(SUM($D$173:$D$179)=0,$AC$18,MAX(IF($D$173:$D$179&gt;0,$C$173:$C$179)))</f>
        <v>44507</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x14ac:dyDescent="0.2">
      <c r="C184" s="380">
        <f>U$34</f>
        <v>44512</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44507</v>
      </c>
      <c r="AZ184" s="243">
        <f t="array" ref="AZ184">IF(SUM($D$173:$D$179)=0,$AC$18,MAX(IF($D$173:$D$179&gt;0,$C$173:$C$179)))</f>
        <v>44507</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x14ac:dyDescent="0.2">
      <c r="C185" s="380">
        <f>Y$34</f>
        <v>44513</v>
      </c>
      <c r="D185" s="385">
        <f>Y$47</f>
        <v>0</v>
      </c>
      <c r="AR185" s="377"/>
      <c r="AS185" s="328">
        <f>COUNTIF($AT$173:$AT184,$AT185)</f>
        <v>1</v>
      </c>
      <c r="AT185" s="1" t="str">
        <f t="shared" si="181"/>
        <v>0259891</v>
      </c>
      <c r="AV185" s="328" t="str">
        <f t="shared" si="182"/>
        <v>0259891</v>
      </c>
      <c r="AW185" s="328">
        <f>COUNTIF($AT$173:$AT184,$AT185)</f>
        <v>1</v>
      </c>
      <c r="AX185" s="201" t="str">
        <f t="shared" si="183"/>
        <v>Ignore me</v>
      </c>
      <c r="AY185" s="243">
        <f t="array" ref="AY185">IF(SUM($D$173:$D$179)=0,$E$18,MIN(IF($D$173:$D$179&gt;0,$C$173:$C$179)))</f>
        <v>44507</v>
      </c>
      <c r="AZ185" s="243">
        <f t="array" ref="AZ185">IF(SUM($D$173:$D$179)=0,$AC$18,MAX(IF($D$173:$D$179&gt;0,$C$173:$C$179)))</f>
        <v>44507</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x14ac:dyDescent="0.2">
      <c r="C186" s="380">
        <f>AC$34</f>
        <v>44514</v>
      </c>
      <c r="D186" s="385">
        <f>AC$47</f>
        <v>0</v>
      </c>
      <c r="AR186" s="377"/>
      <c r="AS186" s="328">
        <f>COUNTIF($AT$173:$AT185,$AT186)</f>
        <v>1</v>
      </c>
      <c r="AT186" s="1" t="str">
        <f t="shared" si="181"/>
        <v>0282393</v>
      </c>
      <c r="AV186" s="328" t="str">
        <f t="shared" si="182"/>
        <v>0282393</v>
      </c>
      <c r="AW186" s="328">
        <f>COUNTIF($AT$173:$AT185,$AT186)</f>
        <v>1</v>
      </c>
      <c r="AX186" s="201" t="str">
        <f t="shared" si="183"/>
        <v>Ignore me</v>
      </c>
      <c r="AY186" s="243">
        <f t="array" ref="AY186">IF(SUM($D$173:$D$179)=0,$E$18,MIN(IF($D$173:$D$179&gt;0,$C$173:$C$179)))</f>
        <v>44507</v>
      </c>
      <c r="AZ186" s="243">
        <f t="array" ref="AZ186">IF(SUM($D$173:$D$179)=0,$AC$18,MAX(IF($D$173:$D$179&gt;0,$C$173:$C$179)))</f>
        <v>44507</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x14ac:dyDescent="0.2">
      <c r="C187" s="381">
        <f>E$50</f>
        <v>44515</v>
      </c>
      <c r="D187" s="386">
        <f>E$63</f>
        <v>0</v>
      </c>
      <c r="AR187" s="377"/>
      <c r="AS187" s="328">
        <f>COUNTIF($AT$173:$AT186,$AT187)</f>
        <v>1</v>
      </c>
      <c r="AT187" s="1" t="str">
        <f t="shared" si="181"/>
        <v>0431038</v>
      </c>
      <c r="AV187" s="328" t="str">
        <f t="shared" si="182"/>
        <v>0431038</v>
      </c>
      <c r="AW187" s="328">
        <f>COUNTIF($AT$173:$AT186,$AT187)</f>
        <v>1</v>
      </c>
      <c r="AX187" s="201" t="str">
        <f t="shared" si="183"/>
        <v>Ignore me</v>
      </c>
      <c r="AY187" s="243">
        <f t="array" ref="AY187">IF(SUM($D$173:$D$179)=0,$E$18,MIN(IF($D$173:$D$179&gt;0,$C$173:$C$179)))</f>
        <v>44507</v>
      </c>
      <c r="AZ187" s="243">
        <f t="array" ref="AZ187">IF(SUM($D$173:$D$179)=0,$AC$18,MAX(IF($D$173:$D$179&gt;0,$C$173:$C$179)))</f>
        <v>44507</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x14ac:dyDescent="0.2">
      <c r="C188" s="381">
        <f>I$50</f>
        <v>44516</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44507</v>
      </c>
      <c r="AZ188" s="243">
        <f t="array" ref="AZ188">IF(SUM($D$173:$D$179)=0,$AC$18,MAX(IF($D$173:$D$179&gt;0,$C$173:$C$179)))</f>
        <v>44507</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x14ac:dyDescent="0.2">
      <c r="C189" s="381">
        <f>M$50</f>
        <v>44517</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44507</v>
      </c>
      <c r="AZ189" s="243">
        <f t="array" ref="AZ189">IF(SUM($D$173:$D$179)=0,$AC$18,MAX(IF($D$173:$D$179&gt;0,$C$173:$C$179)))</f>
        <v>44507</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x14ac:dyDescent="0.2">
      <c r="C190" s="381">
        <f>Q$50</f>
        <v>44518</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44507</v>
      </c>
      <c r="AZ190" s="243">
        <f t="array" ref="AZ190">IF(SUM($D$173:$D$179)=0,$AC$18,MAX(IF($D$173:$D$179&gt;0,$C$173:$C$179)))</f>
        <v>44507</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x14ac:dyDescent="0.2">
      <c r="C191" s="381">
        <f>U$50</f>
        <v>44519</v>
      </c>
      <c r="D191" s="386">
        <f>U$63</f>
        <v>0</v>
      </c>
      <c r="AR191" s="377"/>
      <c r="AS191" s="328">
        <f>COUNTIF($AT$173:$AT190,$AT191)</f>
        <v>0</v>
      </c>
      <c r="AT191" s="1" t="str">
        <f t="shared" si="181"/>
        <v>9259914</v>
      </c>
      <c r="AV191" s="328" t="str">
        <f t="shared" si="182"/>
        <v>9259914</v>
      </c>
      <c r="AW191" s="328">
        <f>COUNTIF($AT$173:$AT190,$AT191)</f>
        <v>0</v>
      </c>
      <c r="AX191" s="201" t="str">
        <f t="shared" si="183"/>
        <v>Ignore me</v>
      </c>
      <c r="AY191" s="240">
        <f t="array" ref="AY191">IF(SUM($D$180:$D$186)=0,$E$34,MIN(IF($D$180:$D$186&gt;0,$C$180:$C$186)))</f>
        <v>44509</v>
      </c>
      <c r="AZ191" s="240">
        <f t="array" ref="AZ191">IF(SUM($D$180:$D$186)=0,$AC$34,MAX(IF($D$180:$D$186&gt;0,$C$180:$C$186)))</f>
        <v>44509</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x14ac:dyDescent="0.2">
      <c r="C192" s="381">
        <f>Y$50</f>
        <v>44520</v>
      </c>
      <c r="D192" s="386">
        <f>Y$63</f>
        <v>0</v>
      </c>
      <c r="AR192" s="377"/>
      <c r="AS192" s="328">
        <f>COUNTIF($AT$173:$AT191,$AT192)</f>
        <v>0</v>
      </c>
      <c r="AT192" s="1" t="str">
        <f t="shared" si="181"/>
        <v>9282419</v>
      </c>
      <c r="AV192" s="328" t="str">
        <f t="shared" si="182"/>
        <v>9282419</v>
      </c>
      <c r="AW192" s="328">
        <f>COUNTIF($AT$173:$AT191,$AT192)</f>
        <v>0</v>
      </c>
      <c r="AX192" s="201" t="str">
        <f t="shared" si="183"/>
        <v>Ignore me</v>
      </c>
      <c r="AY192" s="240">
        <f t="array" ref="AY192">IF(SUM($D$180:$D$186)=0,$E$34,MIN(IF($D$180:$D$186&gt;0,$C$180:$C$186)))</f>
        <v>44509</v>
      </c>
      <c r="AZ192" s="240">
        <f t="array" ref="AZ192">IF(SUM($D$180:$D$186)=0,$AC$34,MAX(IF($D$180:$D$186&gt;0,$C$180:$C$186)))</f>
        <v>44509</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x14ac:dyDescent="0.2">
      <c r="C193" s="381">
        <f>AC$50</f>
        <v>44521</v>
      </c>
      <c r="D193" s="386">
        <f>AC$63</f>
        <v>0</v>
      </c>
      <c r="AR193" s="377"/>
      <c r="AS193" s="328">
        <f>COUNTIF($AT$173:$AT192,$AT193)</f>
        <v>0</v>
      </c>
      <c r="AT193" s="1" t="str">
        <f t="shared" si="181"/>
        <v>9435039</v>
      </c>
      <c r="AV193" s="328" t="str">
        <f t="shared" si="182"/>
        <v>9435039</v>
      </c>
      <c r="AW193" s="328">
        <f>COUNTIF($AT$173:$AT192,$AT193)</f>
        <v>0</v>
      </c>
      <c r="AX193" s="201" t="str">
        <f t="shared" si="183"/>
        <v>Claim</v>
      </c>
      <c r="AY193" s="240">
        <f t="array" ref="AY193">IF(SUM($D$180:$D$186)=0,$E$34,MIN(IF($D$180:$D$186&gt;0,$C$180:$C$186)))</f>
        <v>44509</v>
      </c>
      <c r="AZ193" s="240">
        <f t="array" ref="AZ193">IF(SUM($D$180:$D$186)=0,$AC$34,MAX(IF($D$180:$D$186&gt;0,$C$180:$C$186)))</f>
        <v>44509</v>
      </c>
      <c r="BA193" s="241">
        <f t="shared" si="189"/>
        <v>9</v>
      </c>
      <c r="BB193" s="204">
        <f t="shared" si="191"/>
        <v>2</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x14ac:dyDescent="0.2">
      <c r="C194" s="382">
        <f>E$66</f>
        <v>44522</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44509</v>
      </c>
      <c r="AZ194" s="240">
        <f t="array" ref="AZ194">IF(SUM($D$180:$D$186)=0,$AC$34,MAX(IF($D$180:$D$186&gt;0,$C$180:$C$186)))</f>
        <v>44509</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x14ac:dyDescent="0.2">
      <c r="C195" s="382">
        <f>I$66</f>
        <v>44523</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44509</v>
      </c>
      <c r="AZ195" s="240">
        <f t="array" ref="AZ195">IF(SUM($D$180:$D$186)=0,$AC$34,MAX(IF($D$180:$D$186&gt;0,$C$180:$C$186)))</f>
        <v>44509</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x14ac:dyDescent="0.2">
      <c r="C196" s="382">
        <f>M$66</f>
        <v>44524</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44509</v>
      </c>
      <c r="AZ196" s="240">
        <f t="array" ref="AZ196">IF(SUM($D$180:$D$186)=0,$AC$34,MAX(IF($D$180:$D$186&gt;0,$C$180:$C$186)))</f>
        <v>44509</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x14ac:dyDescent="0.2">
      <c r="C197" s="382">
        <f>Q$66</f>
        <v>44525</v>
      </c>
      <c r="D197" s="387">
        <f>Q$79</f>
        <v>0</v>
      </c>
      <c r="AR197" s="377"/>
      <c r="AS197" s="328">
        <f>COUNTIF($AT$173:$AT196,$AT197)</f>
        <v>0</v>
      </c>
      <c r="AT197" s="1" t="str">
        <f t="shared" si="181"/>
        <v>0259914</v>
      </c>
      <c r="AV197" s="328" t="str">
        <f t="shared" si="182"/>
        <v>0259914</v>
      </c>
      <c r="AW197" s="328">
        <f>COUNTIF($AT$173:$AT196,$AT197)</f>
        <v>0</v>
      </c>
      <c r="AX197" s="201" t="str">
        <f t="shared" si="183"/>
        <v>Ignore me</v>
      </c>
      <c r="AY197" s="240">
        <f t="array" ref="AY197">IF(SUM($D$180:$D$186)=0,$E$34,MIN(IF($D$180:$D$186&gt;0,$C$180:$C$186)))</f>
        <v>44509</v>
      </c>
      <c r="AZ197" s="240">
        <f t="array" ref="AZ197">IF(SUM($D$180:$D$186)=0,$AC$34,MAX(IF($D$180:$D$186&gt;0,$C$180:$C$186)))</f>
        <v>44509</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x14ac:dyDescent="0.2">
      <c r="C198" s="382">
        <f>U$66</f>
        <v>44526</v>
      </c>
      <c r="D198" s="387">
        <f>U$79</f>
        <v>0</v>
      </c>
      <c r="AR198" s="377"/>
      <c r="AS198" s="328">
        <f>COUNTIF($AT$173:$AT197,$AT198)</f>
        <v>0</v>
      </c>
      <c r="AT198" s="1" t="str">
        <f t="shared" si="181"/>
        <v>0282419</v>
      </c>
      <c r="AV198" s="328" t="str">
        <f t="shared" si="182"/>
        <v>0282419</v>
      </c>
      <c r="AW198" s="328">
        <f>COUNTIF($AT$173:$AT197,$AT198)</f>
        <v>0</v>
      </c>
      <c r="AX198" s="201" t="str">
        <f t="shared" si="183"/>
        <v>Ignore me</v>
      </c>
      <c r="AY198" s="240">
        <f t="array" ref="AY198">IF(SUM($D$180:$D$186)=0,$E$34,MIN(IF($D$180:$D$186&gt;0,$C$180:$C$186)))</f>
        <v>44509</v>
      </c>
      <c r="AZ198" s="240">
        <f t="array" ref="AZ198">IF(SUM($D$180:$D$186)=0,$AC$34,MAX(IF($D$180:$D$186&gt;0,$C$180:$C$186)))</f>
        <v>44509</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0</v>
      </c>
      <c r="DE198" s="35">
        <f t="shared" ref="DE198:DE215" si="195">BT143</f>
        <v>13.6</v>
      </c>
      <c r="DF198" s="35"/>
    </row>
    <row r="199" spans="3:110" x14ac:dyDescent="0.2">
      <c r="C199" s="382">
        <f>Y$66</f>
        <v>44527</v>
      </c>
      <c r="D199" s="387">
        <f>Y$79</f>
        <v>0</v>
      </c>
      <c r="AR199" s="377"/>
      <c r="AS199" s="328">
        <f>COUNTIF($AT$173:$AT198,$AT199)</f>
        <v>0</v>
      </c>
      <c r="AT199" s="1" t="str">
        <f t="shared" si="181"/>
        <v>0431077</v>
      </c>
      <c r="AV199" s="328" t="str">
        <f t="shared" si="182"/>
        <v>0431077</v>
      </c>
      <c r="AW199" s="328">
        <f>COUNTIF($AT$173:$AT198,$AT199)</f>
        <v>0</v>
      </c>
      <c r="AX199" s="201" t="str">
        <f t="shared" si="183"/>
        <v>Ignore me</v>
      </c>
      <c r="AY199" s="240">
        <f t="array" ref="AY199">IF(SUM($D$180:$D$186)=0,$E$34,MIN(IF($D$180:$D$186&gt;0,$C$180:$C$186)))</f>
        <v>44509</v>
      </c>
      <c r="AZ199" s="240">
        <f t="array" ref="AZ199">IF(SUM($D$180:$D$186)=0,$AC$34,MAX(IF($D$180:$D$186&gt;0,$C$180:$C$186)))</f>
        <v>44509</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x14ac:dyDescent="0.2">
      <c r="C200" s="382">
        <f>AC$66</f>
        <v>44528</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44509</v>
      </c>
      <c r="AZ200" s="240">
        <f t="array" ref="AZ200">IF(SUM($D$180:$D$186)=0,$AC$34,MAX(IF($D$180:$D$186&gt;0,$C$180:$C$186)))</f>
        <v>44509</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x14ac:dyDescent="0.2">
      <c r="C201" s="383">
        <f>E$82</f>
        <v>44529</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44509</v>
      </c>
      <c r="AZ201" s="240">
        <f t="array" ref="AZ201">IF(SUM($D$180:$D$186)=0,$AC$34,MAX(IF($D$180:$D$186&gt;0,$C$180:$C$186)))</f>
        <v>44509</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x14ac:dyDescent="0.2">
      <c r="C202" s="383">
        <f>I$82</f>
        <v>44530</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44509</v>
      </c>
      <c r="AZ202" s="240">
        <f t="array" ref="AZ202">IF(SUM($D$180:$D$186)=0,$AC$34,MAX(IF($D$180:$D$186&gt;0,$C$180:$C$186)))</f>
        <v>44509</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x14ac:dyDescent="0.2">
      <c r="C203" s="383">
        <f>M$82</f>
        <v>44531</v>
      </c>
      <c r="D203" s="388">
        <f>M$95</f>
        <v>0</v>
      </c>
      <c r="AR203" s="377"/>
      <c r="AS203" s="328">
        <f>COUNTIF($AT$173:$AT202,$AT203)</f>
        <v>1</v>
      </c>
      <c r="AT203" s="1" t="str">
        <f t="shared" si="181"/>
        <v>0259914</v>
      </c>
      <c r="AV203" s="328" t="str">
        <f t="shared" si="182"/>
        <v>0259914</v>
      </c>
      <c r="AW203" s="328">
        <f>COUNTIF($AT$173:$AT202,$AT203)</f>
        <v>1</v>
      </c>
      <c r="AX203" s="201" t="str">
        <f t="shared" si="183"/>
        <v>Ignore me</v>
      </c>
      <c r="AY203" s="240">
        <f t="array" ref="AY203">IF(SUM($D$180:$D$186)=0,$E$34,MIN(IF($D$180:$D$186&gt;0,$C$180:$C$186)))</f>
        <v>44509</v>
      </c>
      <c r="AZ203" s="240">
        <f t="array" ref="AZ203">IF(SUM($D$180:$D$186)=0,$AC$34,MAX(IF($D$180:$D$186&gt;0,$C$180:$C$186)))</f>
        <v>44509</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x14ac:dyDescent="0.2">
      <c r="C204" s="383">
        <f>Q$82</f>
        <v>44532</v>
      </c>
      <c r="D204" s="388">
        <f>Q$95</f>
        <v>0</v>
      </c>
      <c r="AR204" s="377"/>
      <c r="AS204" s="328">
        <f>COUNTIF($AT$173:$AT203,$AT204)</f>
        <v>1</v>
      </c>
      <c r="AT204" s="1" t="str">
        <f t="shared" si="181"/>
        <v>0282419</v>
      </c>
      <c r="AV204" s="328" t="str">
        <f t="shared" si="182"/>
        <v>0282419</v>
      </c>
      <c r="AW204" s="328">
        <f>COUNTIF($AT$173:$AT203,$AT204)</f>
        <v>1</v>
      </c>
      <c r="AX204" s="201" t="str">
        <f t="shared" si="183"/>
        <v>Ignore me</v>
      </c>
      <c r="AY204" s="240">
        <f t="array" ref="AY204">IF(SUM($D$180:$D$186)=0,$E$34,MIN(IF($D$180:$D$186&gt;0,$C$180:$C$186)))</f>
        <v>44509</v>
      </c>
      <c r="AZ204" s="240">
        <f t="array" ref="AZ204">IF(SUM($D$180:$D$186)=0,$AC$34,MAX(IF($D$180:$D$186&gt;0,$C$180:$C$186)))</f>
        <v>44509</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x14ac:dyDescent="0.2">
      <c r="C205" s="383">
        <f>U$82</f>
        <v>44533</v>
      </c>
      <c r="D205" s="388">
        <f>U$95</f>
        <v>0</v>
      </c>
      <c r="AR205" s="377"/>
      <c r="AS205" s="328">
        <f>COUNTIF($AT$173:$AT204,$AT205)</f>
        <v>1</v>
      </c>
      <c r="AT205" s="1" t="str">
        <f t="shared" si="181"/>
        <v>0431077</v>
      </c>
      <c r="AV205" s="328" t="str">
        <f t="shared" si="182"/>
        <v>0431077</v>
      </c>
      <c r="AW205" s="328">
        <f>COUNTIF($AT$173:$AT204,$AT205)</f>
        <v>1</v>
      </c>
      <c r="AX205" s="201" t="str">
        <f t="shared" si="183"/>
        <v>Ignore me</v>
      </c>
      <c r="AY205" s="240">
        <f t="array" ref="AY205">IF(SUM($D$180:$D$186)=0,$E$34,MIN(IF($D$180:$D$186&gt;0,$C$180:$C$186)))</f>
        <v>44509</v>
      </c>
      <c r="AZ205" s="240">
        <f t="array" ref="AZ205">IF(SUM($D$180:$D$186)=0,$AC$34,MAX(IF($D$180:$D$186&gt;0,$C$180:$C$186)))</f>
        <v>44509</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x14ac:dyDescent="0.2">
      <c r="C206" s="383">
        <f>Y$82</f>
        <v>44534</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44509</v>
      </c>
      <c r="AZ206" s="240">
        <f t="array" ref="AZ206">IF(SUM($D$180:$D$186)=0,$AC$34,MAX(IF($D$180:$D$186&gt;0,$C$180:$C$186)))</f>
        <v>44509</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x14ac:dyDescent="0.2">
      <c r="C207" s="383">
        <f>AC$82</f>
        <v>44535</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44509</v>
      </c>
      <c r="AZ207" s="240">
        <f t="array" ref="AZ207">IF(SUM($D$180:$D$186)=0,$AC$34,MAX(IF($D$180:$D$186&gt;0,$C$180:$C$186)))</f>
        <v>44509</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44509</v>
      </c>
      <c r="AZ208" s="240">
        <f t="array" ref="AZ208">IF(SUM($D$180:$D$186)=0,$AC$34,MAX(IF($D$180:$D$186&gt;0,$C$180:$C$186)))</f>
        <v>44509</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x14ac:dyDescent="0.2">
      <c r="AR209" s="377"/>
      <c r="AS209" s="328">
        <f>COUNTIF($AT$173:$AT208,$AT209)</f>
        <v>0</v>
      </c>
      <c r="AT209" s="1" t="str">
        <f t="shared" si="181"/>
        <v>9282533</v>
      </c>
      <c r="AV209" s="328" t="str">
        <f t="shared" si="182"/>
        <v>9282533</v>
      </c>
      <c r="AW209" s="328">
        <f>COUNTIF($AT$173:$AT208,$AT209)</f>
        <v>0</v>
      </c>
      <c r="AX209" s="201" t="str">
        <f t="shared" si="183"/>
        <v>Ignore me</v>
      </c>
      <c r="AY209" s="246">
        <f t="array" ref="AY209">IF(SUM($D$187:$D$193)=0,$E$50,MIN(IF($D$187:$D$193&gt;0,$C$187:$C$193)))</f>
        <v>44515</v>
      </c>
      <c r="AZ209" s="246">
        <f t="array" ref="AZ209">IF(SUM($D$187:$D$193)=0,$AC$50,MAX(IF($D$187:$D$193&gt;0,$C$187:$C$193)))</f>
        <v>44521</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x14ac:dyDescent="0.2">
      <c r="AR210" s="377"/>
      <c r="AS210" s="328">
        <f>COUNTIF($AT$173:$AT209,$AT210)</f>
        <v>0</v>
      </c>
      <c r="AT210" s="1" t="str">
        <f t="shared" si="181"/>
        <v>9431251</v>
      </c>
      <c r="AV210" s="328" t="str">
        <f t="shared" si="182"/>
        <v>9431251</v>
      </c>
      <c r="AW210" s="328">
        <f>COUNTIF($AT$173:$AT209,$AT210)</f>
        <v>0</v>
      </c>
      <c r="AX210" s="201" t="str">
        <f t="shared" si="183"/>
        <v>Ignore me</v>
      </c>
      <c r="AY210" s="246">
        <f t="array" ref="AY210">IF(SUM($D$187:$D$193)=0,$E$50,MIN(IF($D$187:$D$193&gt;0,$C$187:$C$193)))</f>
        <v>44515</v>
      </c>
      <c r="AZ210" s="246">
        <f t="array" ref="AZ210">IF(SUM($D$187:$D$193)=0,$AC$50,MAX(IF($D$187:$D$193&gt;0,$C$187:$C$193)))</f>
        <v>44521</v>
      </c>
      <c r="BA210" s="247">
        <f t="shared" si="200"/>
        <v>9</v>
      </c>
      <c r="BB210" s="213">
        <f t="shared" ref="BB210:BP226" si="202">SUMPRODUCT(($BK$143:$BK$160=$BA210)*($BL$143:$BL$160=BB$170)*($BN$143:$BN$160=BC210)*$BM$143:$BM$160)</f>
        <v>0</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44515</v>
      </c>
      <c r="AZ211" s="246">
        <f t="array" ref="AZ211">IF(SUM($D$187:$D$193)=0,$AC$50,MAX(IF($D$187:$D$193&gt;0,$C$187:$C$193)))</f>
        <v>44521</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44515</v>
      </c>
      <c r="AZ212" s="246">
        <f t="array" ref="AZ212">IF(SUM($D$187:$D$193)=0,$AC$50,MAX(IF($D$187:$D$193&gt;0,$C$187:$C$193)))</f>
        <v>44521</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44515</v>
      </c>
      <c r="AZ213" s="246">
        <f t="array" ref="AZ213">IF(SUM($D$187:$D$193)=0,$AC$50,MAX(IF($D$187:$D$193&gt;0,$C$187:$C$193)))</f>
        <v>44521</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44515</v>
      </c>
      <c r="AZ214" s="246">
        <f t="array" ref="AZ214">IF(SUM($D$187:$D$193)=0,$AC$50,MAX(IF($D$187:$D$193&gt;0,$C$187:$C$193)))</f>
        <v>44521</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x14ac:dyDescent="0.2">
      <c r="AR215" s="377"/>
      <c r="AS215" s="328">
        <f>COUNTIF($AT$173:$AT214,$AT215)</f>
        <v>0</v>
      </c>
      <c r="AT215" s="1" t="str">
        <f t="shared" si="181"/>
        <v>0282533</v>
      </c>
      <c r="AV215" s="328" t="str">
        <f t="shared" si="182"/>
        <v>0282533</v>
      </c>
      <c r="AW215" s="328">
        <f>COUNTIF($AT$173:$AT214,$AT215)</f>
        <v>0</v>
      </c>
      <c r="AX215" s="201" t="str">
        <f t="shared" si="183"/>
        <v>Ignore me</v>
      </c>
      <c r="AY215" s="246">
        <f t="array" ref="AY215">IF(SUM($D$187:$D$193)=0,$E$50,MIN(IF($D$187:$D$193&gt;0,$C$187:$C$193)))</f>
        <v>44515</v>
      </c>
      <c r="AZ215" s="246">
        <f t="array" ref="AZ215">IF(SUM($D$187:$D$193)=0,$AC$50,MAX(IF($D$187:$D$193&gt;0,$C$187:$C$193)))</f>
        <v>44521</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x14ac:dyDescent="0.2">
      <c r="AR216" s="377"/>
      <c r="AS216" s="328">
        <f>COUNTIF($AT$173:$AT215,$AT216)</f>
        <v>0</v>
      </c>
      <c r="AT216" s="1" t="str">
        <f t="shared" si="181"/>
        <v>0431251</v>
      </c>
      <c r="AV216" s="328" t="str">
        <f t="shared" si="182"/>
        <v>0431251</v>
      </c>
      <c r="AW216" s="328">
        <f>COUNTIF($AT$173:$AT215,$AT216)</f>
        <v>0</v>
      </c>
      <c r="AX216" s="201" t="str">
        <f t="shared" si="183"/>
        <v>Ignore me</v>
      </c>
      <c r="AY216" s="246">
        <f t="array" ref="AY216">IF(SUM($D$187:$D$193)=0,$E$50,MIN(IF($D$187:$D$193&gt;0,$C$187:$C$193)))</f>
        <v>44515</v>
      </c>
      <c r="AZ216" s="246">
        <f t="array" ref="AZ216">IF(SUM($D$187:$D$193)=0,$AC$50,MAX(IF($D$187:$D$193&gt;0,$C$187:$C$193)))</f>
        <v>44521</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44515</v>
      </c>
      <c r="AZ217" s="246">
        <f t="array" ref="AZ217">IF(SUM($D$187:$D$193)=0,$AC$50,MAX(IF($D$187:$D$193&gt;0,$C$187:$C$193)))</f>
        <v>44521</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44515</v>
      </c>
      <c r="AZ218" s="246">
        <f t="array" ref="AZ218">IF(SUM($D$187:$D$193)=0,$AC$50,MAX(IF($D$187:$D$193&gt;0,$C$187:$C$193)))</f>
        <v>44521</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44515</v>
      </c>
      <c r="AZ219" s="246">
        <f t="array" ref="AZ219">IF(SUM($D$187:$D$193)=0,$AC$50,MAX(IF($D$187:$D$193&gt;0,$C$187:$C$193)))</f>
        <v>44521</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44515</v>
      </c>
      <c r="AZ220" s="246">
        <f t="array" ref="AZ220">IF(SUM($D$187:$D$193)=0,$AC$50,MAX(IF($D$187:$D$193&gt;0,$C$187:$C$193)))</f>
        <v>44521</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x14ac:dyDescent="0.2">
      <c r="AR221" s="377"/>
      <c r="AS221" s="328">
        <f>COUNTIF($AT$173:$AT220,$AT221)</f>
        <v>1</v>
      </c>
      <c r="AT221" s="1" t="str">
        <f t="shared" si="181"/>
        <v>0282533</v>
      </c>
      <c r="AV221" s="328" t="str">
        <f t="shared" si="182"/>
        <v>0282533</v>
      </c>
      <c r="AW221" s="328">
        <f>COUNTIF($AT$173:$AT220,$AT221)</f>
        <v>1</v>
      </c>
      <c r="AX221" s="201" t="str">
        <f t="shared" si="183"/>
        <v>Ignore me</v>
      </c>
      <c r="AY221" s="246">
        <f t="array" ref="AY221">IF(SUM($D$187:$D$193)=0,$E$50,MIN(IF($D$187:$D$193&gt;0,$C$187:$C$193)))</f>
        <v>44515</v>
      </c>
      <c r="AZ221" s="246">
        <f t="array" ref="AZ221">IF(SUM($D$187:$D$193)=0,$AC$50,MAX(IF($D$187:$D$193&gt;0,$C$187:$C$193)))</f>
        <v>44521</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x14ac:dyDescent="0.2">
      <c r="AR222" s="377"/>
      <c r="AS222" s="328">
        <f>COUNTIF($AT$173:$AT221,$AT222)</f>
        <v>1</v>
      </c>
      <c r="AT222" s="1" t="str">
        <f t="shared" si="181"/>
        <v>0431251</v>
      </c>
      <c r="AV222" s="328" t="str">
        <f t="shared" si="182"/>
        <v>0431251</v>
      </c>
      <c r="AW222" s="328">
        <f>COUNTIF($AT$173:$AT221,$AT222)</f>
        <v>1</v>
      </c>
      <c r="AX222" s="201" t="str">
        <f t="shared" si="183"/>
        <v>Ignore me</v>
      </c>
      <c r="AY222" s="246">
        <f t="array" ref="AY222">IF(SUM($D$187:$D$193)=0,$E$50,MIN(IF($D$187:$D$193&gt;0,$C$187:$C$193)))</f>
        <v>44515</v>
      </c>
      <c r="AZ222" s="246">
        <f t="array" ref="AZ222">IF(SUM($D$187:$D$193)=0,$AC$50,MAX(IF($D$187:$D$193&gt;0,$C$187:$C$193)))</f>
        <v>44521</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44515</v>
      </c>
      <c r="AZ223" s="246">
        <f t="array" ref="AZ223">IF(SUM($D$187:$D$193)=0,$AC$50,MAX(IF($D$187:$D$193&gt;0,$C$187:$C$193)))</f>
        <v>44521</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44515</v>
      </c>
      <c r="AZ224" s="246">
        <f t="array" ref="AZ224">IF(SUM($D$187:$D$193)=0,$AC$50,MAX(IF($D$187:$D$193&gt;0,$C$187:$C$193)))</f>
        <v>44521</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44515</v>
      </c>
      <c r="AZ225" s="246">
        <f t="array" ref="AZ225">IF(SUM($D$187:$D$193)=0,$AC$50,MAX(IF($D$187:$D$193&gt;0,$C$187:$C$193)))</f>
        <v>44521</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44515</v>
      </c>
      <c r="AZ226" s="246">
        <f t="array" ref="AZ226">IF(SUM($D$187:$D$193)=0,$AC$50,MAX(IF($D$187:$D$193&gt;0,$C$187:$C$193)))</f>
        <v>44521</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x14ac:dyDescent="0.2">
      <c r="AR227" s="377"/>
      <c r="AS227" s="328">
        <f>COUNTIF($AT$173:$AT226,$AT227)</f>
        <v>0</v>
      </c>
      <c r="AT227" s="1" t="str">
        <f t="shared" si="181"/>
        <v>9282622</v>
      </c>
      <c r="AV227" s="328" t="str">
        <f t="shared" si="182"/>
        <v>9282622</v>
      </c>
      <c r="AW227" s="328">
        <f>COUNTIF($AT$173:$AT226,$AT227)</f>
        <v>0</v>
      </c>
      <c r="AX227" s="201" t="str">
        <f t="shared" si="183"/>
        <v>Ignore me</v>
      </c>
      <c r="AY227" s="249">
        <f t="array" ref="AY227">IF(SUM($D$194:$D$200)=0,$E$66,MIN(IF($D$194:$D$200&gt;0,$C$194:$C$200)))</f>
        <v>44522</v>
      </c>
      <c r="AZ227" s="249">
        <f t="array" ref="AZ227">IF(SUM($D$194:$D$200)=0,$AC$66,MAX(IF($D$194:$D$200&gt;0,$C$194:$C$200)))</f>
        <v>44528</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x14ac:dyDescent="0.2">
      <c r="AR228" s="377"/>
      <c r="AS228" s="328">
        <f>COUNTIF($AT$173:$AT227,$AT228)</f>
        <v>0</v>
      </c>
      <c r="AT228" s="1" t="str">
        <f t="shared" si="181"/>
        <v>9431387</v>
      </c>
      <c r="AV228" s="328" t="str">
        <f t="shared" si="182"/>
        <v>9431387</v>
      </c>
      <c r="AW228" s="328">
        <f>COUNTIF($AT$173:$AT227,$AT228)</f>
        <v>0</v>
      </c>
      <c r="AX228" s="201" t="str">
        <f t="shared" si="183"/>
        <v>Ignore me</v>
      </c>
      <c r="AY228" s="249">
        <f t="array" ref="AY228">IF(SUM($D$194:$D$200)=0,$E$66,MIN(IF($D$194:$D$200&gt;0,$C$194:$C$200)))</f>
        <v>44522</v>
      </c>
      <c r="AZ228" s="249">
        <f t="array" ref="AZ228">IF(SUM($D$194:$D$200)=0,$AC$66,MAX(IF($D$194:$D$200&gt;0,$C$194:$C$200)))</f>
        <v>44528</v>
      </c>
      <c r="BA228" s="250">
        <f t="shared" si="210"/>
        <v>9</v>
      </c>
      <c r="BB228" s="222">
        <f t="shared" ref="BB228:BP244" si="212">SUMPRODUCT(($BQ$143:$BQ$160=$BA228)*($BR$143:$BR$160=BB$170)*($BT$143:$BT$160=BC228)*$BS$143:$BS$160)</f>
        <v>0</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44522</v>
      </c>
      <c r="AZ229" s="249">
        <f t="array" ref="AZ229">IF(SUM($D$194:$D$200)=0,$AC$66,MAX(IF($D$194:$D$200&gt;0,$C$194:$C$200)))</f>
        <v>44528</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44522</v>
      </c>
      <c r="AZ230" s="249">
        <f t="array" ref="AZ230">IF(SUM($D$194:$D$200)=0,$AC$66,MAX(IF($D$194:$D$200&gt;0,$C$194:$C$200)))</f>
        <v>44528</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44522</v>
      </c>
      <c r="AZ231" s="249">
        <f t="array" ref="AZ231">IF(SUM($D$194:$D$200)=0,$AC$66,MAX(IF($D$194:$D$200&gt;0,$C$194:$C$200)))</f>
        <v>44528</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44522</v>
      </c>
      <c r="AZ232" s="249">
        <f t="array" ref="AZ232">IF(SUM($D$194:$D$200)=0,$AC$66,MAX(IF($D$194:$D$200&gt;0,$C$194:$C$200)))</f>
        <v>44528</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x14ac:dyDescent="0.2">
      <c r="AR233" s="377"/>
      <c r="AS233" s="328">
        <f>COUNTIF($AT$173:$AT232,$AT233)</f>
        <v>0</v>
      </c>
      <c r="AT233" s="1" t="str">
        <f t="shared" si="181"/>
        <v>0282622</v>
      </c>
      <c r="AV233" s="328" t="str">
        <f t="shared" si="182"/>
        <v>0282622</v>
      </c>
      <c r="AW233" s="328">
        <f>COUNTIF($AT$173:$AT232,$AT233)</f>
        <v>0</v>
      </c>
      <c r="AX233" s="201" t="str">
        <f t="shared" si="183"/>
        <v>Ignore me</v>
      </c>
      <c r="AY233" s="249">
        <f t="array" ref="AY233">IF(SUM($D$194:$D$200)=0,$E$66,MIN(IF($D$194:$D$200&gt;0,$C$194:$C$200)))</f>
        <v>44522</v>
      </c>
      <c r="AZ233" s="249">
        <f t="array" ref="AZ233">IF(SUM($D$194:$D$200)=0,$AC$66,MAX(IF($D$194:$D$200&gt;0,$C$194:$C$200)))</f>
        <v>44528</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x14ac:dyDescent="0.2">
      <c r="AR234" s="377"/>
      <c r="AS234" s="328">
        <f>COUNTIF($AT$173:$AT233,$AT234)</f>
        <v>0</v>
      </c>
      <c r="AT234" s="1" t="str">
        <f t="shared" si="181"/>
        <v>0431387</v>
      </c>
      <c r="AV234" s="328" t="str">
        <f t="shared" si="182"/>
        <v>0431387</v>
      </c>
      <c r="AW234" s="328">
        <f>COUNTIF($AT$173:$AT233,$AT234)</f>
        <v>0</v>
      </c>
      <c r="AX234" s="201" t="str">
        <f t="shared" si="183"/>
        <v>Ignore me</v>
      </c>
      <c r="AY234" s="249">
        <f t="array" ref="AY234">IF(SUM($D$194:$D$200)=0,$E$66,MIN(IF($D$194:$D$200&gt;0,$C$194:$C$200)))</f>
        <v>44522</v>
      </c>
      <c r="AZ234" s="249">
        <f t="array" ref="AZ234">IF(SUM($D$194:$D$200)=0,$AC$66,MAX(IF($D$194:$D$200&gt;0,$C$194:$C$200)))</f>
        <v>44528</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44522</v>
      </c>
      <c r="AZ235" s="249">
        <f t="array" ref="AZ235">IF(SUM($D$194:$D$200)=0,$AC$66,MAX(IF($D$194:$D$200&gt;0,$C$194:$C$200)))</f>
        <v>44528</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44522</v>
      </c>
      <c r="AZ236" s="249">
        <f t="array" ref="AZ236">IF(SUM($D$194:$D$200)=0,$AC$66,MAX(IF($D$194:$D$200&gt;0,$C$194:$C$200)))</f>
        <v>44528</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44522</v>
      </c>
      <c r="AZ237" s="249">
        <f t="array" ref="AZ237">IF(SUM($D$194:$D$200)=0,$AC$66,MAX(IF($D$194:$D$200&gt;0,$C$194:$C$200)))</f>
        <v>44528</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44522</v>
      </c>
      <c r="AZ238" s="249">
        <f t="array" ref="AZ238">IF(SUM($D$194:$D$200)=0,$AC$66,MAX(IF($D$194:$D$200&gt;0,$C$194:$C$200)))</f>
        <v>44528</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x14ac:dyDescent="0.2">
      <c r="AR239" s="377"/>
      <c r="AS239" s="328">
        <f>COUNTIF($AT$173:$AT238,$AT239)</f>
        <v>1</v>
      </c>
      <c r="AT239" s="1" t="str">
        <f t="shared" si="215"/>
        <v>0282622</v>
      </c>
      <c r="AV239" s="328" t="str">
        <f t="shared" si="216"/>
        <v>0282622</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44522</v>
      </c>
      <c r="AZ239" s="249">
        <f t="array" ref="AZ239">IF(SUM($D$194:$D$200)=0,$AC$66,MAX(IF($D$194:$D$200&gt;0,$C$194:$C$200)))</f>
        <v>44528</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x14ac:dyDescent="0.2">
      <c r="AR240" s="377"/>
      <c r="AS240" s="328">
        <f>COUNTIF($AT$173:$AT239,$AT240)</f>
        <v>1</v>
      </c>
      <c r="AT240" s="1" t="str">
        <f t="shared" si="215"/>
        <v>0431387</v>
      </c>
      <c r="AV240" s="328" t="str">
        <f t="shared" si="216"/>
        <v>0431387</v>
      </c>
      <c r="AW240" s="328">
        <f>COUNTIF($AT$173:$AT239,$AT240)</f>
        <v>1</v>
      </c>
      <c r="AX240" s="201" t="str">
        <f t="shared" si="217"/>
        <v>Ignore me</v>
      </c>
      <c r="AY240" s="249">
        <f t="array" ref="AY240">IF(SUM($D$194:$D$200)=0,$E$66,MIN(IF($D$194:$D$200&gt;0,$C$194:$C$200)))</f>
        <v>44522</v>
      </c>
      <c r="AZ240" s="249">
        <f t="array" ref="AZ240">IF(SUM($D$194:$D$200)=0,$AC$66,MAX(IF($D$194:$D$200&gt;0,$C$194:$C$200)))</f>
        <v>44528</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44522</v>
      </c>
      <c r="AZ241" s="249">
        <f t="array" ref="AZ241">IF(SUM($D$194:$D$200)=0,$AC$66,MAX(IF($D$194:$D$200&gt;0,$C$194:$C$200)))</f>
        <v>44528</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44522</v>
      </c>
      <c r="AZ242" s="249">
        <f t="array" ref="AZ242">IF(SUM($D$194:$D$200)=0,$AC$66,MAX(IF($D$194:$D$200&gt;0,$C$194:$C$200)))</f>
        <v>44528</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44522</v>
      </c>
      <c r="AZ243" s="249">
        <f t="array" ref="AZ243">IF(SUM($D$194:$D$200)=0,$AC$66,MAX(IF($D$194:$D$200&gt;0,$C$194:$C$200)))</f>
        <v>44528</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44522</v>
      </c>
      <c r="AZ244" s="249">
        <f t="array" ref="AZ244">IF(SUM($D$194:$D$200)=0,$AC$66,MAX(IF($D$194:$D$200&gt;0,$C$194:$C$200)))</f>
        <v>44528</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44529</v>
      </c>
      <c r="AZ245" s="252">
        <f t="array" ref="AZ245">IF(SUM($D$201:$D$207)=0,$AC$82,MAX(IF($D$201:$D$207&gt;0,$C$201:$C$207)))</f>
        <v>44535</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44529</v>
      </c>
      <c r="AZ246" s="252">
        <f t="array" ref="AZ246">IF(SUM($D$201:$D$207)=0,$AC$82,MAX(IF($D$201:$D$207&gt;0,$C$201:$C$207)))</f>
        <v>44535</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44529</v>
      </c>
      <c r="AZ247" s="252">
        <f t="array" ref="AZ247">IF(SUM($D$201:$D$207)=0,$AC$82,MAX(IF($D$201:$D$207&gt;0,$C$201:$C$207)))</f>
        <v>44535</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44529</v>
      </c>
      <c r="AZ248" s="252">
        <f t="array" ref="AZ248">IF(SUM($D$201:$D$207)=0,$AC$82,MAX(IF($D$201:$D$207&gt;0,$C$201:$C$207)))</f>
        <v>44535</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44529</v>
      </c>
      <c r="AZ249" s="252">
        <f t="array" ref="AZ249">IF(SUM($D$201:$D$207)=0,$AC$82,MAX(IF($D$201:$D$207&gt;0,$C$201:$C$207)))</f>
        <v>44535</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44529</v>
      </c>
      <c r="AZ250" s="252">
        <f t="array" ref="AZ250">IF(SUM($D$201:$D$207)=0,$AC$82,MAX(IF($D$201:$D$207&gt;0,$C$201:$C$207)))</f>
        <v>44535</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44529</v>
      </c>
      <c r="AZ251" s="252">
        <f t="array" ref="AZ251">IF(SUM($D$201:$D$207)=0,$AC$82,MAX(IF($D$201:$D$207&gt;0,$C$201:$C$207)))</f>
        <v>44535</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44529</v>
      </c>
      <c r="AZ252" s="252">
        <f t="array" ref="AZ252">IF(SUM($D$201:$D$207)=0,$AC$82,MAX(IF($D$201:$D$207&gt;0,$C$201:$C$207)))</f>
        <v>44535</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44529</v>
      </c>
      <c r="AZ253" s="252">
        <f t="array" ref="AZ253">IF(SUM($D$201:$D$207)=0,$AC$82,MAX(IF($D$201:$D$207&gt;0,$C$201:$C$207)))</f>
        <v>44535</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44529</v>
      </c>
      <c r="AZ254" s="252">
        <f t="array" ref="AZ254">IF(SUM($D$201:$D$207)=0,$AC$82,MAX(IF($D$201:$D$207&gt;0,$C$201:$C$207)))</f>
        <v>44535</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44529</v>
      </c>
      <c r="AZ255" s="252">
        <f t="array" ref="AZ255">IF(SUM($D$201:$D$207)=0,$AC$82,MAX(IF($D$201:$D$207&gt;0,$C$201:$C$207)))</f>
        <v>44535</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44529</v>
      </c>
      <c r="AZ256" s="252">
        <f t="array" ref="AZ256">IF(SUM($D$201:$D$207)=0,$AC$82,MAX(IF($D$201:$D$207&gt;0,$C$201:$C$207)))</f>
        <v>44535</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44529</v>
      </c>
      <c r="AZ257" s="252">
        <f t="array" ref="AZ257">IF(SUM($D$201:$D$207)=0,$AC$82,MAX(IF($D$201:$D$207&gt;0,$C$201:$C$207)))</f>
        <v>44535</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44529</v>
      </c>
      <c r="AZ258" s="252">
        <f t="array" ref="AZ258">IF(SUM($D$201:$D$207)=0,$AC$82,MAX(IF($D$201:$D$207&gt;0,$C$201:$C$207)))</f>
        <v>44535</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44529</v>
      </c>
      <c r="AZ259" s="252">
        <f t="array" ref="AZ259">IF(SUM($D$201:$D$207)=0,$AC$82,MAX(IF($D$201:$D$207&gt;0,$C$201:$C$207)))</f>
        <v>44535</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44529</v>
      </c>
      <c r="AZ260" s="252">
        <f t="array" ref="AZ260">IF(SUM($D$201:$D$207)=0,$AC$82,MAX(IF($D$201:$D$207&gt;0,$C$201:$C$207)))</f>
        <v>44535</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44529</v>
      </c>
      <c r="AZ261" s="252">
        <f t="array" ref="AZ261">IF(SUM($D$201:$D$207)=0,$AC$82,MAX(IF($D$201:$D$207&gt;0,$C$201:$C$207)))</f>
        <v>44535</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44529</v>
      </c>
      <c r="AZ262" s="252">
        <f t="array" ref="AZ262">IF(SUM($D$201:$D$207)=0,$AC$82,MAX(IF($D$201:$D$207&gt;0,$C$201:$C$207)))</f>
        <v>44535</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x14ac:dyDescent="0.2">
      <c r="AR263" s="377"/>
      <c r="AS263" s="328">
        <f>COUNTIF($AT$173:$AT262,$AT263)</f>
        <v>0</v>
      </c>
      <c r="AT263" s="1" t="str">
        <f t="shared" si="215"/>
        <v>913829</v>
      </c>
      <c r="AV263" s="328" t="str">
        <f t="shared" si="216"/>
        <v>913829</v>
      </c>
      <c r="AW263" s="328">
        <f>COUNTIF($AT$173:$AT262,$AT263)</f>
        <v>0</v>
      </c>
      <c r="AX263" s="201" t="str">
        <f t="shared" si="217"/>
        <v>Claim</v>
      </c>
      <c r="AY263" s="389">
        <f t="array" ref="AY263">MIN(IF($D$173:$D$207&gt;0,$C$173:$C$207))</f>
        <v>44507</v>
      </c>
      <c r="AZ263" s="271">
        <f t="array" ref="AZ263">MAX(IF($D$173:$D$207&gt;0,$C$173:$C$207))</f>
        <v>44509</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6.9808800000000009</v>
      </c>
      <c r="CI263" s="274">
        <v>0</v>
      </c>
      <c r="CJ263" s="274">
        <v>0</v>
      </c>
    </row>
    <row r="264" spans="44:88"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44507</v>
      </c>
      <c r="AZ264" s="271">
        <f t="array" ref="AZ264">MAX(IF($D$173:$D$207&gt;0,$C$173:$C$207))</f>
        <v>44509</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44507</v>
      </c>
      <c r="AZ265" s="271">
        <f t="array" ref="AZ265">MAX(IF($D$173:$D$207&gt;0,$C$173:$C$207))</f>
        <v>44509</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x14ac:dyDescent="0.2">
      <c r="AR266" s="377"/>
      <c r="AS266" s="328">
        <f>COUNTIF($AT$173:$AT265,$AT266)</f>
        <v>0</v>
      </c>
      <c r="AT266" s="1" t="str">
        <f>BA266&amp;(ROUND((AY266*AZ266)*((SUM(BB266:CJ266)+3062)/1000000),0))</f>
        <v>96065706</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44507</v>
      </c>
      <c r="AZ266" s="397">
        <f t="array" ref="AZ266">MAX(IF($D$173:$D$207&gt;0,$C$173:$C$207))</f>
        <v>44509</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x14ac:dyDescent="0.2">
      <c r="AR267" s="377"/>
      <c r="AS267" s="328">
        <f>COUNTIF($AT$173:$AT266,$AT267)</f>
        <v>0</v>
      </c>
      <c r="AT267" s="1" t="str">
        <f t="shared" ref="AT267:AT268" si="227">BA267&amp;(ROUND((AY267*AZ267)*((SUM(BB267:CJ267)+3062)/1000000),0))</f>
        <v>06065706</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44507</v>
      </c>
      <c r="AZ267" s="397">
        <f t="array" ref="AZ267">MAX(IF($D$173:$D$207&gt;0,$C$173:$C$207))</f>
        <v>44509</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x14ac:dyDescent="0.2">
      <c r="AR268" s="377"/>
      <c r="AS268" s="328">
        <f>COUNTIF($AT$173:$AT267,$AT268)</f>
        <v>1</v>
      </c>
      <c r="AT268" s="1" t="str">
        <f t="shared" si="227"/>
        <v>06065706</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44507</v>
      </c>
      <c r="AZ268" s="397">
        <f t="array" ref="AZ268">MAX(IF($D$173:$D$207&gt;0,$C$173:$C$207))</f>
        <v>44509</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x14ac:dyDescent="0.2">
      <c r="AR269" s="377"/>
      <c r="AS269" s="328">
        <f>COUNTIF($AT$173:$AT268,$AT269)</f>
        <v>0</v>
      </c>
      <c r="AT269" s="1" t="str">
        <f>BA269&amp;(ROUND((AY269*AZ269)*((SUM(BB269:CJ269)+3509)/1000000),0))</f>
        <v>96951196</v>
      </c>
      <c r="AV269" s="328" t="str">
        <f t="shared" si="216"/>
        <v>90</v>
      </c>
      <c r="AW269" s="328">
        <f>COUNTIF($AT$173:$AT268,$AT269)</f>
        <v>0</v>
      </c>
      <c r="AX269" s="201" t="str">
        <f t="shared" si="228"/>
        <v>Ignore me</v>
      </c>
      <c r="AY269" s="396">
        <f t="array" ref="AY269">MIN(IF($D$173:$D$207&gt;0,$C$173:$C$207))</f>
        <v>44507</v>
      </c>
      <c r="AZ269" s="397">
        <f t="array" ref="AZ269">MAX(IF($D$173:$D$207&gt;0,$C$173:$C$207))</f>
        <v>44509</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x14ac:dyDescent="0.2">
      <c r="AR270" s="377"/>
      <c r="AS270" s="328">
        <f>COUNTIF($AT$173:$AT269,$AT270)</f>
        <v>0</v>
      </c>
      <c r="AT270" s="1" t="str">
        <f t="shared" ref="AT270:AT271" si="230">BA270&amp;(ROUND((AY270*AZ270)*((SUM(BB270:CJ270)+3509)/1000000),0))</f>
        <v>06951196</v>
      </c>
      <c r="AV270" s="328" t="str">
        <f t="shared" si="216"/>
        <v>00</v>
      </c>
      <c r="AW270" s="328">
        <f>COUNTIF($AT$173:$AT269,$AT270)</f>
        <v>0</v>
      </c>
      <c r="AX270" s="201" t="str">
        <f t="shared" si="228"/>
        <v>Ignore me</v>
      </c>
      <c r="AY270" s="396">
        <f t="array" ref="AY270">MIN(IF($D$173:$D$207&gt;0,$C$173:$C$207))</f>
        <v>44507</v>
      </c>
      <c r="AZ270" s="397">
        <f t="array" ref="AZ270">MAX(IF($D$173:$D$207&gt;0,$C$173:$C$207))</f>
        <v>44509</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x14ac:dyDescent="0.2">
      <c r="AR271" s="377"/>
      <c r="AS271" s="328">
        <f>COUNTIF($AT$173:$AT270,$AT271)</f>
        <v>1</v>
      </c>
      <c r="AT271" s="1" t="str">
        <f t="shared" si="230"/>
        <v>06951196</v>
      </c>
      <c r="AV271" s="328" t="str">
        <f t="shared" si="216"/>
        <v>00</v>
      </c>
      <c r="AW271" s="328">
        <f>COUNTIF($AT$173:$AT270,$AT271)</f>
        <v>1</v>
      </c>
      <c r="AX271" s="201" t="str">
        <f t="shared" si="228"/>
        <v>Ignore me</v>
      </c>
      <c r="AY271" s="396">
        <f t="array" ref="AY271">MIN(IF($D$173:$D$207&gt;0,$C$173:$C$207))</f>
        <v>44507</v>
      </c>
      <c r="AZ271" s="397">
        <f t="array" ref="AZ271">MAX(IF($D$173:$D$207&gt;0,$C$173:$C$207))</f>
        <v>44509</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x14ac:dyDescent="0.2">
      <c r="AX275" s="5">
        <v>1</v>
      </c>
      <c r="AY275" s="327">
        <f t="array" ref="AY275">IFERROR(INDEX(AY$173:AY$271, SMALL(IF($AX$173:$AX$271="Claim", ROW(AY$173:AY$271)-MIN(ROW(AY$173:AY$271))+1, ""), ROW(A1))), "")</f>
        <v>44507</v>
      </c>
      <c r="AZ275" s="327">
        <f t="array" ref="AZ275">IFERROR(INDEX(AZ$173:AZ$271, SMALL(IF($AX$173:$AX$271="Claim", ROW(AZ$173:AZ$271)-MIN(ROW(AZ$173:AZ$271))+1, ""), ROW(B1))), "")</f>
        <v>44507</v>
      </c>
      <c r="BA275" s="5">
        <f t="array" ref="BA275">IFERROR(INDEX(BA$173:BA$275, SMALL(IF($AX$173:$AX$275="Claim", ROW(BA$173:BA$275)-MIN(ROW(BA$173:BA$275))+1, ""), ROW(C1))), "")</f>
        <v>9</v>
      </c>
      <c r="BB275" s="5">
        <f t="array" ref="BB275">IFERROR(INDEX(BB$173:BB$271, SMALL(IF($AX$173:$AX$271="Claim", ROW(BB$173:BB$271)-MIN(ROW(BB$173:BB$271))+1, ""), ROW(D1))), "")</f>
        <v>1</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x14ac:dyDescent="0.2">
      <c r="AX276" s="5">
        <v>2</v>
      </c>
      <c r="AY276" s="327">
        <f t="array" ref="AY276">IFERROR(INDEX(AY$173:AY$271, SMALL(IF($AX$173:$AX$271="Claim", ROW(AY$173:AY$271)-MIN(ROW(AY$173:AY$271))+1, ""), ROW(A2))), "")</f>
        <v>44509</v>
      </c>
      <c r="AZ276" s="327">
        <f t="array" ref="AZ276">IFERROR(INDEX(AZ$173:AZ$271, SMALL(IF($AX$173:$AX$271="Claim", ROW(AZ$173:AZ$271)-MIN(ROW(AZ$173:AZ$271))+1, ""), ROW(B2))), "")</f>
        <v>44509</v>
      </c>
      <c r="BA276" s="5">
        <f t="array" ref="BA276">IFERROR(INDEX(BA$173:BA$275, SMALL(IF($AX$173:$AX$275="Claim", ROW(BA$173:BA$275)-MIN(ROW(BA$173:BA$275))+1, ""), ROW(C2))), "")</f>
        <v>9</v>
      </c>
      <c r="BB276" s="5">
        <f t="array" ref="BB276">IFERROR(INDEX(BB$173:BB$271, SMALL(IF($AX$173:$AX$271="Claim", ROW(BB$173:BB$271)-MIN(ROW(BB$173:BB$271))+1, ""), ROW(D2))), "")</f>
        <v>2</v>
      </c>
      <c r="BC276" s="5">
        <f t="array" ref="BC276">IFERROR(INDEX(BC$173:BC$271, SMALL(IF($AX$173:$AX$271="Claim", ROW(BC$173:BC$271)-MIN(ROW(BC$173:BC$271))+1, ""), ROW(E2))), "")</f>
        <v>13.6</v>
      </c>
      <c r="BD276" s="5">
        <f t="array" ref="BD276">IFERROR(INDEX(BD$173:BD$271, SMALL(IF($AX$173:$AX$271="Claim", ROW(BD$173:BD$271)-MIN(ROW(BD$173:BD$271))+1, ""), ROW(F2))), "")</f>
        <v>0</v>
      </c>
      <c r="BE276" s="5">
        <f t="array" ref="BE276">IFERROR(INDEX(BE$173:BE$271, SMALL(IF($AX$173:$AX$271="Claim", ROW(BE$173:BE$271)-MIN(ROW(BE$173:BE$271))+1, ""), ROW(G2))), "")</f>
        <v>13.6</v>
      </c>
      <c r="BF276" s="5">
        <f t="array" ref="BF276">IFERROR(INDEX(BF$173:BF$271, SMALL(IF($AX$173:$AX$271="Claim", ROW(BF$173:BF$271)-MIN(ROW(BF$173:BF$271))+1, ""), ROW(H2))), "")</f>
        <v>0</v>
      </c>
      <c r="BG276" s="5">
        <f t="array" ref="BG276">IFERROR(INDEX(BG$173:BG$271, SMALL(IF($AX$173:$AX$271="Claim", ROW(BG$173:BG$271)-MIN(ROW(BG$173:BG$271))+1, ""), ROW(I2))), "")</f>
        <v>13.6</v>
      </c>
      <c r="BH276" s="5">
        <f t="array" ref="BH276">IFERROR(INDEX(BH$173:BH$271, SMALL(IF($AX$173:$AX$271="Claim", ROW(BH$173:BH$271)-MIN(ROW(BH$173:BH$271))+1, ""), ROW(J2))), "")</f>
        <v>0</v>
      </c>
      <c r="BI276" s="5">
        <f t="array" ref="BI276">IFERROR(INDEX(BI$173:BI$271, SMALL(IF($AX$173:$AX$271="Claim", ROW(BI$173:BI$271)-MIN(ROW(BI$173:BI$271))+1, ""), ROW(K2))), "")</f>
        <v>13.6</v>
      </c>
      <c r="BJ276" s="5">
        <f t="array" ref="BJ276">IFERROR(INDEX(BJ$173:BJ$271, SMALL(IF($AX$173:$AX$271="Claim", ROW(BJ$173:BJ$271)-MIN(ROW(BJ$173:BJ$271))+1, ""), ROW(L2))), "")</f>
        <v>0</v>
      </c>
      <c r="BK276" s="5">
        <f t="array" ref="BK276">IFERROR(INDEX(BK$173:BK$271, SMALL(IF($AX$173:$AX$271="Claim", ROW(BK$173:BK$271)-MIN(ROW(BK$173:BK$271))+1, ""), ROW(M2))), "")</f>
        <v>13.6</v>
      </c>
      <c r="BL276" s="5">
        <f t="array" ref="BL276">IFERROR(INDEX(BL$173:BL$271, SMALL(IF($AX$173:$AX$271="Claim", ROW(BL$173:BL$271)-MIN(ROW(BL$173:BL$271))+1, ""), ROW(N2))), "")</f>
        <v>0</v>
      </c>
      <c r="BM276" s="5">
        <f t="array" ref="BM276">IFERROR(INDEX(BM$173:BM$271, SMALL(IF($AX$173:$AX$271="Claim", ROW(BM$173:BM$271)-MIN(ROW(BM$173:BM$271))+1, ""), ROW(O2))), "")</f>
        <v>13.6</v>
      </c>
      <c r="BN276" s="5">
        <f t="array" ref="BN276">IFERROR(INDEX(BN$173:BN$271, SMALL(IF($AX$173:$AX$271="Claim", ROW(BN$173:BN$271)-MIN(ROW(BN$173:BN$271))+1, ""), ROW(P2))), "")</f>
        <v>0</v>
      </c>
      <c r="BO276" s="5">
        <f t="array" ref="BO276">IFERROR(INDEX(BO$173:BO$271, SMALL(IF($AX$173:$AX$271="Claim", ROW(BO$173:BO$271)-MIN(ROW(BO$173:BO$271))+1, ""), ROW(Q2))), "")</f>
        <v>13.6</v>
      </c>
      <c r="BP276" s="5">
        <f t="array" ref="BP276">IFERROR(INDEX(BP$173:BP$271, SMALL(IF($AX$173:$AX$271="Claim", ROW(BP$173:BP$271)-MIN(ROW(BP$173:BP$271))+1, ""), ROW(R2))), "")</f>
        <v>0</v>
      </c>
      <c r="BQ276" s="5">
        <f t="array" ref="BQ276">IFERROR(INDEX(BQ$173:BQ$271, SMALL(IF($AX$173:$AX$271="Claim", ROW(BQ$173:BQ$271)-MIN(ROW(BQ$173:BQ$271))+1, ""), ROW(S2))), "")</f>
        <v>13.6</v>
      </c>
      <c r="BR276" s="5">
        <f t="array" ref="BR276">IFERROR(INDEX(BR$173:BR$271, SMALL(IF($AX$173:$AX$271="Claim", ROW(BR$173:BR$271)-MIN(ROW(BR$173:BR$271))+1, ""), ROW(T2))), "")</f>
        <v>0</v>
      </c>
      <c r="BS276" s="5">
        <f t="array" ref="BS276">IFERROR(INDEX(BS$173:BS$271, SMALL(IF($AX$173:$AX$271="Claim", ROW(BS$173:BS$271)-MIN(ROW(BS$173:BS$271))+1, ""), ROW(U2))), "")</f>
        <v>13.6</v>
      </c>
      <c r="BT276" s="5">
        <f t="array" ref="BT276">IFERROR(INDEX(BT$173:BT$271, SMALL(IF($AX$173:$AX$271="Claim", ROW(BT$173:BT$271)-MIN(ROW(BT$173:BT$271))+1, ""), ROW(V2))), "")</f>
        <v>0</v>
      </c>
      <c r="BU276" s="5">
        <f t="array" ref="BU276">IFERROR(INDEX(BU$173:BU$271, SMALL(IF($AX$173:$AX$271="Claim", ROW(BU$173:BU$271)-MIN(ROW(BU$173:BU$271))+1, ""), ROW(W2))), "")</f>
        <v>13.6</v>
      </c>
      <c r="BV276" s="5">
        <f t="array" ref="BV276">IFERROR(INDEX(BV$173:BV$271, SMALL(IF($AX$173:$AX$271="Claim", ROW(BV$173:BV$271)-MIN(ROW(BV$173:BV$271))+1, ""), ROW(X2))), "")</f>
        <v>0</v>
      </c>
      <c r="BW276" s="5">
        <f t="array" ref="BW276">IFERROR(INDEX(BW$173:BW$271, SMALL(IF($AX$173:$AX$271="Claim", ROW(BW$173:BW$271)-MIN(ROW(BW$173:BW$271))+1, ""), ROW(Y2))), "")</f>
        <v>13.6</v>
      </c>
      <c r="BX276" s="5">
        <f t="array" ref="BX276">IFERROR(INDEX(BX$173:BX$271, SMALL(IF($AX$173:$AX$271="Claim", ROW(BX$173:BX$271)-MIN(ROW(BX$173:BX$271))+1, ""), ROW(Z2))), "")</f>
        <v>0</v>
      </c>
      <c r="BY276" s="5">
        <f t="array" ref="BY276">IFERROR(INDEX(BY$173:BY$271, SMALL(IF($AX$173:$AX$271="Claim", ROW(BY$173:BY$271)-MIN(ROW(BY$173:BY$271))+1, ""), ROW(AA2))), "")</f>
        <v>13.6</v>
      </c>
      <c r="BZ276" s="5">
        <f t="array" ref="BZ276">IFERROR(INDEX(BZ$173:BZ$271, SMALL(IF($AX$173:$AX$271="Claim", ROW(BZ$173:BZ$271)-MIN(ROW(BZ$173:BZ$271))+1, ""), ROW(AB2))), "")</f>
        <v>0</v>
      </c>
      <c r="CA276" s="5">
        <f t="array" ref="CA276">IFERROR(INDEX(CA$173:CA$271, SMALL(IF($AX$173:$AX$271="Claim", ROW(CA$173:CA$271)-MIN(ROW(CA$173:CA$271))+1, ""), ROW(AC2))), "")</f>
        <v>13.6</v>
      </c>
      <c r="CB276" s="5">
        <f t="array" ref="CB276">IFERROR(INDEX(CB$173:CB$271, SMALL(IF($AX$173:$AX$271="Claim", ROW(CB$173:CB$271)-MIN(ROW(CB$173:CB$271))+1, ""), ROW(AD2))), "")</f>
        <v>0</v>
      </c>
      <c r="CC276" s="5">
        <f t="array" ref="CC276">IFERROR(INDEX(CC$173:CC$271, SMALL(IF($AX$173:$AX$271="Claim", ROW(CC$173:CC$271)-MIN(ROW(CC$173:CC$271))+1, ""), ROW(AE2))), "")</f>
        <v>13.6</v>
      </c>
      <c r="CD276" s="5">
        <f t="array" ref="CD276">IFERROR(INDEX(CD$173:CD$271, SMALL(IF($AX$173:$AX$271="Claim", ROW(CD$173:CD$271)-MIN(ROW(CD$173:CD$271))+1, ""), ROW(AF2))), "")</f>
        <v>0</v>
      </c>
      <c r="CE276" s="5">
        <f t="array" ref="CE276">IFERROR(INDEX(CE$173:CE$271, SMALL(IF($AX$173:$AX$271="Claim", ROW(CE$173:CE$271)-MIN(ROW(CE$173:CE$271))+1, ""), ROW(AG2))), "")</f>
        <v>13.6</v>
      </c>
      <c r="CF276" s="5">
        <f t="array" ref="CF276">IFERROR(INDEX(CF$173:CF$271, SMALL(IF($AX$173:$AX$271="Claim", ROW(CF$173:CF$271)-MIN(ROW(CF$173:CF$271))+1, ""), ROW(AH2))), "")</f>
        <v>0</v>
      </c>
      <c r="CG276" s="5">
        <f t="array" ref="CG276">IFERROR(INDEX(CG$173:CG$271, SMALL(IF($AX$173:$AX$271="Claim", ROW(CG$173:CG$271)-MIN(ROW(CG$173:CG$271))+1, ""), ROW(AI2))), "")</f>
        <v>13.6</v>
      </c>
      <c r="CH276" s="5">
        <f t="array" ref="CH276">IFERROR(INDEX(CH$173:CH$271, SMALL(IF($AX$173:$AX$271="Claim", ROW(CH$173:CH$271)-MIN(ROW(CH$173:CH$271))+1, ""), ROW(AJ2))), "")</f>
        <v>0</v>
      </c>
      <c r="CI276" s="5">
        <f t="array" ref="CI276">IFERROR(INDEX(CI$173:CI$271, SMALL(IF($AX$173:$AX$271="Claim", ROW(CI$173:CI$271)-MIN(ROW(CI$173:CI$271))+1, ""), ROW(AK2))), "")</f>
        <v>0</v>
      </c>
      <c r="CJ276" s="5">
        <f t="array" ref="CJ276">IFERROR(INDEX(CJ$173:CJ$271, SMALL(IF($AX$173:$AX$271="Claim", ROW(CJ$173:CJ$271)-MIN(ROW(CJ$173:CJ$271))+1, ""), ROW(AL2))), "")</f>
        <v>0</v>
      </c>
    </row>
    <row r="277" spans="49:88" x14ac:dyDescent="0.2">
      <c r="AX277" s="5">
        <v>3</v>
      </c>
      <c r="AY277" s="327">
        <f t="array" ref="AY277">IFERROR(INDEX(AY$173:AY$271, SMALL(IF($AX$173:$AX$271="Claim", ROW(AY$173:AY$271)-MIN(ROW(AY$173:AY$271))+1, ""), ROW(A3))), "")</f>
        <v>44507</v>
      </c>
      <c r="AZ277" s="327">
        <f t="array" ref="AZ277">IFERROR(INDEX(AZ$173:AZ$271, SMALL(IF($AX$173:$AX$271="Claim", ROW(AZ$173:AZ$271)-MIN(ROW(AZ$173:AZ$271))+1, ""), ROW(B3))), "")</f>
        <v>44509</v>
      </c>
      <c r="BA277" s="5">
        <f t="array" ref="BA277">IFERROR(INDEX(BA$173:BA$275, SMALL(IF($AX$173:$AX$275="Claim", ROW(BA$173:BA$275)-MIN(ROW(BA$173:BA$275))+1, ""), ROW(C3))), "")</f>
        <v>9</v>
      </c>
      <c r="BB277" s="5">
        <f t="array" ref="BB277">IFERROR(INDEX(BB$173:BB$271, SMALL(IF($AX$173:$AX$271="Claim", ROW(BB$173:BB$271)-MIN(ROW(BB$173:BB$271))+1, ""), ROW(D3))), "")</f>
        <v>0</v>
      </c>
      <c r="BC277" s="5">
        <f t="array" ref="BC277">IFERROR(INDEX(BC$173:BC$271, SMALL(IF($AX$173:$AX$271="Claim", ROW(BC$173:BC$271)-MIN(ROW(BC$173:BC$271))+1, ""), ROW(E3))), "")</f>
        <v>0</v>
      </c>
      <c r="BD277" s="5">
        <f t="array" ref="BD277">IFERROR(INDEX(BD$173:BD$271, SMALL(IF($AX$173:$AX$271="Claim", ROW(BD$173:BD$271)-MIN(ROW(BD$173:BD$271))+1, ""), ROW(F3))), "")</f>
        <v>0</v>
      </c>
      <c r="BE277" s="5">
        <f t="array" ref="BE277">IFERROR(INDEX(BE$173:BE$271, SMALL(IF($AX$173:$AX$271="Claim", ROW(BE$173:BE$271)-MIN(ROW(BE$173:BE$271))+1, ""), ROW(G3))), "")</f>
        <v>0</v>
      </c>
      <c r="BF277" s="5">
        <f t="array" ref="BF277">IFERROR(INDEX(BF$173:BF$271, SMALL(IF($AX$173:$AX$271="Claim", ROW(BF$173:BF$271)-MIN(ROW(BF$173:BF$271))+1, ""), ROW(H3))), "")</f>
        <v>0</v>
      </c>
      <c r="BG277" s="5">
        <f t="array" ref="BG277">IFERROR(INDEX(BG$173:BG$271, SMALL(IF($AX$173:$AX$271="Claim", ROW(BG$173:BG$271)-MIN(ROW(BG$173:BG$271))+1, ""), ROW(I3))), "")</f>
        <v>0</v>
      </c>
      <c r="BH277" s="5">
        <f t="array" ref="BH277">IFERROR(INDEX(BH$173:BH$271, SMALL(IF($AX$173:$AX$271="Claim", ROW(BH$173:BH$271)-MIN(ROW(BH$173:BH$271))+1, ""), ROW(J3))), "")</f>
        <v>0</v>
      </c>
      <c r="BI277" s="5">
        <f t="array" ref="BI277">IFERROR(INDEX(BI$173:BI$271, SMALL(IF($AX$173:$AX$271="Claim", ROW(BI$173:BI$271)-MIN(ROW(BI$173:BI$271))+1, ""), ROW(K3))), "")</f>
        <v>0</v>
      </c>
      <c r="BJ277" s="5">
        <f t="array" ref="BJ277">IFERROR(INDEX(BJ$173:BJ$271, SMALL(IF($AX$173:$AX$271="Claim", ROW(BJ$173:BJ$271)-MIN(ROW(BJ$173:BJ$271))+1, ""), ROW(L3))), "")</f>
        <v>0</v>
      </c>
      <c r="BK277" s="5">
        <f t="array" ref="BK277">IFERROR(INDEX(BK$173:BK$271, SMALL(IF($AX$173:$AX$271="Claim", ROW(BK$173:BK$271)-MIN(ROW(BK$173:BK$271))+1, ""), ROW(M3))), "")</f>
        <v>0</v>
      </c>
      <c r="BL277" s="5">
        <f t="array" ref="BL277">IFERROR(INDEX(BL$173:BL$271, SMALL(IF($AX$173:$AX$271="Claim", ROW(BL$173:BL$271)-MIN(ROW(BL$173:BL$271))+1, ""), ROW(N3))), "")</f>
        <v>0</v>
      </c>
      <c r="BM277" s="5">
        <f t="array" ref="BM277">IFERROR(INDEX(BM$173:BM$271, SMALL(IF($AX$173:$AX$271="Claim", ROW(BM$173:BM$271)-MIN(ROW(BM$173:BM$271))+1, ""), ROW(O3))), "")</f>
        <v>0</v>
      </c>
      <c r="BN277" s="5">
        <f t="array" ref="BN277">IFERROR(INDEX(BN$173:BN$271, SMALL(IF($AX$173:$AX$271="Claim", ROW(BN$173:BN$271)-MIN(ROW(BN$173:BN$271))+1, ""), ROW(P3))), "")</f>
        <v>0</v>
      </c>
      <c r="BO277" s="5">
        <f t="array" ref="BO277">IFERROR(INDEX(BO$173:BO$271, SMALL(IF($AX$173:$AX$271="Claim", ROW(BO$173:BO$271)-MIN(ROW(BO$173:BO$271))+1, ""), ROW(Q3))), "")</f>
        <v>0</v>
      </c>
      <c r="BP277" s="5">
        <f t="array" ref="BP277">IFERROR(INDEX(BP$173:BP$271, SMALL(IF($AX$173:$AX$271="Claim", ROW(BP$173:BP$271)-MIN(ROW(BP$173:BP$271))+1, ""), ROW(R3))), "")</f>
        <v>0</v>
      </c>
      <c r="BQ277" s="5">
        <f t="array" ref="BQ277">IFERROR(INDEX(BQ$173:BQ$271, SMALL(IF($AX$173:$AX$271="Claim", ROW(BQ$173:BQ$271)-MIN(ROW(BQ$173:BQ$271))+1, ""), ROW(S3))), "")</f>
        <v>0</v>
      </c>
      <c r="BR277" s="5">
        <f t="array" ref="BR277">IFERROR(INDEX(BR$173:BR$271, SMALL(IF($AX$173:$AX$271="Claim", ROW(BR$173:BR$271)-MIN(ROW(BR$173:BR$271))+1, ""), ROW(T3))), "")</f>
        <v>0</v>
      </c>
      <c r="BS277" s="5">
        <f t="array" ref="BS277">IFERROR(INDEX(BS$173:BS$271, SMALL(IF($AX$173:$AX$271="Claim", ROW(BS$173:BS$271)-MIN(ROW(BS$173:BS$271))+1, ""), ROW(U3))), "")</f>
        <v>0</v>
      </c>
      <c r="BT277" s="5">
        <f t="array" ref="BT277">IFERROR(INDEX(BT$173:BT$271, SMALL(IF($AX$173:$AX$271="Claim", ROW(BT$173:BT$271)-MIN(ROW(BT$173:BT$271))+1, ""), ROW(V3))), "")</f>
        <v>0</v>
      </c>
      <c r="BU277" s="5">
        <f t="array" ref="BU277">IFERROR(INDEX(BU$173:BU$271, SMALL(IF($AX$173:$AX$271="Claim", ROW(BU$173:BU$271)-MIN(ROW(BU$173:BU$271))+1, ""), ROW(W3))), "")</f>
        <v>0</v>
      </c>
      <c r="BV277" s="5">
        <f t="array" ref="BV277">IFERROR(INDEX(BV$173:BV$271, SMALL(IF($AX$173:$AX$271="Claim", ROW(BV$173:BV$271)-MIN(ROW(BV$173:BV$271))+1, ""), ROW(X3))), "")</f>
        <v>0</v>
      </c>
      <c r="BW277" s="5">
        <f t="array" ref="BW277">IFERROR(INDEX(BW$173:BW$271, SMALL(IF($AX$173:$AX$271="Claim", ROW(BW$173:BW$271)-MIN(ROW(BW$173:BW$271))+1, ""), ROW(Y3))), "")</f>
        <v>0</v>
      </c>
      <c r="BX277" s="5">
        <f t="array" ref="BX277">IFERROR(INDEX(BX$173:BX$271, SMALL(IF($AX$173:$AX$271="Claim", ROW(BX$173:BX$271)-MIN(ROW(BX$173:BX$271))+1, ""), ROW(Z3))), "")</f>
        <v>0</v>
      </c>
      <c r="BY277" s="5">
        <f t="array" ref="BY277">IFERROR(INDEX(BY$173:BY$271, SMALL(IF($AX$173:$AX$271="Claim", ROW(BY$173:BY$271)-MIN(ROW(BY$173:BY$271))+1, ""), ROW(AA3))), "")</f>
        <v>0</v>
      </c>
      <c r="BZ277" s="5">
        <f t="array" ref="BZ277">IFERROR(INDEX(BZ$173:BZ$271, SMALL(IF($AX$173:$AX$271="Claim", ROW(BZ$173:BZ$271)-MIN(ROW(BZ$173:BZ$271))+1, ""), ROW(AB3))), "")</f>
        <v>0</v>
      </c>
      <c r="CA277" s="5">
        <f t="array" ref="CA277">IFERROR(INDEX(CA$173:CA$271, SMALL(IF($AX$173:$AX$271="Claim", ROW(CA$173:CA$271)-MIN(ROW(CA$173:CA$271))+1, ""), ROW(AC3))), "")</f>
        <v>0</v>
      </c>
      <c r="CB277" s="5">
        <f t="array" ref="CB277">IFERROR(INDEX(CB$173:CB$271, SMALL(IF($AX$173:$AX$271="Claim", ROW(CB$173:CB$271)-MIN(ROW(CB$173:CB$271))+1, ""), ROW(AD3))), "")</f>
        <v>0</v>
      </c>
      <c r="CC277" s="5">
        <f t="array" ref="CC277">IFERROR(INDEX(CC$173:CC$271, SMALL(IF($AX$173:$AX$271="Claim", ROW(CC$173:CC$271)-MIN(ROW(CC$173:CC$271))+1, ""), ROW(AE3))), "")</f>
        <v>0</v>
      </c>
      <c r="CD277" s="5">
        <f t="array" ref="CD277">IFERROR(INDEX(CD$173:CD$271, SMALL(IF($AX$173:$AX$271="Claim", ROW(CD$173:CD$271)-MIN(ROW(CD$173:CD$271))+1, ""), ROW(AF3))), "")</f>
        <v>0</v>
      </c>
      <c r="CE277" s="5">
        <f t="array" ref="CE277">IFERROR(INDEX(CE$173:CE$271, SMALL(IF($AX$173:$AX$271="Claim", ROW(CE$173:CE$271)-MIN(ROW(CE$173:CE$271))+1, ""), ROW(AG3))), "")</f>
        <v>0</v>
      </c>
      <c r="CF277" s="5">
        <f t="array" ref="CF277">IFERROR(INDEX(CF$173:CF$271, SMALL(IF($AX$173:$AX$271="Claim", ROW(CF$173:CF$271)-MIN(ROW(CF$173:CF$271))+1, ""), ROW(AH3))), "")</f>
        <v>0</v>
      </c>
      <c r="CG277" s="5">
        <f t="array" ref="CG277">IFERROR(INDEX(CG$173:CG$271, SMALL(IF($AX$173:$AX$271="Claim", ROW(CG$173:CG$271)-MIN(ROW(CG$173:CG$271))+1, ""), ROW(AI3))), "")</f>
        <v>0</v>
      </c>
      <c r="CH277" s="5">
        <f t="array" ref="CH277">IFERROR(INDEX(CH$173:CH$271, SMALL(IF($AX$173:$AX$271="Claim", ROW(CH$173:CH$271)-MIN(ROW(CH$173:CH$271))+1, ""), ROW(AJ3))), "")</f>
        <v>6.9808800000000009</v>
      </c>
      <c r="CI277" s="5">
        <f t="array" ref="CI277">IFERROR(INDEX(CI$173:CI$271, SMALL(IF($AX$173:$AX$271="Claim", ROW(CI$173:CI$271)-MIN(ROW(CI$173:CI$271))+1, ""), ROW(AK3))), "")</f>
        <v>0</v>
      </c>
      <c r="CJ277" s="5">
        <f t="array" ref="CJ277">IFERROR(INDEX(CJ$173:CJ$271, SMALL(IF($AX$173:$AX$271="Claim", ROW(CJ$173:CJ$271)-MIN(ROW(CJ$173:CJ$271))+1, ""), ROW(AL3))), "")</f>
        <v>0</v>
      </c>
    </row>
    <row r="278" spans="49:88"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x14ac:dyDescent="0.2">
      <c r="AX377" s="5">
        <v>1</v>
      </c>
      <c r="AY377" s="5" t="str">
        <f>TEXT(AY275,"dd/mm/yyyy")</f>
        <v>07/11/2021</v>
      </c>
      <c r="AZ377" s="5" t="str">
        <f>TEXT(AZ275,"dd/mm/yyyy")</f>
        <v>07/11/2021</v>
      </c>
      <c r="BA377" s="5" t="str">
        <f t="shared" ref="BA377:BA408" si="231">TEXT(BA275,"000000000")</f>
        <v>000000009</v>
      </c>
      <c r="BB377" s="5" t="str">
        <f t="shared" ref="BB377:BB408" si="232">TEXT(IF(BB275=0,"",BB275),"0.0000")</f>
        <v>1.0000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x14ac:dyDescent="0.2">
      <c r="AX378" s="5">
        <v>2</v>
      </c>
      <c r="AY378" s="5" t="str">
        <f t="shared" ref="AY378:AZ378" si="265">TEXT(AY276,"dd/mm/yyyy")</f>
        <v>09/11/2021</v>
      </c>
      <c r="AZ378" s="5" t="str">
        <f t="shared" si="265"/>
        <v>09/11/2021</v>
      </c>
      <c r="BA378" s="5" t="str">
        <f t="shared" si="231"/>
        <v>000000009</v>
      </c>
      <c r="BB378" s="5" t="str">
        <f t="shared" si="232"/>
        <v>2.0000</v>
      </c>
      <c r="BC378" s="5" t="str">
        <f t="shared" si="233"/>
        <v>13.60</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x14ac:dyDescent="0.2">
      <c r="AX379" s="5">
        <v>3</v>
      </c>
      <c r="AY379" s="5" t="str">
        <f t="shared" ref="AY379:AZ379" si="267">TEXT(AY277,"dd/mm/yyyy")</f>
        <v>07/11/2021</v>
      </c>
      <c r="AZ379" s="5" t="str">
        <f t="shared" si="267"/>
        <v>09/11/2021</v>
      </c>
      <c r="BA379" s="5" t="str">
        <f t="shared" si="231"/>
        <v>000000009</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6.98</v>
      </c>
      <c r="CI379" s="5" t="str">
        <f t="shared" ref="CI379:CJ379" si="268">TEXT(IF(CI277=0,"",CI277),"0.00")</f>
        <v/>
      </c>
      <c r="CJ379" s="5" t="str">
        <f t="shared" si="268"/>
        <v/>
      </c>
    </row>
    <row r="380" spans="50:88"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x14ac:dyDescent="0.2">
      <c r="AX476" s="5"/>
    </row>
    <row r="477" spans="50:88" x14ac:dyDescent="0.2">
      <c r="AX477" s="5"/>
    </row>
  </sheetData>
  <sheetProtection algorithmName="SHA-512" hashValue="QpTFrZCnsF9L2gkCc4LEV7tz44myVOwJMd2pxeSKSGls7HLqK45R3Jaowqdgsn3wSobRXnsirvbvuO9EtFOAfg==" saltValue="dE+5nJ2mFJth6ROhWIlRwA==" spinCount="100000" sheet="1" selectLockedCells="1"/>
  <sortState xmlns:xlrd2="http://schemas.microsoft.com/office/spreadsheetml/2017/richdata2" ref="BF128:BF144">
    <sortCondition ref="BF128:BF144"/>
  </sortState>
  <mergeCells count="501">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 xml:space="preserve">Georgios </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1 November - 28 November 2021</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School of Electronics and Computer Science</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55" t="str">
        <f>IF(E3&lt;&gt;"Please enter",'UniWorkforce Hourly Timesheet'!E3,IF(P3&lt;&gt;"Please enter",'UniWorkforce Fixed Fee Claim'!F3,"Enter details on timesheet first"))</f>
        <v xml:space="preserve">Georgios </v>
      </c>
      <c r="F12" s="755"/>
      <c r="G12" s="755"/>
      <c r="H12" s="755"/>
      <c r="I12" s="755"/>
      <c r="J12" s="755"/>
      <c r="K12" s="755"/>
      <c r="L12" s="755"/>
      <c r="M12" s="755"/>
      <c r="N12" s="755"/>
      <c r="O12" s="755"/>
      <c r="P12" s="755"/>
      <c r="Q12" s="2"/>
      <c r="R12" s="515" t="s">
        <v>60</v>
      </c>
      <c r="S12" s="515"/>
      <c r="T12" s="515"/>
      <c r="U12" s="515"/>
      <c r="V12" s="515"/>
      <c r="W12" s="515"/>
      <c r="X12" s="515"/>
      <c r="Y12" s="515"/>
      <c r="Z12" s="755" t="str">
        <f>IF(E4&lt;&gt;"Please enter",'UniWorkforce Hourly Timesheet'!Z3,IF(P4&lt;&gt;"Please enter",'UniWorkforce Fixed Fee Claim'!AC3,"Enter details on timesheet first"))</f>
        <v>Giamouridis</v>
      </c>
      <c r="AA12" s="755"/>
      <c r="AB12" s="755"/>
      <c r="AC12" s="755"/>
      <c r="AD12" s="755"/>
      <c r="AE12" s="755"/>
      <c r="AF12" s="755"/>
      <c r="AG12" s="755"/>
      <c r="AH12" s="755"/>
      <c r="AI12" s="755"/>
      <c r="AJ12" s="755"/>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6" t="str">
        <f>IF(E5&lt;&gt;"Please select claim period",'UniWorkforce Hourly Timesheet'!E7,IF(P5&lt;&gt;"Please select claim period",'UniWorkforce Fixed Fee Claim'!F7,"Enter details on timesheet first"))</f>
        <v>1 November - 28 November 2021</v>
      </c>
      <c r="F14" s="767"/>
      <c r="G14" s="767"/>
      <c r="H14" s="767"/>
      <c r="I14" s="767"/>
      <c r="J14" s="767"/>
      <c r="K14" s="767"/>
      <c r="L14" s="767"/>
      <c r="M14" s="767"/>
      <c r="N14" s="767"/>
      <c r="O14" s="767"/>
      <c r="P14" s="768"/>
      <c r="Q14" s="5"/>
      <c r="R14" s="515" t="s">
        <v>62</v>
      </c>
      <c r="S14" s="515"/>
      <c r="T14" s="515"/>
      <c r="U14" s="515"/>
      <c r="V14" s="515"/>
      <c r="W14" s="515"/>
      <c r="X14" s="515"/>
      <c r="Y14" s="515"/>
      <c r="Z14" s="765">
        <f>IF(E6&lt;&gt;0,'UniWorkforce Hourly Timesheet'!Z5,IF(P6&lt;&gt;0,'UniWorkforce Fixed Fee Claim'!AC5,"Enter details on timesheet first"))</f>
        <v>2915413</v>
      </c>
      <c r="AA14" s="765"/>
      <c r="AB14" s="765"/>
      <c r="AC14" s="765"/>
      <c r="AD14" s="765"/>
      <c r="AE14" s="765"/>
      <c r="AF14" s="765"/>
      <c r="AG14" s="765"/>
      <c r="AH14" s="765"/>
      <c r="AI14" s="765"/>
      <c r="AJ14" s="765"/>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55" t="str">
        <f>IF(E7&lt;&gt;"Please select faculty",'UniWorkforce Hourly Timesheet'!E9,IF(P7&lt;&gt;"Please select faculty",'UniWorkforce Fixed Fee Claim'!F9,"Enter details on timesheet first"))</f>
        <v xml:space="preserve">Engineering and Physical Sciences </v>
      </c>
      <c r="F16" s="755"/>
      <c r="G16" s="755"/>
      <c r="H16" s="755"/>
      <c r="I16" s="755"/>
      <c r="J16" s="755"/>
      <c r="K16" s="755"/>
      <c r="L16" s="755"/>
      <c r="M16" s="755"/>
      <c r="N16" s="755"/>
      <c r="O16" s="755"/>
      <c r="P16" s="755"/>
      <c r="Q16" s="3"/>
      <c r="R16" s="441" t="s">
        <v>217</v>
      </c>
      <c r="S16" s="528"/>
      <c r="T16" s="528"/>
      <c r="U16" s="528"/>
      <c r="V16" s="528"/>
      <c r="W16" s="756" t="str">
        <f>IF(E8&lt;&gt;"Select faculty first",'UniWorkforce Hourly Timesheet'!W9,IF(P8&lt;&gt;"Select faculty first",'UniWorkforce Fixed Fee Claim'!Z9,"Enter details on timesheet first"))</f>
        <v>School of Electronics and Computer Science</v>
      </c>
      <c r="X16" s="757"/>
      <c r="Y16" s="757"/>
      <c r="Z16" s="757"/>
      <c r="AA16" s="757"/>
      <c r="AB16" s="757"/>
      <c r="AC16" s="757"/>
      <c r="AD16" s="757"/>
      <c r="AE16" s="757"/>
      <c r="AF16" s="757"/>
      <c r="AG16" s="757"/>
      <c r="AH16" s="757"/>
      <c r="AI16" s="757"/>
      <c r="AJ16" s="758"/>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60" t="s">
        <v>220</v>
      </c>
      <c r="F18" s="760"/>
      <c r="G18" s="760"/>
      <c r="H18" s="760"/>
      <c r="I18" s="760"/>
      <c r="J18" s="760"/>
      <c r="K18" s="760"/>
      <c r="L18" s="760"/>
      <c r="M18" s="760"/>
      <c r="N18" s="760"/>
      <c r="O18" s="760" t="s">
        <v>221</v>
      </c>
      <c r="P18" s="760"/>
      <c r="Q18" s="760"/>
      <c r="R18" s="760"/>
      <c r="S18" s="760"/>
      <c r="T18" s="760"/>
      <c r="U18" s="760"/>
      <c r="V18" s="760"/>
      <c r="W18" s="760"/>
      <c r="X18" s="760"/>
      <c r="Y18" s="515" t="s">
        <v>222</v>
      </c>
      <c r="Z18" s="515"/>
      <c r="AA18" s="515"/>
      <c r="AB18" s="515"/>
      <c r="AC18" s="515" t="s">
        <v>223</v>
      </c>
      <c r="AD18" s="515"/>
      <c r="AE18" s="515"/>
      <c r="AF18" s="759" t="s">
        <v>224</v>
      </c>
      <c r="AG18" s="759"/>
      <c r="AH18" s="759"/>
      <c r="AI18" s="759"/>
      <c r="AJ18" s="759"/>
      <c r="AK18" s="61" t="s">
        <v>225</v>
      </c>
      <c r="AL18" s="61" t="s">
        <v>226</v>
      </c>
      <c r="AM18" s="45"/>
      <c r="AP18" s="1" t="s">
        <v>227</v>
      </c>
    </row>
    <row r="19" spans="2:47" ht="15" customHeight="1" x14ac:dyDescent="0.2">
      <c r="B19" s="40"/>
      <c r="D19" s="69"/>
      <c r="E19" s="764" t="s">
        <v>228</v>
      </c>
      <c r="F19" s="526"/>
      <c r="G19" s="526"/>
      <c r="H19" s="526"/>
      <c r="I19" s="526"/>
      <c r="J19" s="526"/>
      <c r="K19" s="526"/>
      <c r="L19" s="526"/>
      <c r="M19" s="526"/>
      <c r="N19" s="527"/>
      <c r="O19" s="764" t="s">
        <v>227</v>
      </c>
      <c r="P19" s="526"/>
      <c r="Q19" s="526"/>
      <c r="R19" s="526"/>
      <c r="S19" s="526"/>
      <c r="T19" s="526"/>
      <c r="U19" s="526"/>
      <c r="V19" s="526"/>
      <c r="W19" s="526"/>
      <c r="X19" s="527"/>
      <c r="Y19" s="761"/>
      <c r="Z19" s="762"/>
      <c r="AA19" s="762"/>
      <c r="AB19" s="763"/>
      <c r="AC19" s="443"/>
      <c r="AD19" s="444"/>
      <c r="AE19" s="445"/>
      <c r="AF19" s="769">
        <f>IF(O19&lt;&gt;$AP$21,0,IF(AC19&lt;=0,0,IF(AC19&lt;=50,AC19*0.4,(50*0.4)+((AC19-50)*0.23))))</f>
        <v>0</v>
      </c>
      <c r="AG19" s="770"/>
      <c r="AH19" s="770"/>
      <c r="AI19" s="770"/>
      <c r="AJ19" s="771"/>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64" t="s">
        <v>228</v>
      </c>
      <c r="F20" s="526"/>
      <c r="G20" s="526"/>
      <c r="H20" s="526"/>
      <c r="I20" s="526"/>
      <c r="J20" s="526"/>
      <c r="K20" s="526"/>
      <c r="L20" s="526"/>
      <c r="M20" s="526"/>
      <c r="N20" s="527"/>
      <c r="O20" s="764" t="s">
        <v>227</v>
      </c>
      <c r="P20" s="526"/>
      <c r="Q20" s="526"/>
      <c r="R20" s="526"/>
      <c r="S20" s="526"/>
      <c r="T20" s="526"/>
      <c r="U20" s="526"/>
      <c r="V20" s="526"/>
      <c r="W20" s="526"/>
      <c r="X20" s="527"/>
      <c r="Y20" s="761"/>
      <c r="Z20" s="762"/>
      <c r="AA20" s="762"/>
      <c r="AB20" s="763"/>
      <c r="AC20" s="443"/>
      <c r="AD20" s="444"/>
      <c r="AE20" s="445"/>
      <c r="AF20" s="769">
        <f t="shared" ref="AF20:AF32" si="0">IF(O20&lt;&gt;$AP$21,0,IF(AC20&lt;=0,0,IF(AC20&lt;=50,AC20*0.4,(50*0.4)+((AC20-50)*0.23))))</f>
        <v>0</v>
      </c>
      <c r="AG20" s="770"/>
      <c r="AH20" s="770"/>
      <c r="AI20" s="770"/>
      <c r="AJ20" s="771"/>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64" t="s">
        <v>228</v>
      </c>
      <c r="F21" s="526"/>
      <c r="G21" s="526"/>
      <c r="H21" s="526"/>
      <c r="I21" s="526"/>
      <c r="J21" s="526"/>
      <c r="K21" s="526"/>
      <c r="L21" s="526"/>
      <c r="M21" s="526"/>
      <c r="N21" s="527"/>
      <c r="O21" s="764" t="s">
        <v>227</v>
      </c>
      <c r="P21" s="526"/>
      <c r="Q21" s="526"/>
      <c r="R21" s="526"/>
      <c r="S21" s="526"/>
      <c r="T21" s="526"/>
      <c r="U21" s="526"/>
      <c r="V21" s="526"/>
      <c r="W21" s="526"/>
      <c r="X21" s="527"/>
      <c r="Y21" s="761"/>
      <c r="Z21" s="762"/>
      <c r="AA21" s="762"/>
      <c r="AB21" s="763"/>
      <c r="AC21" s="443"/>
      <c r="AD21" s="444"/>
      <c r="AE21" s="445"/>
      <c r="AF21" s="769">
        <f t="shared" si="0"/>
        <v>0</v>
      </c>
      <c r="AG21" s="770"/>
      <c r="AH21" s="770"/>
      <c r="AI21" s="770"/>
      <c r="AJ21" s="771"/>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64" t="s">
        <v>228</v>
      </c>
      <c r="F22" s="526"/>
      <c r="G22" s="526"/>
      <c r="H22" s="526"/>
      <c r="I22" s="526"/>
      <c r="J22" s="526"/>
      <c r="K22" s="526"/>
      <c r="L22" s="526"/>
      <c r="M22" s="526"/>
      <c r="N22" s="527"/>
      <c r="O22" s="764" t="s">
        <v>227</v>
      </c>
      <c r="P22" s="526"/>
      <c r="Q22" s="526"/>
      <c r="R22" s="526"/>
      <c r="S22" s="526"/>
      <c r="T22" s="526"/>
      <c r="U22" s="526"/>
      <c r="V22" s="526"/>
      <c r="W22" s="526"/>
      <c r="X22" s="527"/>
      <c r="Y22" s="761"/>
      <c r="Z22" s="762"/>
      <c r="AA22" s="762"/>
      <c r="AB22" s="763"/>
      <c r="AC22" s="443"/>
      <c r="AD22" s="444"/>
      <c r="AE22" s="445"/>
      <c r="AF22" s="769">
        <f t="shared" si="0"/>
        <v>0</v>
      </c>
      <c r="AG22" s="770"/>
      <c r="AH22" s="770"/>
      <c r="AI22" s="770"/>
      <c r="AJ22" s="771"/>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64" t="s">
        <v>228</v>
      </c>
      <c r="F23" s="526"/>
      <c r="G23" s="526"/>
      <c r="H23" s="526"/>
      <c r="I23" s="526"/>
      <c r="J23" s="526"/>
      <c r="K23" s="526"/>
      <c r="L23" s="526"/>
      <c r="M23" s="526"/>
      <c r="N23" s="527"/>
      <c r="O23" s="764" t="s">
        <v>227</v>
      </c>
      <c r="P23" s="526"/>
      <c r="Q23" s="526"/>
      <c r="R23" s="526"/>
      <c r="S23" s="526"/>
      <c r="T23" s="526"/>
      <c r="U23" s="526"/>
      <c r="V23" s="526"/>
      <c r="W23" s="526"/>
      <c r="X23" s="527"/>
      <c r="Y23" s="761"/>
      <c r="Z23" s="762"/>
      <c r="AA23" s="762"/>
      <c r="AB23" s="763"/>
      <c r="AC23" s="443"/>
      <c r="AD23" s="444"/>
      <c r="AE23" s="445"/>
      <c r="AF23" s="769">
        <f t="shared" si="0"/>
        <v>0</v>
      </c>
      <c r="AG23" s="770"/>
      <c r="AH23" s="770"/>
      <c r="AI23" s="770"/>
      <c r="AJ23" s="771"/>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64" t="s">
        <v>228</v>
      </c>
      <c r="F24" s="526"/>
      <c r="G24" s="526"/>
      <c r="H24" s="526"/>
      <c r="I24" s="526"/>
      <c r="J24" s="526"/>
      <c r="K24" s="526"/>
      <c r="L24" s="526"/>
      <c r="M24" s="526"/>
      <c r="N24" s="527"/>
      <c r="O24" s="764" t="s">
        <v>227</v>
      </c>
      <c r="P24" s="526"/>
      <c r="Q24" s="526"/>
      <c r="R24" s="526"/>
      <c r="S24" s="526"/>
      <c r="T24" s="526"/>
      <c r="U24" s="526"/>
      <c r="V24" s="526"/>
      <c r="W24" s="526"/>
      <c r="X24" s="527"/>
      <c r="Y24" s="761"/>
      <c r="Z24" s="762"/>
      <c r="AA24" s="762"/>
      <c r="AB24" s="763"/>
      <c r="AC24" s="443"/>
      <c r="AD24" s="444"/>
      <c r="AE24" s="445"/>
      <c r="AF24" s="769">
        <f t="shared" si="0"/>
        <v>0</v>
      </c>
      <c r="AG24" s="770"/>
      <c r="AH24" s="770"/>
      <c r="AI24" s="770"/>
      <c r="AJ24" s="771"/>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64" t="s">
        <v>228</v>
      </c>
      <c r="F25" s="526"/>
      <c r="G25" s="526"/>
      <c r="H25" s="526"/>
      <c r="I25" s="526"/>
      <c r="J25" s="526"/>
      <c r="K25" s="526"/>
      <c r="L25" s="526"/>
      <c r="M25" s="526"/>
      <c r="N25" s="527"/>
      <c r="O25" s="764" t="s">
        <v>227</v>
      </c>
      <c r="P25" s="526"/>
      <c r="Q25" s="526"/>
      <c r="R25" s="526"/>
      <c r="S25" s="526"/>
      <c r="T25" s="526"/>
      <c r="U25" s="526"/>
      <c r="V25" s="526"/>
      <c r="W25" s="526"/>
      <c r="X25" s="527"/>
      <c r="Y25" s="761"/>
      <c r="Z25" s="762"/>
      <c r="AA25" s="762"/>
      <c r="AB25" s="763"/>
      <c r="AC25" s="443"/>
      <c r="AD25" s="444"/>
      <c r="AE25" s="445"/>
      <c r="AF25" s="769">
        <f t="shared" si="0"/>
        <v>0</v>
      </c>
      <c r="AG25" s="770"/>
      <c r="AH25" s="770"/>
      <c r="AI25" s="770"/>
      <c r="AJ25" s="771"/>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64" t="s">
        <v>228</v>
      </c>
      <c r="F26" s="526"/>
      <c r="G26" s="526"/>
      <c r="H26" s="526"/>
      <c r="I26" s="526"/>
      <c r="J26" s="526"/>
      <c r="K26" s="526"/>
      <c r="L26" s="526"/>
      <c r="M26" s="526"/>
      <c r="N26" s="527"/>
      <c r="O26" s="764" t="s">
        <v>227</v>
      </c>
      <c r="P26" s="526"/>
      <c r="Q26" s="526"/>
      <c r="R26" s="526"/>
      <c r="S26" s="526"/>
      <c r="T26" s="526"/>
      <c r="U26" s="526"/>
      <c r="V26" s="526"/>
      <c r="W26" s="526"/>
      <c r="X26" s="527"/>
      <c r="Y26" s="761"/>
      <c r="Z26" s="762"/>
      <c r="AA26" s="762"/>
      <c r="AB26" s="763"/>
      <c r="AC26" s="443"/>
      <c r="AD26" s="444"/>
      <c r="AE26" s="445"/>
      <c r="AF26" s="769">
        <f t="shared" si="0"/>
        <v>0</v>
      </c>
      <c r="AG26" s="770"/>
      <c r="AH26" s="770"/>
      <c r="AI26" s="770"/>
      <c r="AJ26" s="771"/>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64" t="s">
        <v>228</v>
      </c>
      <c r="F27" s="526"/>
      <c r="G27" s="526"/>
      <c r="H27" s="526"/>
      <c r="I27" s="526"/>
      <c r="J27" s="526"/>
      <c r="K27" s="526"/>
      <c r="L27" s="526"/>
      <c r="M27" s="526"/>
      <c r="N27" s="527"/>
      <c r="O27" s="764" t="s">
        <v>227</v>
      </c>
      <c r="P27" s="526"/>
      <c r="Q27" s="526"/>
      <c r="R27" s="526"/>
      <c r="S27" s="526"/>
      <c r="T27" s="526"/>
      <c r="U27" s="526"/>
      <c r="V27" s="526"/>
      <c r="W27" s="526"/>
      <c r="X27" s="527"/>
      <c r="Y27" s="761"/>
      <c r="Z27" s="762"/>
      <c r="AA27" s="762"/>
      <c r="AB27" s="763"/>
      <c r="AC27" s="443"/>
      <c r="AD27" s="444"/>
      <c r="AE27" s="445"/>
      <c r="AF27" s="769">
        <f t="shared" si="0"/>
        <v>0</v>
      </c>
      <c r="AG27" s="770"/>
      <c r="AH27" s="770"/>
      <c r="AI27" s="770"/>
      <c r="AJ27" s="771"/>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64" t="s">
        <v>228</v>
      </c>
      <c r="F28" s="526"/>
      <c r="G28" s="526"/>
      <c r="H28" s="526"/>
      <c r="I28" s="526"/>
      <c r="J28" s="526"/>
      <c r="K28" s="526"/>
      <c r="L28" s="526"/>
      <c r="M28" s="526"/>
      <c r="N28" s="527"/>
      <c r="O28" s="764" t="s">
        <v>227</v>
      </c>
      <c r="P28" s="526"/>
      <c r="Q28" s="526"/>
      <c r="R28" s="526"/>
      <c r="S28" s="526"/>
      <c r="T28" s="526"/>
      <c r="U28" s="526"/>
      <c r="V28" s="526"/>
      <c r="W28" s="526"/>
      <c r="X28" s="527"/>
      <c r="Y28" s="761"/>
      <c r="Z28" s="762"/>
      <c r="AA28" s="762"/>
      <c r="AB28" s="763"/>
      <c r="AC28" s="443"/>
      <c r="AD28" s="444"/>
      <c r="AE28" s="445"/>
      <c r="AF28" s="769">
        <f t="shared" si="0"/>
        <v>0</v>
      </c>
      <c r="AG28" s="770"/>
      <c r="AH28" s="770"/>
      <c r="AI28" s="770"/>
      <c r="AJ28" s="771"/>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64" t="s">
        <v>228</v>
      </c>
      <c r="F29" s="526"/>
      <c r="G29" s="526"/>
      <c r="H29" s="526"/>
      <c r="I29" s="526"/>
      <c r="J29" s="526"/>
      <c r="K29" s="526"/>
      <c r="L29" s="526"/>
      <c r="M29" s="526"/>
      <c r="N29" s="527"/>
      <c r="O29" s="764" t="s">
        <v>227</v>
      </c>
      <c r="P29" s="526"/>
      <c r="Q29" s="526"/>
      <c r="R29" s="526"/>
      <c r="S29" s="526"/>
      <c r="T29" s="526"/>
      <c r="U29" s="526"/>
      <c r="V29" s="526"/>
      <c r="W29" s="526"/>
      <c r="X29" s="527"/>
      <c r="Y29" s="761"/>
      <c r="Z29" s="762"/>
      <c r="AA29" s="762"/>
      <c r="AB29" s="763"/>
      <c r="AC29" s="443"/>
      <c r="AD29" s="444"/>
      <c r="AE29" s="445"/>
      <c r="AF29" s="769">
        <f t="shared" si="0"/>
        <v>0</v>
      </c>
      <c r="AG29" s="770"/>
      <c r="AH29" s="770"/>
      <c r="AI29" s="770"/>
      <c r="AJ29" s="771"/>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64" t="s">
        <v>228</v>
      </c>
      <c r="F30" s="526"/>
      <c r="G30" s="526"/>
      <c r="H30" s="526"/>
      <c r="I30" s="526"/>
      <c r="J30" s="526"/>
      <c r="K30" s="526"/>
      <c r="L30" s="526"/>
      <c r="M30" s="526"/>
      <c r="N30" s="527"/>
      <c r="O30" s="764" t="s">
        <v>227</v>
      </c>
      <c r="P30" s="526"/>
      <c r="Q30" s="526"/>
      <c r="R30" s="526"/>
      <c r="S30" s="526"/>
      <c r="T30" s="526"/>
      <c r="U30" s="526"/>
      <c r="V30" s="526"/>
      <c r="W30" s="526"/>
      <c r="X30" s="527"/>
      <c r="Y30" s="761"/>
      <c r="Z30" s="762"/>
      <c r="AA30" s="762"/>
      <c r="AB30" s="763"/>
      <c r="AC30" s="443"/>
      <c r="AD30" s="444"/>
      <c r="AE30" s="445"/>
      <c r="AF30" s="769">
        <f t="shared" si="0"/>
        <v>0</v>
      </c>
      <c r="AG30" s="770"/>
      <c r="AH30" s="770"/>
      <c r="AI30" s="770"/>
      <c r="AJ30" s="771"/>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64" t="s">
        <v>228</v>
      </c>
      <c r="F31" s="526"/>
      <c r="G31" s="526"/>
      <c r="H31" s="526"/>
      <c r="I31" s="526"/>
      <c r="J31" s="526"/>
      <c r="K31" s="526"/>
      <c r="L31" s="526"/>
      <c r="M31" s="526"/>
      <c r="N31" s="527"/>
      <c r="O31" s="764" t="s">
        <v>227</v>
      </c>
      <c r="P31" s="526"/>
      <c r="Q31" s="526"/>
      <c r="R31" s="526"/>
      <c r="S31" s="526"/>
      <c r="T31" s="526"/>
      <c r="U31" s="526"/>
      <c r="V31" s="526"/>
      <c r="W31" s="526"/>
      <c r="X31" s="527"/>
      <c r="Y31" s="761"/>
      <c r="Z31" s="762"/>
      <c r="AA31" s="762"/>
      <c r="AB31" s="763"/>
      <c r="AC31" s="443"/>
      <c r="AD31" s="444"/>
      <c r="AE31" s="445"/>
      <c r="AF31" s="769">
        <f t="shared" si="0"/>
        <v>0</v>
      </c>
      <c r="AG31" s="770"/>
      <c r="AH31" s="770"/>
      <c r="AI31" s="770"/>
      <c r="AJ31" s="771"/>
      <c r="AK31" s="62">
        <f t="shared" si="1"/>
        <v>0</v>
      </c>
      <c r="AL31" s="62">
        <f t="shared" si="2"/>
        <v>0</v>
      </c>
      <c r="AM31" s="45"/>
      <c r="AS31" s="1" t="b">
        <f t="shared" si="3"/>
        <v>0</v>
      </c>
      <c r="AT31" s="1" t="b">
        <f t="shared" si="4"/>
        <v>0</v>
      </c>
      <c r="AU31" s="1" t="b">
        <f t="shared" si="5"/>
        <v>0</v>
      </c>
    </row>
    <row r="32" spans="2:47" ht="15" customHeight="1" x14ac:dyDescent="0.2">
      <c r="B32" s="40"/>
      <c r="D32" s="69"/>
      <c r="E32" s="764" t="s">
        <v>228</v>
      </c>
      <c r="F32" s="526"/>
      <c r="G32" s="526"/>
      <c r="H32" s="526"/>
      <c r="I32" s="526"/>
      <c r="J32" s="526"/>
      <c r="K32" s="526"/>
      <c r="L32" s="526"/>
      <c r="M32" s="526"/>
      <c r="N32" s="527"/>
      <c r="O32" s="764" t="s">
        <v>227</v>
      </c>
      <c r="P32" s="526"/>
      <c r="Q32" s="526"/>
      <c r="R32" s="526"/>
      <c r="S32" s="526"/>
      <c r="T32" s="526"/>
      <c r="U32" s="526"/>
      <c r="V32" s="526"/>
      <c r="W32" s="526"/>
      <c r="X32" s="527"/>
      <c r="Y32" s="761"/>
      <c r="Z32" s="762"/>
      <c r="AA32" s="762"/>
      <c r="AB32" s="763"/>
      <c r="AC32" s="443"/>
      <c r="AD32" s="444"/>
      <c r="AE32" s="445"/>
      <c r="AF32" s="769">
        <f t="shared" si="0"/>
        <v>0</v>
      </c>
      <c r="AG32" s="770"/>
      <c r="AH32" s="770"/>
      <c r="AI32" s="770"/>
      <c r="AJ32" s="771"/>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72" t="str">
        <f>IF(AS36=TRUE,"                    ERROR - Incomplete claim form
                    Expenses will not be processed unless all sections complete","")</f>
        <v/>
      </c>
      <c r="E34" s="772"/>
      <c r="F34" s="772"/>
      <c r="G34" s="772"/>
      <c r="H34" s="772"/>
      <c r="I34" s="772"/>
      <c r="J34" s="772"/>
      <c r="K34" s="772"/>
      <c r="L34" s="772"/>
      <c r="M34" s="772"/>
      <c r="N34" s="772"/>
      <c r="O34" s="772"/>
      <c r="P34" s="772"/>
      <c r="Q34" s="772"/>
      <c r="R34" s="772"/>
      <c r="S34" s="772"/>
      <c r="T34" s="772"/>
      <c r="U34" s="772"/>
      <c r="V34" s="772"/>
      <c r="W34" s="772"/>
      <c r="Y34" s="441" t="s">
        <v>241</v>
      </c>
      <c r="Z34" s="528"/>
      <c r="AA34" s="528"/>
      <c r="AB34" s="528"/>
      <c r="AC34" s="528"/>
      <c r="AD34" s="528"/>
      <c r="AE34" s="442"/>
      <c r="AF34" s="438">
        <f>SUM(AK19:AK32)</f>
        <v>0</v>
      </c>
      <c r="AG34" s="439"/>
      <c r="AH34" s="439"/>
      <c r="AI34" s="439"/>
      <c r="AJ34" s="440"/>
      <c r="AM34" s="41"/>
    </row>
    <row r="35" spans="2:45" ht="4.5" customHeight="1" x14ac:dyDescent="0.2">
      <c r="B35" s="40"/>
      <c r="D35" s="772"/>
      <c r="E35" s="772"/>
      <c r="F35" s="772"/>
      <c r="G35" s="772"/>
      <c r="H35" s="772"/>
      <c r="I35" s="772"/>
      <c r="J35" s="772"/>
      <c r="K35" s="772"/>
      <c r="L35" s="772"/>
      <c r="M35" s="772"/>
      <c r="N35" s="772"/>
      <c r="O35" s="772"/>
      <c r="P35" s="772"/>
      <c r="Q35" s="772"/>
      <c r="R35" s="772"/>
      <c r="S35" s="772"/>
      <c r="T35" s="772"/>
      <c r="U35" s="772"/>
      <c r="V35" s="772"/>
      <c r="W35" s="772"/>
      <c r="Y35" s="3"/>
      <c r="Z35" s="3"/>
      <c r="AA35" s="3"/>
      <c r="AB35" s="3"/>
      <c r="AC35" s="3"/>
      <c r="AD35" s="3"/>
      <c r="AE35" s="3"/>
      <c r="AK35" s="34"/>
      <c r="AL35" s="64"/>
      <c r="AM35" s="65"/>
      <c r="AN35" s="64"/>
    </row>
    <row r="36" spans="2:45" x14ac:dyDescent="0.2">
      <c r="B36" s="40"/>
      <c r="D36" s="772"/>
      <c r="E36" s="772"/>
      <c r="F36" s="772"/>
      <c r="G36" s="772"/>
      <c r="H36" s="772"/>
      <c r="I36" s="772"/>
      <c r="J36" s="772"/>
      <c r="K36" s="772"/>
      <c r="L36" s="772"/>
      <c r="M36" s="772"/>
      <c r="N36" s="772"/>
      <c r="O36" s="772"/>
      <c r="P36" s="772"/>
      <c r="Q36" s="772"/>
      <c r="R36" s="772"/>
      <c r="S36" s="772"/>
      <c r="T36" s="772"/>
      <c r="U36" s="772"/>
      <c r="V36" s="772"/>
      <c r="W36" s="772"/>
      <c r="Y36" s="441" t="s">
        <v>242</v>
      </c>
      <c r="Z36" s="528"/>
      <c r="AA36" s="528"/>
      <c r="AB36" s="528"/>
      <c r="AC36" s="528"/>
      <c r="AD36" s="528"/>
      <c r="AE36" s="442"/>
      <c r="AF36" s="438">
        <f>SUM(AL19:AL32)</f>
        <v>0</v>
      </c>
      <c r="AG36" s="548"/>
      <c r="AH36" s="548"/>
      <c r="AI36" s="548"/>
      <c r="AJ36" s="549"/>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52" t="s">
        <v>243</v>
      </c>
      <c r="C38" s="753"/>
      <c r="D38" s="753"/>
      <c r="E38" s="753"/>
      <c r="F38" s="753"/>
      <c r="G38" s="753"/>
      <c r="H38" s="753"/>
      <c r="I38" s="753"/>
      <c r="J38" s="753"/>
      <c r="K38" s="753"/>
      <c r="L38" s="753"/>
      <c r="M38" s="753"/>
      <c r="N38" s="753"/>
      <c r="O38" s="753"/>
      <c r="P38" s="753"/>
      <c r="Q38" s="753"/>
      <c r="R38" s="753"/>
      <c r="S38" s="753"/>
      <c r="T38" s="753"/>
      <c r="U38" s="753"/>
      <c r="V38" s="753"/>
      <c r="W38" s="753"/>
      <c r="X38" s="753"/>
      <c r="Y38" s="753"/>
      <c r="Z38" s="753"/>
      <c r="AA38" s="753"/>
      <c r="AB38" s="753"/>
      <c r="AC38" s="753"/>
      <c r="AD38" s="753"/>
      <c r="AE38" s="753"/>
      <c r="AF38" s="753"/>
      <c r="AG38" s="753"/>
      <c r="AH38" s="753"/>
      <c r="AI38" s="753"/>
      <c r="AJ38" s="753"/>
      <c r="AK38" s="753"/>
      <c r="AL38" s="753"/>
      <c r="AM38" s="754"/>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D34:W36"/>
    <mergeCell ref="AF32:AJ32"/>
    <mergeCell ref="Y34:AE34"/>
    <mergeCell ref="Y36:AE36"/>
    <mergeCell ref="AF34:AJ34"/>
    <mergeCell ref="AF36:AJ36"/>
    <mergeCell ref="E32:N32"/>
    <mergeCell ref="Y32:AB32"/>
    <mergeCell ref="O32:X32"/>
    <mergeCell ref="AF26:AJ26"/>
    <mergeCell ref="AF27:AJ27"/>
    <mergeCell ref="AF28:AJ28"/>
    <mergeCell ref="AF29:AJ29"/>
    <mergeCell ref="AF30:AJ30"/>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C29:AE29"/>
    <mergeCell ref="AC19:AE19"/>
    <mergeCell ref="AC20:AE20"/>
    <mergeCell ref="AC21:AE21"/>
    <mergeCell ref="AC22:AE22"/>
    <mergeCell ref="AC23:AE23"/>
    <mergeCell ref="O31:X31"/>
    <mergeCell ref="O26:X26"/>
    <mergeCell ref="O27:X27"/>
    <mergeCell ref="O28:X28"/>
    <mergeCell ref="O29:X29"/>
    <mergeCell ref="O30:X30"/>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41" t="s">
        <v>246</v>
      </c>
      <c r="D4" s="44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41" t="s">
        <v>247</v>
      </c>
      <c r="D6" s="442"/>
      <c r="E6" s="443"/>
      <c r="F6" s="444"/>
      <c r="G6" s="445"/>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54</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cNbI4Tz2JrLZBZfbwKNUYu+RpoVhd+0IuD3eYQjFT+EOnBKViNvHioRCeO6Sv14fdOhOw4FRGg1dhVTtz8lwpg==" saltValue="imLHO+hcVuNymlEw3pMNyA=="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269</v>
      </c>
      <c r="F6" s="785" t="s">
        <v>270</v>
      </c>
    </row>
    <row r="7" spans="2:6" ht="23.25" customHeight="1" thickBot="1" x14ac:dyDescent="0.25">
      <c r="B7" s="786"/>
      <c r="C7" s="786"/>
      <c r="D7" s="345" t="s">
        <v>271</v>
      </c>
      <c r="E7" s="786"/>
      <c r="F7" s="786"/>
    </row>
    <row r="8" spans="2:6" ht="24.75" customHeight="1" thickBot="1" x14ac:dyDescent="0.25">
      <c r="B8" s="420" t="s">
        <v>272</v>
      </c>
      <c r="C8" s="781" t="s">
        <v>273</v>
      </c>
      <c r="D8" s="421">
        <v>44257</v>
      </c>
      <c r="E8" s="421">
        <v>44264</v>
      </c>
      <c r="F8" s="421">
        <v>44286</v>
      </c>
    </row>
    <row r="9" spans="2:6" ht="24.75" customHeight="1" thickBot="1" x14ac:dyDescent="0.25">
      <c r="B9" s="422" t="s">
        <v>274</v>
      </c>
      <c r="C9" s="782"/>
      <c r="D9" s="423">
        <v>44289</v>
      </c>
      <c r="E9" s="424">
        <v>44301</v>
      </c>
      <c r="F9" s="424">
        <v>44316</v>
      </c>
    </row>
    <row r="10" spans="2:6" ht="24.75" customHeight="1" thickBot="1" x14ac:dyDescent="0.25">
      <c r="B10" s="364" t="s">
        <v>275</v>
      </c>
      <c r="C10" s="782"/>
      <c r="D10" s="425">
        <v>44319</v>
      </c>
      <c r="E10" s="426">
        <v>44328</v>
      </c>
      <c r="F10" s="426">
        <v>44344</v>
      </c>
    </row>
    <row r="11" spans="2:6" ht="24.75" customHeight="1" thickBot="1" x14ac:dyDescent="0.25">
      <c r="B11" s="422" t="s">
        <v>276</v>
      </c>
      <c r="C11" s="782"/>
      <c r="D11" s="423">
        <v>44351</v>
      </c>
      <c r="E11" s="424">
        <v>44356</v>
      </c>
      <c r="F11" s="424">
        <v>44377</v>
      </c>
    </row>
    <row r="12" spans="2:6" ht="24.75" customHeight="1" thickBot="1" x14ac:dyDescent="0.25">
      <c r="B12" s="364" t="s">
        <v>277</v>
      </c>
      <c r="C12" s="782"/>
      <c r="D12" s="425">
        <v>44381</v>
      </c>
      <c r="E12" s="426">
        <v>44386</v>
      </c>
      <c r="F12" s="426">
        <v>44407</v>
      </c>
    </row>
    <row r="13" spans="2:6" ht="24.75" customHeight="1" thickBot="1" x14ac:dyDescent="0.25">
      <c r="B13" s="422" t="s">
        <v>278</v>
      </c>
      <c r="C13" s="782"/>
      <c r="D13" s="423">
        <v>44410</v>
      </c>
      <c r="E13" s="424">
        <v>44416</v>
      </c>
      <c r="F13" s="424">
        <v>44439</v>
      </c>
    </row>
    <row r="14" spans="2:6" ht="24.75" customHeight="1" thickBot="1" x14ac:dyDescent="0.25">
      <c r="B14" s="364" t="s">
        <v>279</v>
      </c>
      <c r="C14" s="782"/>
      <c r="D14" s="425">
        <v>44441</v>
      </c>
      <c r="E14" s="426">
        <v>44448</v>
      </c>
      <c r="F14" s="426">
        <v>44469</v>
      </c>
    </row>
    <row r="15" spans="2:6" ht="24.75" customHeight="1" thickBot="1" x14ac:dyDescent="0.25">
      <c r="B15" s="422" t="s">
        <v>280</v>
      </c>
      <c r="C15" s="782"/>
      <c r="D15" s="423">
        <v>44472</v>
      </c>
      <c r="E15" s="424">
        <v>44480</v>
      </c>
      <c r="F15" s="424">
        <v>44498</v>
      </c>
    </row>
    <row r="16" spans="2:6" ht="24.75" customHeight="1" thickBot="1" x14ac:dyDescent="0.25">
      <c r="B16" s="364" t="s">
        <v>281</v>
      </c>
      <c r="C16" s="782"/>
      <c r="D16" s="425">
        <v>44504</v>
      </c>
      <c r="E16" s="426">
        <v>44509</v>
      </c>
      <c r="F16" s="426">
        <v>44530</v>
      </c>
    </row>
    <row r="17" spans="2:6" ht="24.75" customHeight="1" thickBot="1" x14ac:dyDescent="0.25">
      <c r="B17" s="422" t="s">
        <v>282</v>
      </c>
      <c r="C17" s="782"/>
      <c r="D17" s="423">
        <v>44532</v>
      </c>
      <c r="E17" s="424">
        <v>44538</v>
      </c>
      <c r="F17" s="424">
        <v>44552</v>
      </c>
    </row>
    <row r="18" spans="2:6" ht="24.75" customHeight="1" thickBot="1" x14ac:dyDescent="0.25">
      <c r="B18" s="364" t="s">
        <v>283</v>
      </c>
      <c r="C18" s="782"/>
      <c r="D18" s="425">
        <v>44567</v>
      </c>
      <c r="E18" s="426">
        <v>44572</v>
      </c>
      <c r="F18" s="426">
        <v>44592</v>
      </c>
    </row>
    <row r="19" spans="2:6" ht="24.75" customHeight="1" thickBot="1" x14ac:dyDescent="0.25">
      <c r="B19" s="422" t="s">
        <v>284</v>
      </c>
      <c r="C19" s="782"/>
      <c r="D19" s="423">
        <v>44596</v>
      </c>
      <c r="E19" s="424">
        <v>44601</v>
      </c>
      <c r="F19" s="424">
        <v>44620</v>
      </c>
    </row>
    <row r="20" spans="2:6" ht="24.75" customHeight="1" thickBot="1" x14ac:dyDescent="0.25">
      <c r="B20" s="364" t="s">
        <v>285</v>
      </c>
      <c r="C20" s="783"/>
      <c r="D20" s="425">
        <v>44623</v>
      </c>
      <c r="E20" s="426">
        <v>44629</v>
      </c>
      <c r="F20" s="426">
        <v>44651</v>
      </c>
    </row>
    <row r="21" spans="2:6" ht="24.75" customHeight="1" x14ac:dyDescent="0.2">
      <c r="B21" s="363"/>
      <c r="C21" s="365"/>
      <c r="D21" s="366"/>
      <c r="E21" s="366"/>
      <c r="F21" s="366"/>
    </row>
    <row r="22" spans="2:6" ht="24.75" customHeight="1" x14ac:dyDescent="0.2">
      <c r="B22" s="343" t="s">
        <v>286</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uSSXvZHJEN+sWs4JilJDP9PYYtTnVU+OYiq9wG+5MgL9u4Ry4rSBwTq12h653ag5DNfBD/lmBi/FI0TeJbPXXA==" saltValue="Bg19QKo8zDlu9yBjFKLTCg=="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287</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288</v>
      </c>
      <c r="X1" s="358"/>
      <c r="Y1" s="787">
        <f>SUM(H3:AL3)</f>
        <v>47.78</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40.799999999999997</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6.98</v>
      </c>
      <c r="AK3" s="9">
        <f>SUM(AK4:AK99)</f>
        <v>0</v>
      </c>
      <c r="AL3" s="9">
        <f>SUM(AL4:AL99)</f>
        <v>0</v>
      </c>
    </row>
    <row r="4" spans="1:38" hidden="1" x14ac:dyDescent="0.2">
      <c r="H4" s="9">
        <f>ROUND(IFERROR(H104*I104,0),2)</f>
        <v>13.6</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27.2</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6.98</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289</v>
      </c>
      <c r="B101" s="270"/>
      <c r="C101" s="270"/>
      <c r="D101" s="270"/>
      <c r="E101" s="270"/>
      <c r="F101" s="270"/>
      <c r="G101" s="270"/>
      <c r="H101" s="270"/>
      <c r="I101" s="270"/>
      <c r="J101" s="270"/>
      <c r="K101" s="270"/>
    </row>
    <row r="102" spans="1:38" x14ac:dyDescent="0.2">
      <c r="A102" s="270" t="s">
        <v>290</v>
      </c>
      <c r="B102" s="270"/>
      <c r="C102" s="270"/>
      <c r="D102" s="270" t="s">
        <v>291</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292</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 xml:space="preserve">Georgios </v>
      </c>
      <c r="C104" s="16" t="str">
        <f>IF(E104="","",'UniWorkforce Hourly Timesheet'!$Z$3)</f>
        <v>Giamouridis</v>
      </c>
      <c r="D104" s="16" t="str">
        <f>IF(E104="","",'UniWorkforce Hourly Timesheet'!$Y$111)</f>
        <v>0000-DEMO</v>
      </c>
      <c r="E104" s="16" t="str">
        <f>'UniWorkforce Hourly Timesheet'!AY377</f>
        <v>07/11/2021</v>
      </c>
      <c r="F104" s="16" t="str">
        <f>'UniWorkforce Hourly Timesheet'!AZ377</f>
        <v>07/11/2021</v>
      </c>
      <c r="G104" s="16" t="str">
        <f>'UniWorkforce Hourly Timesheet'!BA377</f>
        <v>000000009</v>
      </c>
      <c r="H104" s="16" t="str">
        <f>'UniWorkforce Hourly Timesheet'!BB377</f>
        <v>1.0000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 xml:space="preserve">Georgios </v>
      </c>
      <c r="C105" s="16" t="str">
        <f>IF(E105="","",'UniWorkforce Hourly Timesheet'!$Z$3)</f>
        <v>Giamouridis</v>
      </c>
      <c r="D105" s="16" t="str">
        <f>IF(E105="","",'UniWorkforce Hourly Timesheet'!$Y$111)</f>
        <v>0000-DEMO</v>
      </c>
      <c r="E105" s="16" t="str">
        <f>'UniWorkforce Hourly Timesheet'!AY378</f>
        <v>09/11/2021</v>
      </c>
      <c r="F105" s="16" t="str">
        <f>'UniWorkforce Hourly Timesheet'!AZ378</f>
        <v>09/11/2021</v>
      </c>
      <c r="G105" s="16" t="str">
        <f>'UniWorkforce Hourly Timesheet'!BA378</f>
        <v>000000009</v>
      </c>
      <c r="H105" s="16" t="str">
        <f>'UniWorkforce Hourly Timesheet'!BB378</f>
        <v>2.0000</v>
      </c>
      <c r="I105" s="16" t="str">
        <f>'UniWorkforce Hourly Timesheet'!BC378</f>
        <v>13.60</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2915413</v>
      </c>
      <c r="B106" s="16" t="str">
        <f>IF(E106="","",'UniWorkforce Hourly Timesheet'!$E$3)</f>
        <v xml:space="preserve">Georgios </v>
      </c>
      <c r="C106" s="16" t="str">
        <f>IF(E106="","",'UniWorkforce Hourly Timesheet'!$Z$3)</f>
        <v>Giamouridis</v>
      </c>
      <c r="D106" s="16" t="str">
        <f>IF(E106="","",'UniWorkforce Hourly Timesheet'!$Y$111)</f>
        <v>0000-DEMO</v>
      </c>
      <c r="E106" s="16" t="str">
        <f>'UniWorkforce Hourly Timesheet'!AY379</f>
        <v>07/11/2021</v>
      </c>
      <c r="F106" s="16" t="str">
        <f>'UniWorkforce Hourly Timesheet'!AZ379</f>
        <v>09/11/2021</v>
      </c>
      <c r="G106" s="16" t="str">
        <f>'UniWorkforce Hourly Timesheet'!BA379</f>
        <v>000000009</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6.98</v>
      </c>
      <c r="AK106" s="16" t="str">
        <f>'UniWorkforce Hourly Timesheet'!CI379</f>
        <v/>
      </c>
      <c r="AL106" s="16" t="str">
        <f>'UniWorkforce Hourly Timesheet'!CJ379</f>
        <v/>
      </c>
    </row>
    <row r="107" spans="1:38" x14ac:dyDescent="0.2">
      <c r="A107" s="16" t="str">
        <f>IF(AND(E106="",E107=""),"",IF(E107="","&lt;EOD&gt;",TEXT('UniWorkforce Hourly Timesheet'!$Z$5,"0000000")))</f>
        <v>&lt;EOD&gt;</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e9bc5de6bf03ca2888eb49c1035a74ef">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bdf9c136e0973c91ce792dc735d23a9c"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43C41E-4833-483E-BC5C-100F4554B71A}">
  <ds:schemaRefs>
    <ds:schemaRef ds:uri="http://schemas.openxmlformats.org/package/2006/metadata/core-properties"/>
    <ds:schemaRef ds:uri="47049e72-2a7e-4ca5-865c-acf3f6bb3458"/>
    <ds:schemaRef ds:uri="http://schemas.microsoft.com/office/2006/documentManagement/types"/>
    <ds:schemaRef ds:uri="e4a1c88d-b5eb-42cd-bda4-6fd5c079ddd5"/>
    <ds:schemaRef ds:uri="http://purl.org/dc/terms/"/>
    <ds:schemaRef ds:uri="http://schemas.microsoft.com/office/2006/metadata/properties"/>
    <ds:schemaRef ds:uri="http://schemas.microsoft.com/sharepoint/v3"/>
    <ds:schemaRef ds:uri="http://www.w3.org/XML/1998/namespace"/>
    <ds:schemaRef ds:uri="http://schemas.microsoft.com/office/infopath/2007/PartnerControls"/>
    <ds:schemaRef ds:uri="http://schemas.microsoft.com/sharepoint/v4"/>
    <ds:schemaRef ds:uri="http://purl.org/dc/dcmitype/"/>
    <ds:schemaRef ds:uri="http://purl.org/dc/elements/1.1/"/>
    <ds:schemaRef ds:uri="56c7aab3-81b5-44ad-ad72-57c916b76c08"/>
    <ds:schemaRef ds:uri="e269b097-0687-4382-95a6-d1187d84b2a1"/>
  </ds:schemaRefs>
</ds:datastoreItem>
</file>

<file path=customXml/itemProps2.xml><?xml version="1.0" encoding="utf-8"?>
<ds:datastoreItem xmlns:ds="http://schemas.openxmlformats.org/officeDocument/2006/customXml" ds:itemID="{BB45D122-70FA-4F6F-8D0D-4BABAFF75A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2021-11-10T16:38:01Z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