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 Informatics\dokladi\going_concern\notebook\data\"/>
    </mc:Choice>
  </mc:AlternateContent>
  <xr:revisionPtr revIDLastSave="0" documentId="13_ncr:1_{68DDC7E3-4421-4F5F-BC76-1495787FEE79}" xr6:coauthVersionLast="47" xr6:coauthVersionMax="47" xr10:uidLastSave="{00000000-0000-0000-0000-000000000000}"/>
  <bookViews>
    <workbookView xWindow="-108" yWindow="-108" windowWidth="23256" windowHeight="12576" xr2:uid="{52073259-8298-43DE-81AB-190433498F15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1" i="1" l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D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46" i="1"/>
  <c r="E46" i="1"/>
  <c r="D46" i="1"/>
  <c r="C46" i="1"/>
  <c r="F39" i="1"/>
  <c r="E39" i="1"/>
  <c r="D39" i="1"/>
  <c r="C39" i="1"/>
  <c r="F36" i="1"/>
  <c r="E36" i="1"/>
  <c r="C36" i="1"/>
  <c r="F35" i="1"/>
  <c r="E35" i="1"/>
  <c r="D35" i="1"/>
  <c r="C35" i="1"/>
  <c r="F31" i="1"/>
  <c r="E31" i="1"/>
  <c r="D31" i="1"/>
  <c r="C31" i="1"/>
  <c r="F30" i="1"/>
  <c r="E30" i="1"/>
  <c r="D30" i="1"/>
  <c r="C30" i="1"/>
  <c r="F22" i="1"/>
  <c r="E22" i="1"/>
  <c r="D22" i="1"/>
  <c r="C22" i="1"/>
  <c r="F11" i="1"/>
  <c r="E11" i="1"/>
  <c r="D11" i="1"/>
  <c r="C11" i="1"/>
  <c r="D6" i="1"/>
  <c r="F6" i="1"/>
  <c r="C6" i="1"/>
  <c r="F51" i="1"/>
  <c r="E51" i="1"/>
  <c r="D51" i="1"/>
  <c r="C51" i="1"/>
  <c r="F49" i="1"/>
  <c r="E49" i="1"/>
  <c r="C49" i="1"/>
  <c r="F44" i="1"/>
  <c r="E44" i="1"/>
  <c r="C44" i="1"/>
  <c r="F42" i="1"/>
  <c r="D42" i="1"/>
  <c r="C42" i="1"/>
  <c r="F38" i="1"/>
  <c r="E38" i="1"/>
  <c r="D38" i="1"/>
  <c r="C38" i="1"/>
  <c r="F37" i="1"/>
  <c r="D37" i="1"/>
  <c r="C37" i="1"/>
  <c r="F34" i="1"/>
  <c r="E34" i="1"/>
  <c r="D34" i="1"/>
  <c r="C34" i="1"/>
  <c r="F29" i="1"/>
  <c r="E29" i="1"/>
  <c r="D29" i="1"/>
  <c r="C29" i="1"/>
  <c r="F26" i="1"/>
  <c r="C26" i="1"/>
  <c r="F25" i="1"/>
  <c r="D25" i="1"/>
  <c r="C25" i="1"/>
  <c r="F24" i="1"/>
  <c r="E24" i="1"/>
  <c r="D24" i="1"/>
  <c r="C24" i="1"/>
  <c r="F21" i="1"/>
  <c r="E21" i="1"/>
  <c r="D21" i="1"/>
  <c r="C21" i="1"/>
  <c r="F20" i="1"/>
  <c r="E20" i="1"/>
  <c r="D20" i="1"/>
  <c r="C20" i="1"/>
  <c r="F15" i="1"/>
  <c r="E15" i="1"/>
  <c r="D15" i="1"/>
  <c r="C15" i="1"/>
  <c r="F14" i="1"/>
  <c r="E14" i="1"/>
  <c r="D14" i="1"/>
  <c r="C14" i="1"/>
  <c r="F10" i="1"/>
  <c r="E10" i="1"/>
  <c r="D10" i="1"/>
  <c r="C10" i="1"/>
  <c r="F3" i="1"/>
  <c r="F2" i="1"/>
  <c r="F4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<sst xmlns="http://schemas.openxmlformats.org/spreadsheetml/2006/main" count="216" uniqueCount="118">
  <si>
    <t>NGC</t>
  </si>
  <si>
    <t>GC</t>
  </si>
  <si>
    <t>COMPANY</t>
  </si>
  <si>
    <t>TLTA</t>
  </si>
  <si>
    <t>RETA</t>
  </si>
  <si>
    <t>QACL</t>
  </si>
  <si>
    <t>NITA</t>
  </si>
  <si>
    <t>CLASS</t>
  </si>
  <si>
    <t>030064293</t>
  </si>
  <si>
    <t>040540837</t>
  </si>
  <si>
    <t>123121115</t>
  </si>
  <si>
    <t>203454565</t>
  </si>
  <si>
    <t>203082022</t>
  </si>
  <si>
    <t>175162298</t>
  </si>
  <si>
    <t>831178763</t>
  </si>
  <si>
    <t>130169726</t>
  </si>
  <si>
    <t>202495819</t>
  </si>
  <si>
    <t>VODOPROVODI I KANALI EOOD</t>
  </si>
  <si>
    <t>JuLISIS 09 EOOD</t>
  </si>
  <si>
    <t>AVE-STROJ EOOD</t>
  </si>
  <si>
    <t>ALERLO EOOD</t>
  </si>
  <si>
    <t>OKSET EOOD</t>
  </si>
  <si>
    <t>ORGA GRUP EOOD</t>
  </si>
  <si>
    <t>HACO GRUP EOOD</t>
  </si>
  <si>
    <t>DETELINA 88 EOOD</t>
  </si>
  <si>
    <t>STROITELNA MEHANIZACIJa AD</t>
  </si>
  <si>
    <t>GALIANO - INVEST EOOD</t>
  </si>
  <si>
    <t>ZLATILEND EOOD</t>
  </si>
  <si>
    <t>RS Konstrukљ"n EOOD</t>
  </si>
  <si>
    <t>JuPITER BILD EOOD</t>
  </si>
  <si>
    <t>DЋI MAKS 19 OOD</t>
  </si>
  <si>
    <t>STROJPROEKT VARNA EOOD</t>
  </si>
  <si>
    <t>ZODIAK INЋENERING</t>
  </si>
  <si>
    <t>VALENTI INVEST EOOD</t>
  </si>
  <si>
    <t>MINI PANINI EOOD</t>
  </si>
  <si>
    <t>APAREL VARNA EOOD</t>
  </si>
  <si>
    <t>LUIS M EOOD</t>
  </si>
  <si>
    <t>A2B3 EOOD</t>
  </si>
  <si>
    <t>EVROSTROJ-Karnobat EOOD</t>
  </si>
  <si>
    <t>KARINA PLAST 2006 OOD</t>
  </si>
  <si>
    <t>VOG EOOD</t>
  </si>
  <si>
    <t>MAGNAT 69 EOOD</t>
  </si>
  <si>
    <t>EVROSTROJ SOFIJa EOOD</t>
  </si>
  <si>
    <t>BIV GRUP EOOD</t>
  </si>
  <si>
    <t>EKOPLAMS EOOD</t>
  </si>
  <si>
    <t>ENTE TREJD EOOD</t>
  </si>
  <si>
    <t>DЋINEV-2014 EOOD</t>
  </si>
  <si>
    <t>KANSTROJ OOD</t>
  </si>
  <si>
    <t>MAPA B"LGARIJa K"NSTRAKЉ"N END TREJDING EOOD</t>
  </si>
  <si>
    <t>IND"STRIAL PROP"RTIS OOD</t>
  </si>
  <si>
    <t>VioVes EOOD</t>
  </si>
  <si>
    <t>ARMMETAL OOD</t>
  </si>
  <si>
    <t>IDEA STROJ EOOD</t>
  </si>
  <si>
    <t>ARNAUDOV BILD EOOD</t>
  </si>
  <si>
    <t>AKRIMA EOOD</t>
  </si>
  <si>
    <t>STANIMIR D IVANOV EOOD</t>
  </si>
  <si>
    <t>DIVIMA EOOD</t>
  </si>
  <si>
    <t>JOЋKO EOOD</t>
  </si>
  <si>
    <t>JuNAL ЉABAN EOOD</t>
  </si>
  <si>
    <t>KEJ DIVEL"PM"NT EOOD</t>
  </si>
  <si>
    <t>OGO 2 EOOD</t>
  </si>
  <si>
    <t>DAR PET EOOD</t>
  </si>
  <si>
    <t>SEDEM PO SEDEM EOOD</t>
  </si>
  <si>
    <t>TENEV-BILD EOOD</t>
  </si>
  <si>
    <t>TIS STROJ 2011 EAD</t>
  </si>
  <si>
    <t>RODI 78 EOOD</t>
  </si>
  <si>
    <t>APS STROJ</t>
  </si>
  <si>
    <t>TREJS GRUP HOLD AD</t>
  </si>
  <si>
    <t>GLAVBOLGARSTROJ HOLDING AD</t>
  </si>
  <si>
    <t>DЋI PI GRUP AD</t>
  </si>
  <si>
    <t>GEOSTROJ AD</t>
  </si>
  <si>
    <t>HIDROSTROJ AD</t>
  </si>
  <si>
    <t>VODSTROJ AD</t>
  </si>
  <si>
    <t>PST Grup EAD</t>
  </si>
  <si>
    <t>P"TINЋENERINGSTROJ-T EAD</t>
  </si>
  <si>
    <t>ISA 2000 EOOD</t>
  </si>
  <si>
    <t>MIKS-KONSTR"KЉ"N OOD</t>
  </si>
  <si>
    <t>RAPID EOOD</t>
  </si>
  <si>
    <t>IDEJa BILDINGS EOOD</t>
  </si>
  <si>
    <t>FORT NOKS OOD</t>
  </si>
  <si>
    <t>BILD SISTEMS B"LGARIJa AD</t>
  </si>
  <si>
    <t>BILDING KORPOREJЉ"N EOOD</t>
  </si>
  <si>
    <t>IDOL OOD</t>
  </si>
  <si>
    <t>SEVEKS - INЋENERING EOOD</t>
  </si>
  <si>
    <t>VITOЉA RI"L ESTEJT EOOD</t>
  </si>
  <si>
    <t>INЋSTROJINЋENERING EOOD</t>
  </si>
  <si>
    <t>SRABAG EAD</t>
  </si>
  <si>
    <t>OBONATO BILD EOOD</t>
  </si>
  <si>
    <t>ZSK MONTAЋI OOD</t>
  </si>
  <si>
    <t>SIMEKS EOOD</t>
  </si>
  <si>
    <t>T I D INЋENERING EOOD</t>
  </si>
  <si>
    <t>PROTEH AD</t>
  </si>
  <si>
    <t>PLANEKS EOOD</t>
  </si>
  <si>
    <t>SITI BILD STUDIO OOD</t>
  </si>
  <si>
    <t>DASKON OOD</t>
  </si>
  <si>
    <t>NEKST BILD EOOD</t>
  </si>
  <si>
    <t>TTR"ST INЋENERING EOOD</t>
  </si>
  <si>
    <t>METIKS OOD</t>
  </si>
  <si>
    <t>ORION-5 VATRACKI I SINOVE OOD</t>
  </si>
  <si>
    <t>DELTA STAR AD</t>
  </si>
  <si>
    <t>RAJKOMERS KONSTRUKЉ"N EAD</t>
  </si>
  <si>
    <t>MIKO – D OOD</t>
  </si>
  <si>
    <t>K &amp; S KOCEV I CVETANOV OOD</t>
  </si>
  <si>
    <t>GLOBUS OOD</t>
  </si>
  <si>
    <t>STATUS-N OOD</t>
  </si>
  <si>
    <t>BUL STROJ INVEST EOOD</t>
  </si>
  <si>
    <t>PERLAMET SE OOD</t>
  </si>
  <si>
    <t>STARTINЋENERING-91 OOD</t>
  </si>
  <si>
    <t>NJu SISTEM OOD</t>
  </si>
  <si>
    <t>PESOSTROJ EOOD</t>
  </si>
  <si>
    <t>STROJ PERFEKT BG EOOD</t>
  </si>
  <si>
    <t>BULGRAND EOOD</t>
  </si>
  <si>
    <t>BORDOM OOD</t>
  </si>
  <si>
    <t>SOFSTROJREMONT EOOD</t>
  </si>
  <si>
    <t>BALKAN-G OOD</t>
  </si>
  <si>
    <t>KONTRAKT SITI OOD</t>
  </si>
  <si>
    <t>MARIBOR - STROJ EOOD</t>
  </si>
  <si>
    <t>ID_COM_REG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</si>
</sst>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43A6-B24D-489C-B1E2-98F6B3245980}">
  <dimension ref="A1:G101"/>
  <sheetViews>
    <sheetView tabSelected="1" workbookViewId="0">
      <selection sqref="A1:A1048576"/>
    </sheetView>
  </sheetViews>
  <sheetFormatPr defaultRowHeight="14.4" x14ac:dyDescent="0.3"/>
  <cols>
    <col min="1" max="1" width="49.109375" bestFit="1" customWidth="1"/>
    <col min="2" max="2" width="10" bestFit="1" customWidth="1"/>
    <col min="3" max="3" width="7.44140625" style="1" bestFit="1" customWidth="1"/>
    <col min="4" max="4" width="7.109375" style="1" bestFit="1" customWidth="1"/>
    <col min="5" max="5" width="7.44140625" style="1" bestFit="1" customWidth="1"/>
    <col min="6" max="6" width="7.109375" style="1" bestFit="1" customWidth="1"/>
    <col min="7" max="7" width="5.88671875" style="1" bestFit="1" customWidth="1"/>
  </cols>
  <sheetData>
    <row r="1" spans="1:7" x14ac:dyDescent="0.3">
      <c r="A1" t="s">
        <v>2</v>
      </c>
      <c r="B1" t="s">
        <v>117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3">
      <c r="A2" t="s">
        <v>17</v>
      </c>
      <c r="B2" s="4">
        <v>202638174</v>
      </c>
      <c r="C2" s="1">
        <f>902/288</f>
        <v>3.1319444444444446</v>
      </c>
      <c r="D2" s="1">
        <f>-397/288</f>
        <v>-1.3784722222222223</v>
      </c>
      <c r="E2" s="1">
        <f>(15+2)/902</f>
        <v>1.8847006651884702E-2</v>
      </c>
      <c r="F2" s="1">
        <f>217/AVERAGE(288,1712)</f>
        <v>0.217</v>
      </c>
      <c r="G2" s="1" t="s">
        <v>0</v>
      </c>
    </row>
    <row r="3" spans="1:7" x14ac:dyDescent="0.3">
      <c r="A3" t="s">
        <v>18</v>
      </c>
      <c r="B3" s="4">
        <v>200543293</v>
      </c>
      <c r="C3" s="1">
        <f>283/330</f>
        <v>0.85757575757575755</v>
      </c>
      <c r="D3" s="1">
        <f>41/330</f>
        <v>0.12424242424242424</v>
      </c>
      <c r="E3" s="1">
        <f>(1+14)/175</f>
        <v>8.5714285714285715E-2</v>
      </c>
      <c r="F3" s="1">
        <f>1/AVERAGE(330,299)</f>
        <v>3.1796502384737681E-3</v>
      </c>
      <c r="G3" s="1" t="s">
        <v>0</v>
      </c>
    </row>
    <row r="4" spans="1:7" x14ac:dyDescent="0.3">
      <c r="A4" t="s">
        <v>19</v>
      </c>
      <c r="B4" s="4">
        <v>105544996</v>
      </c>
      <c r="C4" s="1">
        <f>468/622</f>
        <v>0.752411575562701</v>
      </c>
      <c r="D4" s="1">
        <f>124/622</f>
        <v>0.19935691318327975</v>
      </c>
      <c r="E4" s="1">
        <f>(85-53+6)/153</f>
        <v>0.24836601307189543</v>
      </c>
      <c r="F4" s="1">
        <f>25/AVERAGE(622,807)</f>
        <v>3.498950314905528E-2</v>
      </c>
      <c r="G4" s="1" t="s">
        <v>0</v>
      </c>
    </row>
    <row r="5" spans="1:7" x14ac:dyDescent="0.3">
      <c r="A5" t="s">
        <v>20</v>
      </c>
      <c r="B5" s="4">
        <v>204845976</v>
      </c>
      <c r="C5" s="1">
        <v>0</v>
      </c>
      <c r="D5" s="1">
        <v>0</v>
      </c>
      <c r="E5" s="1">
        <v>0</v>
      </c>
      <c r="F5" s="1">
        <v>0</v>
      </c>
      <c r="G5" s="1" t="s">
        <v>0</v>
      </c>
    </row>
    <row r="6" spans="1:7" x14ac:dyDescent="0.3">
      <c r="A6" t="s">
        <v>21</v>
      </c>
      <c r="B6" s="4">
        <v>200760731</v>
      </c>
      <c r="C6" s="1">
        <f>0/2</f>
        <v>0</v>
      </c>
      <c r="D6" s="1">
        <f>0/2</f>
        <v>0</v>
      </c>
      <c r="E6" s="1">
        <v>0</v>
      </c>
      <c r="F6" s="1">
        <f>-2/2</f>
        <v>-1</v>
      </c>
      <c r="G6" s="1" t="s">
        <v>0</v>
      </c>
    </row>
    <row r="7" spans="1:7" x14ac:dyDescent="0.3">
      <c r="A7" t="s">
        <v>22</v>
      </c>
      <c r="B7" s="5">
        <v>201516420</v>
      </c>
      <c r="C7" s="1">
        <v>0</v>
      </c>
      <c r="D7" s="1">
        <v>0</v>
      </c>
      <c r="E7" s="1">
        <v>0</v>
      </c>
      <c r="F7" s="1">
        <v>0</v>
      </c>
      <c r="G7" s="1" t="s">
        <v>0</v>
      </c>
    </row>
    <row r="8" spans="1:7" x14ac:dyDescent="0.3">
      <c r="A8" t="s">
        <v>23</v>
      </c>
      <c r="B8" s="4">
        <v>202818749</v>
      </c>
      <c r="C8" s="1">
        <v>0</v>
      </c>
      <c r="D8" s="1">
        <v>0</v>
      </c>
      <c r="E8" s="1">
        <v>0</v>
      </c>
      <c r="F8" s="1">
        <v>0</v>
      </c>
      <c r="G8" s="1" t="s">
        <v>0</v>
      </c>
    </row>
    <row r="9" spans="1:7" x14ac:dyDescent="0.3">
      <c r="A9" t="s">
        <v>24</v>
      </c>
      <c r="B9" s="4">
        <v>200417309</v>
      </c>
      <c r="C9" s="1">
        <v>0</v>
      </c>
      <c r="D9" s="1">
        <v>0</v>
      </c>
      <c r="E9" s="1">
        <v>0</v>
      </c>
      <c r="F9" s="1">
        <v>0</v>
      </c>
      <c r="G9" s="1" t="s">
        <v>0</v>
      </c>
    </row>
    <row r="10" spans="1:7" x14ac:dyDescent="0.3">
      <c r="A10" t="s">
        <v>25</v>
      </c>
      <c r="B10" s="4">
        <v>123033124</v>
      </c>
      <c r="C10" s="1">
        <f>9892/13516</f>
        <v>0.73187333530630361</v>
      </c>
      <c r="D10" s="1">
        <f>472/13516</f>
        <v>3.4921574430304823E-2</v>
      </c>
      <c r="E10" s="1">
        <f>(1631+80)/5104</f>
        <v>0.33522727272727271</v>
      </c>
      <c r="F10" s="1">
        <f>-1892/AVERAGE(13516,14428)</f>
        <v>-0.13541368451188091</v>
      </c>
      <c r="G10" s="1" t="s">
        <v>0</v>
      </c>
    </row>
    <row r="11" spans="1:7" x14ac:dyDescent="0.3">
      <c r="A11" t="s">
        <v>26</v>
      </c>
      <c r="B11" s="4">
        <v>201381022</v>
      </c>
      <c r="C11" s="1">
        <f>56/80</f>
        <v>0.7</v>
      </c>
      <c r="D11" s="1">
        <f>23/80</f>
        <v>0.28749999999999998</v>
      </c>
      <c r="E11" s="1">
        <f>(16+64)/56</f>
        <v>1.4285714285714286</v>
      </c>
      <c r="F11" s="1">
        <f>0/AVERAGE(80,83)</f>
        <v>0</v>
      </c>
      <c r="G11" s="1" t="s">
        <v>0</v>
      </c>
    </row>
    <row r="12" spans="1:7" x14ac:dyDescent="0.3">
      <c r="A12" t="s">
        <v>27</v>
      </c>
      <c r="B12" s="4">
        <v>205988692</v>
      </c>
      <c r="C12" s="1">
        <v>0</v>
      </c>
      <c r="D12" s="1">
        <v>0</v>
      </c>
      <c r="E12" s="1">
        <v>0</v>
      </c>
      <c r="F12" s="1">
        <v>0</v>
      </c>
      <c r="G12" s="1" t="s">
        <v>0</v>
      </c>
    </row>
    <row r="13" spans="1:7" x14ac:dyDescent="0.3">
      <c r="A13" t="s">
        <v>28</v>
      </c>
      <c r="B13" s="4">
        <v>202909191</v>
      </c>
      <c r="C13" s="1">
        <v>0</v>
      </c>
      <c r="D13" s="1">
        <v>0</v>
      </c>
      <c r="E13" s="1">
        <v>0</v>
      </c>
      <c r="F13" s="1">
        <v>0</v>
      </c>
      <c r="G13" s="1" t="s">
        <v>0</v>
      </c>
    </row>
    <row r="14" spans="1:7" x14ac:dyDescent="0.3">
      <c r="A14" t="s">
        <v>29</v>
      </c>
      <c r="B14" s="4">
        <v>203964618</v>
      </c>
      <c r="C14" s="1">
        <f>36/34</f>
        <v>1.0588235294117647</v>
      </c>
      <c r="D14" s="1">
        <f>9/34</f>
        <v>0.26470588235294118</v>
      </c>
      <c r="E14" s="1">
        <f>3/35</f>
        <v>8.5714285714285715E-2</v>
      </c>
      <c r="F14" s="1">
        <f>-11/AVERAGE(34,10)</f>
        <v>-0.5</v>
      </c>
      <c r="G14" s="1" t="s">
        <v>0</v>
      </c>
    </row>
    <row r="15" spans="1:7" x14ac:dyDescent="0.3">
      <c r="A15" t="s">
        <v>30</v>
      </c>
      <c r="B15" s="4">
        <v>205455712</v>
      </c>
      <c r="C15" s="1">
        <f>32/63</f>
        <v>0.50793650793650791</v>
      </c>
      <c r="D15" s="1">
        <f>32/63</f>
        <v>0.50793650793650791</v>
      </c>
      <c r="E15" s="1">
        <f>62/28</f>
        <v>2.2142857142857144</v>
      </c>
      <c r="F15" s="1">
        <f>-1/AVERAGE(63,43)</f>
        <v>-1.8867924528301886E-2</v>
      </c>
      <c r="G15" s="1" t="s">
        <v>0</v>
      </c>
    </row>
    <row r="16" spans="1:7" x14ac:dyDescent="0.3">
      <c r="A16" t="s">
        <v>31</v>
      </c>
      <c r="B16" s="4">
        <v>200358533</v>
      </c>
      <c r="C16" s="1">
        <v>0</v>
      </c>
      <c r="D16" s="1">
        <v>0</v>
      </c>
      <c r="E16" s="1">
        <v>0</v>
      </c>
      <c r="F16" s="1">
        <v>0</v>
      </c>
      <c r="G16" s="1" t="s">
        <v>0</v>
      </c>
    </row>
    <row r="17" spans="1:7" x14ac:dyDescent="0.3">
      <c r="A17" t="s">
        <v>32</v>
      </c>
      <c r="B17" s="4">
        <v>124656918</v>
      </c>
      <c r="C17" s="1">
        <v>0</v>
      </c>
      <c r="D17" s="1">
        <v>0</v>
      </c>
      <c r="E17" s="1">
        <v>0</v>
      </c>
      <c r="F17" s="1">
        <v>0</v>
      </c>
      <c r="G17" s="1" t="s">
        <v>0</v>
      </c>
    </row>
    <row r="18" spans="1:7" x14ac:dyDescent="0.3">
      <c r="A18" t="s">
        <v>33</v>
      </c>
      <c r="B18" s="4">
        <v>205098324</v>
      </c>
      <c r="C18" s="1">
        <v>0</v>
      </c>
      <c r="D18" s="1">
        <v>0</v>
      </c>
      <c r="E18" s="1">
        <v>0</v>
      </c>
      <c r="F18" s="1">
        <v>0</v>
      </c>
      <c r="G18" s="1" t="s">
        <v>0</v>
      </c>
    </row>
    <row r="19" spans="1:7" x14ac:dyDescent="0.3">
      <c r="A19" t="s">
        <v>34</v>
      </c>
      <c r="B19" s="4">
        <v>201375749</v>
      </c>
      <c r="C19" s="1">
        <v>0</v>
      </c>
      <c r="D19" s="1">
        <v>0</v>
      </c>
      <c r="E19" s="1">
        <v>0</v>
      </c>
      <c r="F19" s="1">
        <v>0</v>
      </c>
      <c r="G19" s="1" t="s">
        <v>0</v>
      </c>
    </row>
    <row r="20" spans="1:7" x14ac:dyDescent="0.3">
      <c r="A20" t="s">
        <v>35</v>
      </c>
      <c r="B20" s="4">
        <v>175259014</v>
      </c>
      <c r="C20" s="1">
        <f>1083/150</f>
        <v>7.22</v>
      </c>
      <c r="D20" s="1">
        <f>-955/150</f>
        <v>-6.3666666666666663</v>
      </c>
      <c r="E20" s="1">
        <f>(38+8+1)/844</f>
        <v>5.5687203791469193E-2</v>
      </c>
      <c r="F20" s="1">
        <f>-933/AVERAGE(150,200)</f>
        <v>-5.3314285714285718</v>
      </c>
      <c r="G20" s="1" t="s">
        <v>0</v>
      </c>
    </row>
    <row r="21" spans="1:7" x14ac:dyDescent="0.3">
      <c r="A21" t="s">
        <v>36</v>
      </c>
      <c r="B21" s="4">
        <v>201655263</v>
      </c>
      <c r="C21" s="1">
        <f>383/28</f>
        <v>13.678571428571429</v>
      </c>
      <c r="D21" s="1">
        <f>0/28</f>
        <v>0</v>
      </c>
      <c r="E21" s="1">
        <f>0/383</f>
        <v>0</v>
      </c>
      <c r="F21" s="1">
        <f>0/AVERAGE(28,0)</f>
        <v>0</v>
      </c>
      <c r="G21" s="1" t="s">
        <v>0</v>
      </c>
    </row>
    <row r="22" spans="1:7" x14ac:dyDescent="0.3">
      <c r="A22" t="s">
        <v>37</v>
      </c>
      <c r="B22" s="4">
        <v>205456287</v>
      </c>
      <c r="C22" s="1">
        <f>78/5</f>
        <v>15.6</v>
      </c>
      <c r="D22" s="1">
        <f>0/5</f>
        <v>0</v>
      </c>
      <c r="E22" s="1">
        <f>5/78</f>
        <v>6.4102564102564097E-2</v>
      </c>
      <c r="F22" s="1">
        <f>-52/AVERAGE(5,18)</f>
        <v>-4.5217391304347823</v>
      </c>
      <c r="G22" s="1" t="s">
        <v>0</v>
      </c>
    </row>
    <row r="23" spans="1:7" x14ac:dyDescent="0.3">
      <c r="A23" t="s">
        <v>38</v>
      </c>
      <c r="B23" s="4">
        <v>201713898</v>
      </c>
      <c r="C23" s="1">
        <v>0</v>
      </c>
      <c r="D23" s="1">
        <v>0</v>
      </c>
      <c r="E23" s="1">
        <v>0</v>
      </c>
      <c r="F23" s="1">
        <v>0</v>
      </c>
      <c r="G23" s="1" t="s">
        <v>0</v>
      </c>
    </row>
    <row r="24" spans="1:7" x14ac:dyDescent="0.3">
      <c r="A24" t="s">
        <v>39</v>
      </c>
      <c r="B24" s="4">
        <v>147123217</v>
      </c>
      <c r="C24" s="1">
        <f>846/918</f>
        <v>0.92156862745098034</v>
      </c>
      <c r="D24" s="1">
        <f>89/918</f>
        <v>9.6949891067538124E-2</v>
      </c>
      <c r="E24" s="1">
        <f>(94+11+47)/195</f>
        <v>0.77948717948717949</v>
      </c>
      <c r="F24" s="1">
        <f>-65/AVERAGE(918,898)</f>
        <v>-7.1585903083700442E-2</v>
      </c>
      <c r="G24" s="1" t="s">
        <v>0</v>
      </c>
    </row>
    <row r="25" spans="1:7" x14ac:dyDescent="0.3">
      <c r="A25" t="s">
        <v>40</v>
      </c>
      <c r="B25" s="4">
        <v>118545525</v>
      </c>
      <c r="C25" s="1">
        <f>449/538</f>
        <v>0.83457249070631967</v>
      </c>
      <c r="D25" s="1">
        <f>76/538</f>
        <v>0.14126394052044611</v>
      </c>
      <c r="E25" s="1">
        <v>0</v>
      </c>
      <c r="F25" s="1">
        <f>0/AVERAGE(538,795)</f>
        <v>0</v>
      </c>
      <c r="G25" s="1" t="s">
        <v>0</v>
      </c>
    </row>
    <row r="26" spans="1:7" x14ac:dyDescent="0.3">
      <c r="A26" t="s">
        <v>41</v>
      </c>
      <c r="B26" s="4">
        <v>200722887</v>
      </c>
      <c r="C26" s="1">
        <f>25/11</f>
        <v>2.2727272727272729</v>
      </c>
      <c r="D26" s="1">
        <v>0</v>
      </c>
      <c r="E26" s="1">
        <v>0</v>
      </c>
      <c r="F26" s="1">
        <f>-3/11</f>
        <v>-0.27272727272727271</v>
      </c>
      <c r="G26" s="1" t="s">
        <v>0</v>
      </c>
    </row>
    <row r="27" spans="1:7" x14ac:dyDescent="0.3">
      <c r="A27" t="s">
        <v>42</v>
      </c>
      <c r="B27" s="4">
        <v>203296542</v>
      </c>
      <c r="C27" s="1">
        <v>0</v>
      </c>
      <c r="D27" s="1">
        <v>0</v>
      </c>
      <c r="E27" s="1">
        <v>0</v>
      </c>
      <c r="F27" s="1">
        <v>0</v>
      </c>
      <c r="G27" s="1" t="s">
        <v>0</v>
      </c>
    </row>
    <row r="28" spans="1:7" x14ac:dyDescent="0.3">
      <c r="A28" t="s">
        <v>43</v>
      </c>
      <c r="B28" s="4">
        <v>202865115</v>
      </c>
      <c r="C28" s="1">
        <v>0</v>
      </c>
      <c r="D28" s="1">
        <v>0</v>
      </c>
      <c r="E28" s="1">
        <v>0</v>
      </c>
      <c r="F28" s="1">
        <v>0</v>
      </c>
      <c r="G28" s="1" t="s">
        <v>0</v>
      </c>
    </row>
    <row r="29" spans="1:7" x14ac:dyDescent="0.3">
      <c r="A29" t="s">
        <v>44</v>
      </c>
      <c r="B29" s="4">
        <v>203336944</v>
      </c>
      <c r="C29" s="1">
        <f>211/24</f>
        <v>8.7916666666666661</v>
      </c>
      <c r="D29" s="1">
        <f>0/24</f>
        <v>0</v>
      </c>
      <c r="E29" s="1">
        <f>(19-17)/105</f>
        <v>1.9047619047619049E-2</v>
      </c>
      <c r="F29" s="1">
        <f>-74/AVERAGE(24,98)</f>
        <v>-1.2131147540983607</v>
      </c>
      <c r="G29" s="1" t="s">
        <v>0</v>
      </c>
    </row>
    <row r="30" spans="1:7" x14ac:dyDescent="0.3">
      <c r="A30" t="s">
        <v>45</v>
      </c>
      <c r="B30" s="4">
        <v>205547203</v>
      </c>
      <c r="C30" s="1">
        <f>620/520</f>
        <v>1.1923076923076923</v>
      </c>
      <c r="D30" s="1">
        <f>18/520</f>
        <v>3.4615384615384617E-2</v>
      </c>
      <c r="E30" s="1">
        <f>(24+496)/425</f>
        <v>1.223529411764706</v>
      </c>
      <c r="F30" s="1">
        <f>-118/AVERAGE(520,753)</f>
        <v>-0.18538884524744698</v>
      </c>
      <c r="G30" s="1" t="s">
        <v>0</v>
      </c>
    </row>
    <row r="31" spans="1:7" x14ac:dyDescent="0.3">
      <c r="A31" t="s">
        <v>46</v>
      </c>
      <c r="B31" s="4">
        <v>203255727</v>
      </c>
      <c r="C31" s="1">
        <f>47/45</f>
        <v>1.0444444444444445</v>
      </c>
      <c r="D31" s="1">
        <f>0/45</f>
        <v>0</v>
      </c>
      <c r="E31" s="1">
        <f>2/47</f>
        <v>4.2553191489361701E-2</v>
      </c>
      <c r="F31" s="1">
        <f>0/AVERAGE(45,0)</f>
        <v>0</v>
      </c>
      <c r="G31" s="1" t="s">
        <v>0</v>
      </c>
    </row>
    <row r="32" spans="1:7" x14ac:dyDescent="0.3">
      <c r="A32" t="s">
        <v>47</v>
      </c>
      <c r="B32" s="4">
        <v>200459653</v>
      </c>
      <c r="C32" s="1">
        <v>0</v>
      </c>
      <c r="D32" s="1">
        <v>0</v>
      </c>
      <c r="E32" s="1">
        <v>0</v>
      </c>
      <c r="F32" s="1">
        <v>0</v>
      </c>
      <c r="G32" s="1" t="s">
        <v>0</v>
      </c>
    </row>
    <row r="33" spans="1:7" x14ac:dyDescent="0.3">
      <c r="A33" t="s">
        <v>48</v>
      </c>
      <c r="B33" s="4">
        <v>130881182</v>
      </c>
      <c r="C33" s="1">
        <v>0</v>
      </c>
      <c r="D33" s="1">
        <v>0</v>
      </c>
      <c r="E33" s="1">
        <v>0</v>
      </c>
      <c r="F33" s="1">
        <v>0</v>
      </c>
      <c r="G33" s="1" t="s">
        <v>0</v>
      </c>
    </row>
    <row r="34" spans="1:7" x14ac:dyDescent="0.3">
      <c r="A34" t="s">
        <v>49</v>
      </c>
      <c r="B34" s="4">
        <v>831737697</v>
      </c>
      <c r="C34" s="1">
        <f>1712/1337</f>
        <v>1.2804786836200448</v>
      </c>
      <c r="D34" s="1">
        <f>-286/1337</f>
        <v>-0.21391174270755423</v>
      </c>
      <c r="E34" s="1">
        <f>0/1712</f>
        <v>0</v>
      </c>
      <c r="F34" s="1">
        <f>-96/AVERAGE(1337,1378)</f>
        <v>-7.07182320441989E-2</v>
      </c>
      <c r="G34" s="1" t="s">
        <v>0</v>
      </c>
    </row>
    <row r="35" spans="1:7" x14ac:dyDescent="0.3">
      <c r="A35" t="s">
        <v>50</v>
      </c>
      <c r="B35" s="4">
        <v>200447380</v>
      </c>
      <c r="C35" s="1">
        <f>3849/3834</f>
        <v>1.0039123630672926</v>
      </c>
      <c r="D35" s="1">
        <f>0/3834</f>
        <v>0</v>
      </c>
      <c r="E35" s="1">
        <f>0/3849</f>
        <v>0</v>
      </c>
      <c r="F35" s="1">
        <f>0/AVERAGE(3834/3829)</f>
        <v>0</v>
      </c>
      <c r="G35" s="1" t="s">
        <v>0</v>
      </c>
    </row>
    <row r="36" spans="1:7" x14ac:dyDescent="0.3">
      <c r="A36" t="s">
        <v>51</v>
      </c>
      <c r="B36" s="4">
        <v>205072265</v>
      </c>
      <c r="C36" s="1">
        <f>894/1657</f>
        <v>0.53952926976463489</v>
      </c>
      <c r="D36" s="1">
        <v>0</v>
      </c>
      <c r="E36" s="1">
        <f>1610/894</f>
        <v>1.8008948545861299</v>
      </c>
      <c r="F36" s="1">
        <f>309/1657</f>
        <v>0.18648159324079663</v>
      </c>
      <c r="G36" s="1" t="s">
        <v>0</v>
      </c>
    </row>
    <row r="37" spans="1:7" x14ac:dyDescent="0.3">
      <c r="A37" t="s">
        <v>52</v>
      </c>
      <c r="B37" s="4">
        <v>203036975</v>
      </c>
      <c r="C37" s="1">
        <f>16/13</f>
        <v>1.2307692307692308</v>
      </c>
      <c r="D37" s="1">
        <f>0/13</f>
        <v>0</v>
      </c>
      <c r="E37" s="1">
        <v>0</v>
      </c>
      <c r="F37" s="1">
        <f>-2/AVERAGE(13,16)</f>
        <v>-0.13793103448275862</v>
      </c>
      <c r="G37" s="1" t="s">
        <v>0</v>
      </c>
    </row>
    <row r="38" spans="1:7" x14ac:dyDescent="0.3">
      <c r="A38" t="s">
        <v>53</v>
      </c>
      <c r="B38" s="4">
        <v>201675796</v>
      </c>
      <c r="C38" s="1">
        <f>5963/8870</f>
        <v>0.67226606538895151</v>
      </c>
      <c r="D38" s="1">
        <f>0/8870</f>
        <v>0</v>
      </c>
      <c r="E38" s="1">
        <f>(1999+14)/5963</f>
        <v>0.33758175415059533</v>
      </c>
      <c r="F38" s="1">
        <f>-102/AVERAGE(8870,9858)</f>
        <v>-1.0892780862879111E-2</v>
      </c>
      <c r="G38" s="1" t="s">
        <v>0</v>
      </c>
    </row>
    <row r="39" spans="1:7" x14ac:dyDescent="0.3">
      <c r="A39" t="s">
        <v>54</v>
      </c>
      <c r="B39" s="4">
        <v>200798924</v>
      </c>
      <c r="C39" s="1">
        <f>119/7</f>
        <v>17</v>
      </c>
      <c r="D39" s="1">
        <f>0/7</f>
        <v>0</v>
      </c>
      <c r="E39" s="1">
        <f>0/119</f>
        <v>0</v>
      </c>
      <c r="F39" s="1">
        <f>-52/AVERAGE(7,26)</f>
        <v>-3.1515151515151514</v>
      </c>
      <c r="G39" s="1" t="s">
        <v>0</v>
      </c>
    </row>
    <row r="40" spans="1:7" x14ac:dyDescent="0.3">
      <c r="A40" t="s">
        <v>55</v>
      </c>
      <c r="B40" s="4">
        <v>203197195</v>
      </c>
      <c r="C40" s="1">
        <v>0</v>
      </c>
      <c r="D40" s="1">
        <v>0</v>
      </c>
      <c r="E40" s="1">
        <v>0</v>
      </c>
      <c r="F40" s="1">
        <v>0</v>
      </c>
      <c r="G40" s="1" t="s">
        <v>0</v>
      </c>
    </row>
    <row r="41" spans="1:7" x14ac:dyDescent="0.3">
      <c r="A41" t="s">
        <v>56</v>
      </c>
      <c r="B41" s="4">
        <v>109594950</v>
      </c>
      <c r="C41" s="1">
        <v>0</v>
      </c>
      <c r="D41" s="1">
        <v>0</v>
      </c>
      <c r="E41" s="1">
        <v>0</v>
      </c>
      <c r="F41" s="1">
        <v>0</v>
      </c>
      <c r="G41" s="1" t="s">
        <v>0</v>
      </c>
    </row>
    <row r="42" spans="1:7" x14ac:dyDescent="0.3">
      <c r="A42" t="s">
        <v>57</v>
      </c>
      <c r="B42" s="4">
        <v>200480761</v>
      </c>
      <c r="C42" s="1">
        <f>16/17</f>
        <v>0.94117647058823528</v>
      </c>
      <c r="D42" s="1">
        <f>(50-16)/17</f>
        <v>2</v>
      </c>
      <c r="E42" s="1">
        <v>0</v>
      </c>
      <c r="F42" s="1">
        <f>-38/AVERAGE(17,0)</f>
        <v>-4.4705882352941178</v>
      </c>
      <c r="G42" s="1" t="s">
        <v>0</v>
      </c>
    </row>
    <row r="43" spans="1:7" x14ac:dyDescent="0.3">
      <c r="A43" t="s">
        <v>58</v>
      </c>
      <c r="B43" s="4">
        <v>204185712</v>
      </c>
      <c r="C43" s="1">
        <v>0</v>
      </c>
      <c r="D43" s="1">
        <v>0</v>
      </c>
      <c r="E43" s="1">
        <v>0</v>
      </c>
      <c r="F43" s="1">
        <v>0</v>
      </c>
      <c r="G43" s="1" t="s">
        <v>0</v>
      </c>
    </row>
    <row r="44" spans="1:7" x14ac:dyDescent="0.3">
      <c r="A44" t="s">
        <v>59</v>
      </c>
      <c r="B44" s="4">
        <v>131279983</v>
      </c>
      <c r="C44" s="1">
        <f>4900/2395</f>
        <v>2.0459290187891441</v>
      </c>
      <c r="D44" s="1">
        <v>0</v>
      </c>
      <c r="E44" s="1">
        <f>2395/4900</f>
        <v>0.48877551020408161</v>
      </c>
      <c r="F44" s="1">
        <f>-4940/AVERAGE(2395,4838)</f>
        <v>-1.3659615650490806</v>
      </c>
      <c r="G44" s="1" t="s">
        <v>0</v>
      </c>
    </row>
    <row r="45" spans="1:7" x14ac:dyDescent="0.3">
      <c r="A45" t="s">
        <v>60</v>
      </c>
      <c r="B45" s="4">
        <v>204400257</v>
      </c>
      <c r="C45" s="1">
        <v>0</v>
      </c>
      <c r="D45" s="1">
        <v>0</v>
      </c>
      <c r="E45" s="1">
        <v>0</v>
      </c>
      <c r="F45" s="1">
        <v>0</v>
      </c>
      <c r="G45" s="1" t="s">
        <v>0</v>
      </c>
    </row>
    <row r="46" spans="1:7" x14ac:dyDescent="0.3">
      <c r="A46" t="s">
        <v>61</v>
      </c>
      <c r="B46" s="4">
        <v>204503296</v>
      </c>
      <c r="C46" s="1">
        <f>249/90</f>
        <v>2.7666666666666666</v>
      </c>
      <c r="D46" s="1">
        <f>38/90</f>
        <v>0.42222222222222222</v>
      </c>
      <c r="E46" s="1">
        <f>(89+1)/249</f>
        <v>0.36144578313253012</v>
      </c>
      <c r="F46" s="1">
        <f>-197/AVERAGE(90,213)</f>
        <v>-1.3003300330033003</v>
      </c>
      <c r="G46" s="1" t="s">
        <v>0</v>
      </c>
    </row>
    <row r="47" spans="1:7" x14ac:dyDescent="0.3">
      <c r="A47" t="s">
        <v>62</v>
      </c>
      <c r="B47" s="4">
        <v>131241675</v>
      </c>
      <c r="C47" s="1">
        <v>0</v>
      </c>
      <c r="D47" s="1">
        <v>0</v>
      </c>
      <c r="E47" s="1">
        <v>0</v>
      </c>
      <c r="F47" s="1">
        <v>0</v>
      </c>
      <c r="G47" s="1" t="s">
        <v>0</v>
      </c>
    </row>
    <row r="48" spans="1:7" x14ac:dyDescent="0.3">
      <c r="A48" t="s">
        <v>63</v>
      </c>
      <c r="B48" s="4">
        <v>147215103</v>
      </c>
      <c r="C48" s="1">
        <v>0</v>
      </c>
      <c r="D48" s="1">
        <v>0</v>
      </c>
      <c r="E48" s="1">
        <v>0</v>
      </c>
      <c r="F48" s="1">
        <v>0</v>
      </c>
      <c r="G48" s="1" t="s">
        <v>0</v>
      </c>
    </row>
    <row r="49" spans="1:7" x14ac:dyDescent="0.3">
      <c r="A49" t="s">
        <v>64</v>
      </c>
      <c r="B49" s="4">
        <v>201987422</v>
      </c>
      <c r="C49" s="1">
        <f>991/149</f>
        <v>6.651006711409396</v>
      </c>
      <c r="D49" s="1">
        <v>0</v>
      </c>
      <c r="E49" s="1">
        <f>149/991</f>
        <v>0.15035317860746719</v>
      </c>
      <c r="F49" s="1">
        <f>0/AVERAGE(149,806)</f>
        <v>0</v>
      </c>
      <c r="G49" s="1" t="s">
        <v>0</v>
      </c>
    </row>
    <row r="50" spans="1:7" x14ac:dyDescent="0.3">
      <c r="A50" t="s">
        <v>65</v>
      </c>
      <c r="B50" s="4">
        <v>202836761</v>
      </c>
      <c r="C50" s="1">
        <v>0</v>
      </c>
      <c r="D50" s="1">
        <v>0</v>
      </c>
      <c r="E50" s="1">
        <v>0</v>
      </c>
      <c r="F50" s="1">
        <v>0</v>
      </c>
      <c r="G50" s="1" t="s">
        <v>0</v>
      </c>
    </row>
    <row r="51" spans="1:7" ht="15" thickBot="1" x14ac:dyDescent="0.35">
      <c r="A51" s="2" t="s">
        <v>66</v>
      </c>
      <c r="B51" s="6">
        <v>203565195</v>
      </c>
      <c r="C51" s="3">
        <f>325/27</f>
        <v>12.037037037037036</v>
      </c>
      <c r="D51" s="3">
        <f>(123-85)/27</f>
        <v>1.4074074074074074</v>
      </c>
      <c r="E51" s="3">
        <f>27/29</f>
        <v>0.93103448275862066</v>
      </c>
      <c r="F51" s="3">
        <f>-336/AVERAGE(27,568)</f>
        <v>-1.1294117647058823</v>
      </c>
      <c r="G51" s="3" t="s">
        <v>0</v>
      </c>
    </row>
    <row r="52" spans="1:7" x14ac:dyDescent="0.3">
      <c r="A52" t="s">
        <v>67</v>
      </c>
      <c r="B52" s="4">
        <v>123682269</v>
      </c>
      <c r="C52" s="1">
        <f>122201/254245</f>
        <v>0.48064268717182246</v>
      </c>
      <c r="D52" s="1">
        <f>-293/254245</f>
        <v>-1.1524317095714764E-3</v>
      </c>
      <c r="E52" s="1">
        <f>(104270+9360+702+40467)/100861</f>
        <v>1.53477558223694</v>
      </c>
      <c r="F52" s="1">
        <f>11991/AVERAGE(254245,256051)</f>
        <v>4.6996253155031587E-2</v>
      </c>
      <c r="G52" s="1" t="s">
        <v>1</v>
      </c>
    </row>
    <row r="53" spans="1:7" x14ac:dyDescent="0.3">
      <c r="A53" t="s">
        <v>68</v>
      </c>
      <c r="B53" s="4">
        <v>175020797</v>
      </c>
      <c r="C53" s="1">
        <f>137208/331682</f>
        <v>0.41367333771504033</v>
      </c>
      <c r="D53" s="1">
        <f>14359/331682</f>
        <v>4.3291465922178474E-2</v>
      </c>
      <c r="E53" s="1">
        <f>(49402+22981+163+71133)/117198</f>
        <v>1.2259509547944505</v>
      </c>
      <c r="F53" s="1">
        <f>14938/AVERAGE(331682,314761)</f>
        <v>4.6215985013373186E-2</v>
      </c>
      <c r="G53" s="1" t="s">
        <v>1</v>
      </c>
    </row>
    <row r="54" spans="1:7" x14ac:dyDescent="0.3">
      <c r="A54" t="s">
        <v>69</v>
      </c>
      <c r="B54" s="4">
        <v>204257528</v>
      </c>
      <c r="C54" s="1">
        <f>126198/158895</f>
        <v>0.79422259983007648</v>
      </c>
      <c r="D54" s="1">
        <f>23199/158895</f>
        <v>0.14600207684319833</v>
      </c>
      <c r="E54" s="1">
        <f>(92820+21444)/123812</f>
        <v>0.92288308079992243</v>
      </c>
      <c r="F54" s="1">
        <f>856/AVERAGE(158895,149075)</f>
        <v>5.5589830178264113E-3</v>
      </c>
      <c r="G54" s="1" t="s">
        <v>1</v>
      </c>
    </row>
    <row r="55" spans="1:7" x14ac:dyDescent="0.3">
      <c r="A55" t="s">
        <v>70</v>
      </c>
      <c r="B55" s="4">
        <v>175102326</v>
      </c>
      <c r="C55" s="1">
        <f>16374/83886</f>
        <v>0.19519347686145483</v>
      </c>
      <c r="D55" s="1">
        <f>64910/83886</f>
        <v>0.77378823641608852</v>
      </c>
      <c r="E55" s="1">
        <f>(5901+5289+517+44524)/14506</f>
        <v>3.8763959740796912</v>
      </c>
      <c r="F55" s="1">
        <f>13828/AVERAGE(83886,127710)</f>
        <v>0.13070190362766781</v>
      </c>
      <c r="G55" s="1" t="s">
        <v>1</v>
      </c>
    </row>
    <row r="56" spans="1:7" x14ac:dyDescent="0.3">
      <c r="A56" t="s">
        <v>71</v>
      </c>
      <c r="B56" s="4">
        <v>103029862</v>
      </c>
      <c r="C56" s="1">
        <f>219615/277849</f>
        <v>0.79041133853280021</v>
      </c>
      <c r="D56" s="1">
        <f>3839/277849</f>
        <v>1.3816857357773467E-2</v>
      </c>
      <c r="E56" s="1">
        <f>(30698-4456+24827-3944+58855)/219615</f>
        <v>0.48257177333060131</v>
      </c>
      <c r="F56" s="1">
        <f>21262/AVERAGE(277849,216641)</f>
        <v>8.599567230884346E-2</v>
      </c>
      <c r="G56" s="1" t="s">
        <v>1</v>
      </c>
    </row>
    <row r="57" spans="1:7" x14ac:dyDescent="0.3">
      <c r="A57" t="s">
        <v>72</v>
      </c>
      <c r="B57" s="4">
        <v>116035121</v>
      </c>
      <c r="C57" s="1">
        <f>394/1488</f>
        <v>0.26478494623655913</v>
      </c>
      <c r="D57" s="1">
        <f>725/1488</f>
        <v>0.48723118279569894</v>
      </c>
      <c r="E57" s="1">
        <f>(69+95+139)/260</f>
        <v>1.1653846153846155</v>
      </c>
      <c r="F57" s="1">
        <f>142/AVERAGE(1488,1573)</f>
        <v>9.2780137210062077E-2</v>
      </c>
      <c r="G57" s="1" t="s">
        <v>1</v>
      </c>
    </row>
    <row r="58" spans="1:7" x14ac:dyDescent="0.3">
      <c r="A58" t="s">
        <v>73</v>
      </c>
      <c r="B58" s="4">
        <v>831928535</v>
      </c>
      <c r="C58" s="1">
        <f>233697/210375</f>
        <v>1.1108591800356507</v>
      </c>
      <c r="D58" s="1">
        <f>0/210375</f>
        <v>0</v>
      </c>
      <c r="E58" s="1">
        <f>(161762+6156)/18418</f>
        <v>9.1170593984145949</v>
      </c>
      <c r="F58" s="1">
        <f>-30711/AVERAGE(210375,254999)</f>
        <v>-0.13198416757274795</v>
      </c>
      <c r="G58" s="1" t="s">
        <v>1</v>
      </c>
    </row>
    <row r="59" spans="1:7" x14ac:dyDescent="0.3">
      <c r="A59" t="s">
        <v>74</v>
      </c>
      <c r="B59" s="4">
        <v>835009611</v>
      </c>
      <c r="C59" s="1">
        <f>159209/255220</f>
        <v>0.6238108298722671</v>
      </c>
      <c r="D59" s="1">
        <f>4767/255220</f>
        <v>1.8678003291278111E-2</v>
      </c>
      <c r="E59" s="1">
        <f>(70687+52459)/144753</f>
        <v>0.85073193647109213</v>
      </c>
      <c r="F59" s="1">
        <f>21590/AVERAGE(255220,205886)</f>
        <v>9.3644411480223635E-2</v>
      </c>
      <c r="G59" s="1" t="s">
        <v>1</v>
      </c>
    </row>
    <row r="60" spans="1:7" x14ac:dyDescent="0.3">
      <c r="A60" t="s">
        <v>75</v>
      </c>
      <c r="B60" s="4">
        <v>831040520</v>
      </c>
      <c r="C60" s="1">
        <f>50410/93088</f>
        <v>0.54153059470608456</v>
      </c>
      <c r="D60" s="1">
        <f>26697/93088</f>
        <v>0.28679314197318667</v>
      </c>
      <c r="E60" s="1">
        <f>(47251+732)/40383</f>
        <v>1.1881980041106406</v>
      </c>
      <c r="F60" s="1">
        <f>662/AVERAGE(93088,86324)</f>
        <v>7.3796624529017009E-3</v>
      </c>
      <c r="G60" s="1" t="s">
        <v>1</v>
      </c>
    </row>
    <row r="61" spans="1:7" x14ac:dyDescent="0.3">
      <c r="A61" t="s">
        <v>76</v>
      </c>
      <c r="B61" s="4">
        <v>175159754</v>
      </c>
      <c r="C61" s="1">
        <f>14564/27848</f>
        <v>0.52298190175237003</v>
      </c>
      <c r="D61" s="1">
        <f>12280/27848</f>
        <v>0.44096523987359953</v>
      </c>
      <c r="E61" s="1">
        <f>(5270+3881)/13471</f>
        <v>0.67931111276074529</v>
      </c>
      <c r="F61" s="1">
        <f>704/AVERAGE(27848,39962)</f>
        <v>2.076389912992184E-2</v>
      </c>
      <c r="G61" s="1" t="s">
        <v>1</v>
      </c>
    </row>
    <row r="62" spans="1:7" x14ac:dyDescent="0.3">
      <c r="A62" t="s">
        <v>77</v>
      </c>
      <c r="B62" s="4">
        <v>831805625</v>
      </c>
      <c r="C62" s="1">
        <f>4536/18137</f>
        <v>0.25009648784253186</v>
      </c>
      <c r="D62" s="1">
        <f>5602/18137</f>
        <v>0.30887136792192754</v>
      </c>
      <c r="E62" s="1">
        <f>(142+3533-652)/2202</f>
        <v>1.3728428701180744</v>
      </c>
      <c r="F62" s="1">
        <f>1487/AVERAGE(18137,18414)</f>
        <v>8.1365762906623618E-2</v>
      </c>
      <c r="G62" s="1" t="s">
        <v>1</v>
      </c>
    </row>
    <row r="63" spans="1:7" x14ac:dyDescent="0.3">
      <c r="A63" t="s">
        <v>78</v>
      </c>
      <c r="B63" s="4">
        <v>131454703</v>
      </c>
      <c r="C63" s="1">
        <f>3215/5720</f>
        <v>0.56206293706293708</v>
      </c>
      <c r="D63" s="1">
        <f>1579/5720</f>
        <v>0.27604895104895105</v>
      </c>
      <c r="E63" s="1">
        <f>(369+47+525)/3086</f>
        <v>0.30492546986390151</v>
      </c>
      <c r="F63" s="1">
        <f>367/AVERAGE(5720,7924)</f>
        <v>5.3796540603928467E-2</v>
      </c>
      <c r="G63" s="1" t="s">
        <v>1</v>
      </c>
    </row>
    <row r="64" spans="1:7" x14ac:dyDescent="0.3">
      <c r="A64" t="s">
        <v>79</v>
      </c>
      <c r="B64" s="4">
        <v>831921291</v>
      </c>
      <c r="C64" s="1">
        <f>35421/335435</f>
        <v>0.1055972095935129</v>
      </c>
      <c r="D64" s="1">
        <f>86857/335435</f>
        <v>0.25893839342942748</v>
      </c>
      <c r="E64" s="1">
        <f>(28291+27375+1869)/(35421-651)</f>
        <v>1.6547310900201322</v>
      </c>
      <c r="F64" s="1">
        <f>188756/AVERAGE(335435,126873)</f>
        <v>0.81658115368974793</v>
      </c>
      <c r="G64" s="1" t="s">
        <v>1</v>
      </c>
    </row>
    <row r="65" spans="1:7" x14ac:dyDescent="0.3">
      <c r="A65" t="s">
        <v>80</v>
      </c>
      <c r="B65" s="4">
        <v>131519211</v>
      </c>
      <c r="C65" s="1">
        <f>12403/19591</f>
        <v>0.63309683017712215</v>
      </c>
      <c r="D65" s="1">
        <f>(5093-2050)/19591</f>
        <v>0.1553264253994181</v>
      </c>
      <c r="E65" s="1">
        <f>(3951+598)/196</f>
        <v>23.209183673469386</v>
      </c>
      <c r="F65" s="1">
        <f>424/AVERAGE(19591,22494)</f>
        <v>2.0149697041701317E-2</v>
      </c>
      <c r="G65" s="1" t="s">
        <v>1</v>
      </c>
    </row>
    <row r="66" spans="1:7" x14ac:dyDescent="0.3">
      <c r="A66" t="s">
        <v>81</v>
      </c>
      <c r="B66" s="4">
        <v>175135109</v>
      </c>
      <c r="C66" s="1">
        <f>1669/2610</f>
        <v>0.63946360153256709</v>
      </c>
      <c r="D66" s="1">
        <f>559/2610</f>
        <v>0.21417624521072798</v>
      </c>
      <c r="E66" s="1">
        <f>(179+1048+6)/447</f>
        <v>2.7583892617449663</v>
      </c>
      <c r="F66" s="1">
        <f>22/AVERAGE(2610,2607)</f>
        <v>8.4339658807743908E-3</v>
      </c>
      <c r="G66" s="1" t="s">
        <v>1</v>
      </c>
    </row>
    <row r="67" spans="1:7" x14ac:dyDescent="0.3">
      <c r="A67" t="s">
        <v>82</v>
      </c>
      <c r="B67" s="4">
        <v>831323707</v>
      </c>
      <c r="C67" s="1">
        <f>1448/4644</f>
        <v>0.31180017226528856</v>
      </c>
      <c r="D67" s="1">
        <f>3186/4644</f>
        <v>0.68604651162790697</v>
      </c>
      <c r="E67" s="1">
        <f>(867+18+575)/1448</f>
        <v>1.0082872928176796</v>
      </c>
      <c r="F67" s="1">
        <f>5/AVERAGE(4644,4402)</f>
        <v>1.1054609772275039E-3</v>
      </c>
      <c r="G67" s="1" t="s">
        <v>1</v>
      </c>
    </row>
    <row r="68" spans="1:7" x14ac:dyDescent="0.3">
      <c r="A68" t="s">
        <v>83</v>
      </c>
      <c r="B68" s="4">
        <v>831561740</v>
      </c>
      <c r="C68" s="1">
        <f>101/5829</f>
        <v>1.7327157316863954E-2</v>
      </c>
      <c r="D68" s="1">
        <f>4427/5829</f>
        <v>0.7594784697203637</v>
      </c>
      <c r="E68" s="1">
        <f>(10+52)/101</f>
        <v>0.61386138613861385</v>
      </c>
      <c r="F68" s="1">
        <f>95/AVERAGE(5829,5804)</f>
        <v>1.6332846213358548E-2</v>
      </c>
      <c r="G68" s="1" t="s">
        <v>1</v>
      </c>
    </row>
    <row r="69" spans="1:7" x14ac:dyDescent="0.3">
      <c r="A69" t="s">
        <v>84</v>
      </c>
      <c r="B69" s="4">
        <v>175394033</v>
      </c>
      <c r="C69" s="1">
        <f>1395/1767</f>
        <v>0.78947368421052633</v>
      </c>
      <c r="D69" s="1">
        <f>0/1767</f>
        <v>0</v>
      </c>
      <c r="E69" s="1">
        <v>0</v>
      </c>
      <c r="F69" s="1">
        <f>683/AVERAGE(1767,3260)</f>
        <v>0.271732643723891</v>
      </c>
      <c r="G69" s="1" t="s">
        <v>1</v>
      </c>
    </row>
    <row r="70" spans="1:7" x14ac:dyDescent="0.3">
      <c r="A70" t="s">
        <v>85</v>
      </c>
      <c r="B70" s="4">
        <v>813103524</v>
      </c>
      <c r="C70" s="1">
        <f>101038/113590</f>
        <v>0.88949731490448103</v>
      </c>
      <c r="D70" s="1">
        <f>8204/113590</f>
        <v>7.2224667664407077E-2</v>
      </c>
      <c r="E70" s="1">
        <f>(80781+7656)/96543</f>
        <v>0.91603741338056621</v>
      </c>
      <c r="F70" s="1">
        <f>1662/113590</f>
        <v>1.4631569680429616E-2</v>
      </c>
      <c r="G70" s="1" t="s">
        <v>1</v>
      </c>
    </row>
    <row r="71" spans="1:7" x14ac:dyDescent="0.3">
      <c r="A71" t="s">
        <v>86</v>
      </c>
      <c r="B71" s="4">
        <v>130463628</v>
      </c>
      <c r="C71" s="1">
        <f>87933/122538</f>
        <v>0.71759780639475101</v>
      </c>
      <c r="D71" s="1">
        <f>1331/122538</f>
        <v>1.0861936705348544E-2</v>
      </c>
      <c r="E71" s="1">
        <f>(64017+18297)/87718</f>
        <v>0.93839348822362567</v>
      </c>
      <c r="F71" s="1">
        <f>19961/AVERAGE(122538,81380)</f>
        <v>0.19577477221235987</v>
      </c>
      <c r="G71" s="1" t="s">
        <v>1</v>
      </c>
    </row>
    <row r="72" spans="1:7" x14ac:dyDescent="0.3">
      <c r="A72" t="s">
        <v>87</v>
      </c>
      <c r="B72" s="4">
        <v>202924485</v>
      </c>
      <c r="C72" s="1">
        <f>12045/12977</f>
        <v>0.92818062726362027</v>
      </c>
      <c r="D72" s="1">
        <f>179/12977</f>
        <v>1.379363489250212E-2</v>
      </c>
      <c r="E72" s="1">
        <f>(4621-537+1666+4498)/9779</f>
        <v>1.0479599141016465</v>
      </c>
      <c r="F72" s="1">
        <f>702/AVERAGE(12977,11632)</f>
        <v>5.7052297939778132E-2</v>
      </c>
      <c r="G72" s="1" t="s">
        <v>1</v>
      </c>
    </row>
    <row r="73" spans="1:7" x14ac:dyDescent="0.3">
      <c r="A73" t="s">
        <v>88</v>
      </c>
      <c r="B73" s="4">
        <v>202979407</v>
      </c>
      <c r="C73" s="1">
        <f>1169/3227</f>
        <v>0.36225596529284165</v>
      </c>
      <c r="D73" s="1">
        <f>308/3227</f>
        <v>9.5444685466377438E-2</v>
      </c>
      <c r="E73" s="1">
        <f>(2590+126)/1101</f>
        <v>2.4668483197093551</v>
      </c>
      <c r="F73" s="1">
        <f>-58/AVERAGE(3227,2189)</f>
        <v>-2.1418020679468242E-2</v>
      </c>
      <c r="G73" s="1" t="s">
        <v>1</v>
      </c>
    </row>
    <row r="74" spans="1:7" x14ac:dyDescent="0.3">
      <c r="A74" t="s">
        <v>89</v>
      </c>
      <c r="B74" s="4">
        <v>106577999</v>
      </c>
      <c r="C74" s="1">
        <f>4131/4725</f>
        <v>0.87428571428571433</v>
      </c>
      <c r="D74" s="1">
        <f>180/4725</f>
        <v>3.8095238095238099E-2</v>
      </c>
      <c r="E74" s="1">
        <f>(1202+228)/3562</f>
        <v>0.40145985401459855</v>
      </c>
      <c r="F74" s="1">
        <f>249/AVERAGE(4725,3145)</f>
        <v>6.3278271918678519E-2</v>
      </c>
      <c r="G74" s="1" t="s">
        <v>1</v>
      </c>
    </row>
    <row r="75" spans="1:7" x14ac:dyDescent="0.3">
      <c r="A75" t="s">
        <v>90</v>
      </c>
      <c r="B75" s="4">
        <v>103895548</v>
      </c>
      <c r="C75" s="1">
        <f>4917/6438</f>
        <v>0.76374650512581543</v>
      </c>
      <c r="D75" s="1">
        <f>1116/6438</f>
        <v>0.1733457595526561</v>
      </c>
      <c r="E75" s="1">
        <f>(2924+595+1131)/2236</f>
        <v>2.0796064400715562</v>
      </c>
      <c r="F75" s="1">
        <f>68/AVERAGE(6438,4925)</f>
        <v>1.196867024553375E-2</v>
      </c>
      <c r="G75" s="1" t="s">
        <v>1</v>
      </c>
    </row>
    <row r="76" spans="1:7" x14ac:dyDescent="0.3">
      <c r="A76" t="s">
        <v>91</v>
      </c>
      <c r="B76" s="4">
        <v>121137601</v>
      </c>
      <c r="C76" s="1">
        <f>1687/3981</f>
        <v>0.42376287364983672</v>
      </c>
      <c r="D76" s="1">
        <f>867/3981</f>
        <v>0.21778447626224567</v>
      </c>
      <c r="E76" s="1">
        <f>(1153+1496)/1620</f>
        <v>1.6351851851851851</v>
      </c>
      <c r="F76" s="1">
        <f>1049/AVERAGE(3981,2576)</f>
        <v>0.31996339789537898</v>
      </c>
      <c r="G76" s="1" t="s">
        <v>1</v>
      </c>
    </row>
    <row r="77" spans="1:7" x14ac:dyDescent="0.3">
      <c r="A77" t="s">
        <v>92</v>
      </c>
      <c r="B77" s="4">
        <v>813087785</v>
      </c>
      <c r="C77" s="1">
        <f>38815/73240</f>
        <v>0.52996996176952482</v>
      </c>
      <c r="D77" s="1">
        <f>31149/73240</f>
        <v>0.42530038230475148</v>
      </c>
      <c r="E77" s="1">
        <f>(12837+1006)/20642</f>
        <v>0.67062300164712718</v>
      </c>
      <c r="F77" s="1">
        <f>3271/AVERAGE(73240,83165)</f>
        <v>4.1827307311147345E-2</v>
      </c>
      <c r="G77" s="1" t="s">
        <v>1</v>
      </c>
    </row>
    <row r="78" spans="1:7" x14ac:dyDescent="0.3">
      <c r="A78" t="s">
        <v>93</v>
      </c>
      <c r="B78" s="4">
        <v>201041482</v>
      </c>
      <c r="C78" s="1">
        <f>1824/2219</f>
        <v>0.821991888237945</v>
      </c>
      <c r="D78" s="1">
        <f>128/2219</f>
        <v>5.7683641279855792E-2</v>
      </c>
      <c r="E78" s="1">
        <f>(836+130)/1656</f>
        <v>0.58333333333333337</v>
      </c>
      <c r="F78" s="1">
        <f>187/AVERAGE(2219,4480)</f>
        <v>5.5829228243021348E-2</v>
      </c>
      <c r="G78" s="1" t="s">
        <v>1</v>
      </c>
    </row>
    <row r="79" spans="1:7" x14ac:dyDescent="0.3">
      <c r="A79" t="s">
        <v>94</v>
      </c>
      <c r="B79" s="4">
        <v>202575521</v>
      </c>
      <c r="C79" s="1">
        <f>8332/19331</f>
        <v>0.43101753659924474</v>
      </c>
      <c r="D79" s="1">
        <f>10135/19331</f>
        <v>0.52428741399824119</v>
      </c>
      <c r="E79" s="1">
        <f>(10755+55)/2859</f>
        <v>3.7810423224903813</v>
      </c>
      <c r="F79" s="1">
        <f>889/AVERAGE(19331,20270)</f>
        <v>4.4897856114744575E-2</v>
      </c>
      <c r="G79" s="1" t="s">
        <v>1</v>
      </c>
    </row>
    <row r="80" spans="1:7" x14ac:dyDescent="0.3">
      <c r="A80" t="s">
        <v>95</v>
      </c>
      <c r="B80" s="4">
        <v>202297723</v>
      </c>
      <c r="C80" s="1">
        <f>207/2900</f>
        <v>7.1379310344827585E-2</v>
      </c>
      <c r="D80" s="1">
        <f>1573/2900</f>
        <v>0.54241379310344828</v>
      </c>
      <c r="E80" s="1">
        <f>(246-118+144-128+618)/174</f>
        <v>4.3793103448275863</v>
      </c>
      <c r="F80" s="1">
        <f>702/AVERAGE(2900,3256)</f>
        <v>0.22807017543859648</v>
      </c>
      <c r="G80" s="1" t="s">
        <v>1</v>
      </c>
    </row>
    <row r="81" spans="1:7" x14ac:dyDescent="0.3">
      <c r="A81" t="s">
        <v>96</v>
      </c>
      <c r="B81" s="4">
        <v>131220693</v>
      </c>
      <c r="C81" s="1">
        <f>16993/20362</f>
        <v>0.83454474020233771</v>
      </c>
      <c r="D81" s="1">
        <f>2522/20362</f>
        <v>0.12385816717414792</v>
      </c>
      <c r="E81" s="1">
        <f>(1585+274)/10079</f>
        <v>0.1844429010814565</v>
      </c>
      <c r="F81" s="1">
        <f>842/AVERAGE(20362,19941)</f>
        <v>4.1783490062774487E-2</v>
      </c>
      <c r="G81" s="1" t="s">
        <v>1</v>
      </c>
    </row>
    <row r="82" spans="1:7" x14ac:dyDescent="0.3">
      <c r="A82" t="s">
        <v>97</v>
      </c>
      <c r="B82" s="4">
        <v>101041079</v>
      </c>
      <c r="C82" s="1">
        <f>1213/7395</f>
        <v>0.16402974983096688</v>
      </c>
      <c r="D82" s="1">
        <f>4509/7395</f>
        <v>0.60973630831643</v>
      </c>
      <c r="E82" s="1">
        <f>(1807+1486)/1213</f>
        <v>2.7147568013190435</v>
      </c>
      <c r="F82" s="1">
        <f>572/AVERAGE(7395,6649)</f>
        <v>8.1458273996012534E-2</v>
      </c>
      <c r="G82" s="1" t="s">
        <v>1</v>
      </c>
    </row>
    <row r="83" spans="1:7" x14ac:dyDescent="0.3">
      <c r="A83" t="s">
        <v>98</v>
      </c>
      <c r="B83" s="4">
        <v>205795379</v>
      </c>
      <c r="C83" s="1">
        <f>4343/5082</f>
        <v>0.85458480913026369</v>
      </c>
      <c r="D83" s="1">
        <f>49/5082</f>
        <v>9.6418732782369149E-3</v>
      </c>
      <c r="E83" s="1">
        <f>(946-46+595+319+276)/3991</f>
        <v>0.52367827612127282</v>
      </c>
      <c r="F83" s="1">
        <f>683/AVERAGE(5082,3987)</f>
        <v>0.15062300143345461</v>
      </c>
      <c r="G83" s="1" t="s">
        <v>1</v>
      </c>
    </row>
    <row r="84" spans="1:7" x14ac:dyDescent="0.3">
      <c r="A84" t="s">
        <v>99</v>
      </c>
      <c r="B84" s="4">
        <v>107591699</v>
      </c>
      <c r="C84" s="1">
        <f>735/3647</f>
        <v>0.20153550863723607</v>
      </c>
      <c r="D84" s="1">
        <f>2095/3647</f>
        <v>0.57444474910885657</v>
      </c>
      <c r="E84" s="1">
        <f>(216+2943)/735</f>
        <v>4.297959183673469</v>
      </c>
      <c r="F84" s="1">
        <f>47/AVERAGE(3647,3800)</f>
        <v>1.2622532563448368E-2</v>
      </c>
      <c r="G84" s="1" t="s">
        <v>1</v>
      </c>
    </row>
    <row r="85" spans="1:7" x14ac:dyDescent="0.3">
      <c r="A85" t="s">
        <v>100</v>
      </c>
      <c r="B85" s="4">
        <v>131458468</v>
      </c>
      <c r="C85" s="1">
        <f>26635/48271</f>
        <v>0.5517805721861988</v>
      </c>
      <c r="D85" s="1">
        <f>14785/48271</f>
        <v>0.30629156222162374</v>
      </c>
      <c r="E85" s="1">
        <f>(17904+1565)/18432</f>
        <v>1.0562608506944444</v>
      </c>
      <c r="F85" s="1">
        <f>486/AVERAGE(48271,44236)</f>
        <v>1.0507312960100317E-2</v>
      </c>
      <c r="G85" s="1" t="s">
        <v>1</v>
      </c>
    </row>
    <row r="86" spans="1:7" x14ac:dyDescent="0.3">
      <c r="A86" t="s">
        <v>101</v>
      </c>
      <c r="B86" s="4">
        <v>131569869</v>
      </c>
      <c r="C86" s="1">
        <f>788/5161</f>
        <v>0.15268358845185043</v>
      </c>
      <c r="D86" s="1">
        <f>3007/5161</f>
        <v>0.58263902344506879</v>
      </c>
      <c r="E86" s="1">
        <f>(1017+3+1031)/775</f>
        <v>2.6464516129032258</v>
      </c>
      <c r="F86" s="1">
        <f>1361/AVERAGE(5161,3637)</f>
        <v>0.30938849738576951</v>
      </c>
      <c r="G86" s="1" t="s">
        <v>1</v>
      </c>
    </row>
    <row r="87" spans="1:7" x14ac:dyDescent="0.3">
      <c r="A87" t="s">
        <v>102</v>
      </c>
      <c r="B87" s="4">
        <v>102899611</v>
      </c>
      <c r="C87" s="1">
        <f>700/2352</f>
        <v>0.29761904761904762</v>
      </c>
      <c r="D87" s="1">
        <f>1534/2352</f>
        <v>0.65221088435374153</v>
      </c>
      <c r="E87" s="1">
        <f>(266+302-268+527)/653</f>
        <v>1.2664624808575804</v>
      </c>
      <c r="F87" s="1">
        <f>113/AVERAGE(2352,2073)</f>
        <v>5.1073446327683618E-2</v>
      </c>
      <c r="G87" s="1" t="s">
        <v>1</v>
      </c>
    </row>
    <row r="88" spans="1:7" x14ac:dyDescent="0.3">
      <c r="A88" t="s">
        <v>103</v>
      </c>
      <c r="B88" s="4">
        <v>117102039</v>
      </c>
      <c r="C88" s="1">
        <v>0</v>
      </c>
      <c r="D88" s="1">
        <f>4/11</f>
        <v>0.36363636363636365</v>
      </c>
      <c r="E88" s="1">
        <v>0</v>
      </c>
      <c r="F88" s="1">
        <f>2/AVERAGE(11,9)</f>
        <v>0.2</v>
      </c>
      <c r="G88" s="1" t="s">
        <v>1</v>
      </c>
    </row>
    <row r="89" spans="1:7" x14ac:dyDescent="0.3">
      <c r="A89" t="s">
        <v>104</v>
      </c>
      <c r="B89" s="4">
        <v>130467904</v>
      </c>
      <c r="C89" s="1">
        <f>668/733</f>
        <v>0.91132332878581168</v>
      </c>
      <c r="D89" s="1">
        <f>1/733</f>
        <v>1.364256480218281E-3</v>
      </c>
      <c r="E89" s="1">
        <f>(262+132)/406</f>
        <v>0.97044334975369462</v>
      </c>
      <c r="F89" s="1">
        <f>59/AVERAGE(733,775)</f>
        <v>7.8249336870026526E-2</v>
      </c>
      <c r="G89" s="1" t="s">
        <v>1</v>
      </c>
    </row>
    <row r="90" spans="1:7" x14ac:dyDescent="0.3">
      <c r="A90" t="s">
        <v>105</v>
      </c>
      <c r="B90" s="4">
        <v>101526851</v>
      </c>
      <c r="C90" s="1">
        <f>3838/4328</f>
        <v>0.88678373382624764</v>
      </c>
      <c r="D90" s="1">
        <f>419/4328</f>
        <v>9.6811460258780041E-2</v>
      </c>
      <c r="E90" s="1">
        <f>(1434+61+175)/3838</f>
        <v>0.43512245961438251</v>
      </c>
      <c r="F90" s="1">
        <f>66/AVERAGE(4328,1289)</f>
        <v>2.3500089015488695E-2</v>
      </c>
      <c r="G90" s="1" t="s">
        <v>1</v>
      </c>
    </row>
    <row r="91" spans="1:7" x14ac:dyDescent="0.3">
      <c r="A91" t="s">
        <v>106</v>
      </c>
      <c r="B91" s="4" t="s">
        <v>9</v>
      </c>
      <c r="C91" s="1">
        <f>3340/6264</f>
        <v>0.53320561941251599</v>
      </c>
      <c r="D91" s="1">
        <f>2613/6264</f>
        <v>0.41714559386973182</v>
      </c>
      <c r="E91" s="1">
        <f>480/3282</f>
        <v>0.14625228519195613</v>
      </c>
      <c r="F91" s="1">
        <f>51/AVERAGE(6264,7559)</f>
        <v>7.3790060044852781E-3</v>
      </c>
      <c r="G91" s="1" t="s">
        <v>1</v>
      </c>
    </row>
    <row r="92" spans="1:7" x14ac:dyDescent="0.3">
      <c r="A92" t="s">
        <v>107</v>
      </c>
      <c r="B92" s="4" t="s">
        <v>8</v>
      </c>
      <c r="C92" s="1">
        <f>61/119</f>
        <v>0.51260504201680668</v>
      </c>
      <c r="D92" s="1">
        <f>53/119</f>
        <v>0.44537815126050423</v>
      </c>
      <c r="E92" s="1">
        <f>(4+21)/61</f>
        <v>0.4098360655737705</v>
      </c>
      <c r="F92" s="1">
        <f>0/AVERAGE(119,127)</f>
        <v>0</v>
      </c>
      <c r="G92" s="1" t="s">
        <v>1</v>
      </c>
    </row>
    <row r="93" spans="1:7" x14ac:dyDescent="0.3">
      <c r="A93" t="s">
        <v>108</v>
      </c>
      <c r="B93" s="4">
        <v>131270518</v>
      </c>
      <c r="C93" s="1">
        <f>1415/1740</f>
        <v>0.81321839080459768</v>
      </c>
      <c r="D93" s="1">
        <f>0/1740</f>
        <v>0</v>
      </c>
      <c r="E93" s="1">
        <f>(1034+273)/1353</f>
        <v>0.96600147819660009</v>
      </c>
      <c r="F93" s="1">
        <f>320/AVERAGE(1740,2299)</f>
        <v>0.15845506313443922</v>
      </c>
      <c r="G93" s="1" t="s">
        <v>1</v>
      </c>
    </row>
    <row r="94" spans="1:7" x14ac:dyDescent="0.3">
      <c r="A94" t="s">
        <v>109</v>
      </c>
      <c r="B94" s="4" t="s">
        <v>10</v>
      </c>
      <c r="C94" s="1">
        <f>1028/26916</f>
        <v>3.8192896418487145E-2</v>
      </c>
      <c r="D94" s="1">
        <f>15574/26916</f>
        <v>0.57861495021548526</v>
      </c>
      <c r="E94" s="1">
        <f>(7011+2238-2237+4677)/1028</f>
        <v>11.370622568093385</v>
      </c>
      <c r="F94" s="1">
        <f>5068/AVERAGE(26916,24718)</f>
        <v>0.19630476042917458</v>
      </c>
      <c r="G94" s="1" t="s">
        <v>1</v>
      </c>
    </row>
    <row r="95" spans="1:7" x14ac:dyDescent="0.3">
      <c r="A95" t="s">
        <v>110</v>
      </c>
      <c r="B95" s="4">
        <v>203303613</v>
      </c>
      <c r="C95" s="1">
        <f>9/11</f>
        <v>0.81818181818181823</v>
      </c>
      <c r="D95" s="1">
        <f>2/11</f>
        <v>0.18181818181818182</v>
      </c>
      <c r="E95" s="1">
        <f>(4+2)/9</f>
        <v>0.66666666666666663</v>
      </c>
      <c r="F95" s="1">
        <f>0/AVERAGE(11,11)</f>
        <v>0</v>
      </c>
      <c r="G95" s="1" t="s">
        <v>1</v>
      </c>
    </row>
    <row r="96" spans="1:7" x14ac:dyDescent="0.3">
      <c r="A96" t="s">
        <v>111</v>
      </c>
      <c r="B96" s="4" t="s">
        <v>11</v>
      </c>
      <c r="C96" s="1">
        <f>3311/3189</f>
        <v>1.0382565067419254</v>
      </c>
      <c r="D96" s="1">
        <f>0/3189</f>
        <v>0</v>
      </c>
      <c r="E96" s="1">
        <f>(584+96+6)/3311</f>
        <v>0.20718816067653276</v>
      </c>
      <c r="F96" s="1">
        <f>8/AVERAGE(3189,2979)</f>
        <v>2.5940337224383916E-3</v>
      </c>
      <c r="G96" s="1" t="s">
        <v>1</v>
      </c>
    </row>
    <row r="97" spans="1:7" x14ac:dyDescent="0.3">
      <c r="A97" t="s">
        <v>112</v>
      </c>
      <c r="B97" s="4" t="s">
        <v>12</v>
      </c>
      <c r="C97" s="1">
        <f>12/44</f>
        <v>0.27272727272727271</v>
      </c>
      <c r="D97" s="1">
        <f>-34/44</f>
        <v>-0.77272727272727271</v>
      </c>
      <c r="E97" s="1">
        <f>(2+14)/12</f>
        <v>1.3333333333333333</v>
      </c>
      <c r="F97" s="1">
        <f>20/AVERAGE(44,17)</f>
        <v>0.65573770491803274</v>
      </c>
      <c r="G97" s="1" t="s">
        <v>1</v>
      </c>
    </row>
    <row r="98" spans="1:7" x14ac:dyDescent="0.3">
      <c r="A98" t="s">
        <v>113</v>
      </c>
      <c r="B98" s="4" t="s">
        <v>13</v>
      </c>
      <c r="C98" s="1">
        <f>59/29</f>
        <v>2.0344827586206895</v>
      </c>
      <c r="D98" s="1">
        <f>0/29</f>
        <v>0</v>
      </c>
      <c r="E98" s="1">
        <f>13/59</f>
        <v>0.22033898305084745</v>
      </c>
      <c r="F98" s="1">
        <f>-35/AVERAGE(29,0)</f>
        <v>-2.4137931034482758</v>
      </c>
      <c r="G98" s="1" t="s">
        <v>1</v>
      </c>
    </row>
    <row r="99" spans="1:7" x14ac:dyDescent="0.3">
      <c r="A99" t="s">
        <v>114</v>
      </c>
      <c r="B99" s="4" t="s">
        <v>14</v>
      </c>
      <c r="C99" s="1">
        <f>5180/9323</f>
        <v>0.55561514533948297</v>
      </c>
      <c r="D99" s="1">
        <f>0/9323</f>
        <v>0</v>
      </c>
      <c r="E99" s="1">
        <f>(253+69+2607-2)/5180</f>
        <v>0.56505791505791503</v>
      </c>
      <c r="F99" s="1">
        <f>2383/AVERAGE(9323,9901)</f>
        <v>0.24791926758218893</v>
      </c>
      <c r="G99" s="1" t="s">
        <v>1</v>
      </c>
    </row>
    <row r="100" spans="1:7" x14ac:dyDescent="0.3">
      <c r="A100" t="s">
        <v>115</v>
      </c>
      <c r="B100" s="4" t="s">
        <v>15</v>
      </c>
      <c r="C100" s="1">
        <f>12313/31830</f>
        <v>0.38683631793905121</v>
      </c>
      <c r="D100" s="1">
        <f>(14291-87)/31830</f>
        <v>0.44624568017593463</v>
      </c>
      <c r="E100" s="1">
        <f>(408+137-30+2711)/8266</f>
        <v>0.39027340914589886</v>
      </c>
      <c r="F100" s="1">
        <f>-210/AVERAGE(31830,31738)</f>
        <v>-6.6070979108985651E-3</v>
      </c>
      <c r="G100" s="1" t="s">
        <v>1</v>
      </c>
    </row>
    <row r="101" spans="1:7" x14ac:dyDescent="0.3">
      <c r="A101" t="s">
        <v>116</v>
      </c>
      <c r="B101" s="4" t="s">
        <v>16</v>
      </c>
      <c r="C101" s="1">
        <f>4359/9296</f>
        <v>0.46891135972461273</v>
      </c>
      <c r="D101" s="1">
        <f>1833/9296</f>
        <v>0.19718158347676421</v>
      </c>
      <c r="E101" s="1">
        <f>(2881+931+93)/4291</f>
        <v>0.91004427872290838</v>
      </c>
      <c r="F101" s="1">
        <f>3074/AVERAGE(9296,5928)</f>
        <v>0.40383604834471887</v>
      </c>
      <c r="G101" s="1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 Христов</dc:creator>
  <cp:lastModifiedBy>Георги Емилов Христов</cp:lastModifiedBy>
  <dcterms:created xsi:type="dcterms:W3CDTF">2022-04-16T15:34:09Z</dcterms:created>
  <dcterms:modified xsi:type="dcterms:W3CDTF">2022-12-15T08:41:22Z</dcterms:modified>
</cp:coreProperties>
</file>