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27aa5a8b78a75/EPFL/MA3/PdS2/"/>
    </mc:Choice>
  </mc:AlternateContent>
  <xr:revisionPtr revIDLastSave="8" documentId="8_{F3A81C2A-F09B-074C-B822-6B184396A76F}" xr6:coauthVersionLast="47" xr6:coauthVersionMax="47" xr10:uidLastSave="{839B58A4-E655-384F-BAFD-AE77CED304B2}"/>
  <bookViews>
    <workbookView xWindow="4320" yWindow="620" windowWidth="24480" windowHeight="17380" xr2:uid="{71B643D5-27B6-F94A-95BE-84F6C9C29DB4}"/>
  </bookViews>
  <sheets>
    <sheet name="Cost table" sheetId="14" r:id="rId1"/>
    <sheet name="Example" sheetId="28" r:id="rId2"/>
    <sheet name="Hydrogen CH" sheetId="30" r:id="rId3"/>
    <sheet name="Sheet1" sheetId="62" r:id="rId4"/>
    <sheet name="Imp-H2" sheetId="42" r:id="rId5"/>
    <sheet name="CO2-CH4" sheetId="57" r:id="rId6"/>
    <sheet name="Methanol" sheetId="59" r:id="rId7"/>
    <sheet name="Imp-PSF" sheetId="36" r:id="rId8"/>
    <sheet name="Water dependence" sheetId="61" r:id="rId9"/>
    <sheet name="Heating Values" sheetId="6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4" l="1"/>
  <c r="D22" i="62"/>
  <c r="D10" i="62"/>
  <c r="G110" i="14" l="1"/>
  <c r="H19" i="59" l="1"/>
  <c r="E70" i="14"/>
  <c r="D70" i="14" s="1"/>
  <c r="E19" i="59" s="1"/>
  <c r="E69" i="14"/>
  <c r="F18" i="59" s="1"/>
  <c r="D69" i="14"/>
  <c r="E18" i="59" s="1"/>
  <c r="D68" i="14"/>
  <c r="E17" i="59" s="1"/>
  <c r="D67" i="14"/>
  <c r="E16" i="59" s="1"/>
  <c r="G68" i="14"/>
  <c r="G67" i="14"/>
  <c r="E68" i="14"/>
  <c r="F17" i="59" s="1"/>
  <c r="E67" i="14"/>
  <c r="F16" i="59" s="1"/>
  <c r="G69" i="14"/>
  <c r="D19" i="59"/>
  <c r="I19" i="59" s="1"/>
  <c r="C19" i="59"/>
  <c r="G18" i="59" s="1"/>
  <c r="H18" i="59" s="1"/>
  <c r="D18" i="59"/>
  <c r="C18" i="59"/>
  <c r="D17" i="59"/>
  <c r="C17" i="59"/>
  <c r="D16" i="59"/>
  <c r="C16" i="59"/>
  <c r="F15" i="59"/>
  <c r="D15" i="59"/>
  <c r="C15" i="59"/>
  <c r="B19" i="59"/>
  <c r="B18" i="59"/>
  <c r="B17" i="59"/>
  <c r="B16" i="59"/>
  <c r="B15" i="59"/>
  <c r="E66" i="14"/>
  <c r="D66" i="14"/>
  <c r="E15" i="59" s="1"/>
  <c r="G66" i="14"/>
  <c r="G17" i="59" l="1"/>
  <c r="I18" i="59"/>
  <c r="F19" i="59"/>
  <c r="I17" i="59"/>
  <c r="J3" i="59"/>
  <c r="G17" i="36"/>
  <c r="C110" i="14"/>
  <c r="G16" i="59" l="1"/>
  <c r="H17" i="59"/>
  <c r="C11" i="36"/>
  <c r="B11" i="36"/>
  <c r="J4" i="36"/>
  <c r="E110" i="14"/>
  <c r="D110" i="14" s="1"/>
  <c r="D11" i="36"/>
  <c r="H16" i="59" l="1"/>
  <c r="I16" i="59"/>
  <c r="G15" i="59"/>
  <c r="E11" i="36"/>
  <c r="F11" i="36"/>
  <c r="D14" i="59"/>
  <c r="C14" i="59"/>
  <c r="B14" i="59"/>
  <c r="D13" i="59"/>
  <c r="C13" i="59"/>
  <c r="B13" i="59"/>
  <c r="D12" i="59"/>
  <c r="C12" i="59"/>
  <c r="B12" i="59"/>
  <c r="D11" i="59"/>
  <c r="C11" i="59"/>
  <c r="B11" i="59"/>
  <c r="D10" i="59"/>
  <c r="C10" i="59"/>
  <c r="B10" i="59"/>
  <c r="D9" i="59"/>
  <c r="C9" i="59"/>
  <c r="B9" i="59"/>
  <c r="D8" i="59"/>
  <c r="C8" i="59"/>
  <c r="B8" i="59"/>
  <c r="D7" i="59"/>
  <c r="C7" i="59"/>
  <c r="B7" i="59"/>
  <c r="C1" i="59"/>
  <c r="H15" i="59" l="1"/>
  <c r="G14" i="59"/>
  <c r="I14" i="59" s="1"/>
  <c r="I15" i="59"/>
  <c r="C1" i="57"/>
  <c r="G87" i="14"/>
  <c r="G83" i="14"/>
  <c r="D83" i="14" s="1"/>
  <c r="G82" i="14"/>
  <c r="G81" i="14"/>
  <c r="E87" i="14"/>
  <c r="D87" i="14" s="1"/>
  <c r="E83" i="14"/>
  <c r="E82" i="14"/>
  <c r="E81" i="14"/>
  <c r="G86" i="14"/>
  <c r="E86" i="14"/>
  <c r="D86" i="14" s="1"/>
  <c r="F84" i="14"/>
  <c r="E84" i="14" s="1"/>
  <c r="F35" i="14"/>
  <c r="E35" i="14"/>
  <c r="E85" i="14"/>
  <c r="G85" i="14"/>
  <c r="D85" i="14"/>
  <c r="G84" i="14"/>
  <c r="D84" i="14" s="1"/>
  <c r="D14" i="57"/>
  <c r="C14" i="57"/>
  <c r="B14" i="57"/>
  <c r="H20" i="57"/>
  <c r="D20" i="57"/>
  <c r="I20" i="57" s="1"/>
  <c r="C20" i="57"/>
  <c r="G19" i="57" s="1"/>
  <c r="G18" i="57" s="1"/>
  <c r="B20" i="57"/>
  <c r="D19" i="57"/>
  <c r="C19" i="57"/>
  <c r="B19" i="57"/>
  <c r="F18" i="57"/>
  <c r="E18" i="57"/>
  <c r="D18" i="57"/>
  <c r="C18" i="57"/>
  <c r="B18" i="57"/>
  <c r="F17" i="57"/>
  <c r="D17" i="57"/>
  <c r="C17" i="57"/>
  <c r="B17" i="57"/>
  <c r="D16" i="57"/>
  <c r="C16" i="57"/>
  <c r="B16" i="57"/>
  <c r="F15" i="57"/>
  <c r="E15" i="57"/>
  <c r="D15" i="57"/>
  <c r="C15" i="57"/>
  <c r="B15" i="57"/>
  <c r="D13" i="57"/>
  <c r="C13" i="57"/>
  <c r="B13" i="57"/>
  <c r="D12" i="57"/>
  <c r="C12" i="57"/>
  <c r="B12" i="57"/>
  <c r="D11" i="57"/>
  <c r="C11" i="57"/>
  <c r="B11" i="57"/>
  <c r="D10" i="57"/>
  <c r="C10" i="57"/>
  <c r="B10" i="57"/>
  <c r="D9" i="57"/>
  <c r="C9" i="57"/>
  <c r="B9" i="57"/>
  <c r="D8" i="57"/>
  <c r="C8" i="57"/>
  <c r="B8" i="57"/>
  <c r="D7" i="57"/>
  <c r="C7" i="57"/>
  <c r="B7" i="57"/>
  <c r="E78" i="14"/>
  <c r="E73" i="14"/>
  <c r="E55" i="14"/>
  <c r="E65" i="14"/>
  <c r="D78" i="14"/>
  <c r="G78" i="14"/>
  <c r="G77" i="14"/>
  <c r="E77" i="14"/>
  <c r="C1" i="30"/>
  <c r="C1" i="42"/>
  <c r="H17" i="30"/>
  <c r="D17" i="30"/>
  <c r="I17" i="30" s="1"/>
  <c r="C17" i="30"/>
  <c r="G16" i="30" s="1"/>
  <c r="H16" i="30" s="1"/>
  <c r="D16" i="30"/>
  <c r="C16" i="30"/>
  <c r="B17" i="30"/>
  <c r="B16" i="30"/>
  <c r="B15" i="30"/>
  <c r="B12" i="30"/>
  <c r="E33" i="14"/>
  <c r="F15" i="30" s="1"/>
  <c r="E29" i="14"/>
  <c r="F14" i="30" s="1"/>
  <c r="D14" i="30"/>
  <c r="C14" i="30"/>
  <c r="B14" i="30"/>
  <c r="D12" i="30"/>
  <c r="C12" i="30"/>
  <c r="E41" i="14"/>
  <c r="F12" i="30" s="1"/>
  <c r="G41" i="14"/>
  <c r="D13" i="30"/>
  <c r="C13" i="30"/>
  <c r="B13" i="30"/>
  <c r="D15" i="30"/>
  <c r="C15" i="30"/>
  <c r="D81" i="14" l="1"/>
  <c r="D41" i="14"/>
  <c r="E12" i="30" s="1"/>
  <c r="D82" i="14"/>
  <c r="D77" i="14"/>
  <c r="E17" i="57" s="1"/>
  <c r="I19" i="57"/>
  <c r="G17" i="57"/>
  <c r="I18" i="57"/>
  <c r="H18" i="57"/>
  <c r="H19" i="57"/>
  <c r="I16" i="30"/>
  <c r="G15" i="30"/>
  <c r="G74" i="14"/>
  <c r="E74" i="14"/>
  <c r="G73" i="14"/>
  <c r="F16" i="57" l="1"/>
  <c r="G16" i="57"/>
  <c r="G15" i="57" s="1"/>
  <c r="G14" i="57" s="1"/>
  <c r="H17" i="57"/>
  <c r="I17" i="57"/>
  <c r="D74" i="14"/>
  <c r="H15" i="30"/>
  <c r="G14" i="30"/>
  <c r="I15" i="30"/>
  <c r="G13" i="59" l="1"/>
  <c r="J2" i="59"/>
  <c r="H14" i="59"/>
  <c r="G13" i="57"/>
  <c r="G12" i="57" s="1"/>
  <c r="G11" i="57" s="1"/>
  <c r="G10" i="57" s="1"/>
  <c r="G9" i="57" s="1"/>
  <c r="G8" i="57" s="1"/>
  <c r="G7" i="57" s="1"/>
  <c r="J2" i="57"/>
  <c r="E16" i="57"/>
  <c r="I16" i="57"/>
  <c r="H16" i="57"/>
  <c r="J3" i="57"/>
  <c r="M14" i="30"/>
  <c r="N14" i="30" s="1"/>
  <c r="G13" i="30"/>
  <c r="I14" i="30"/>
  <c r="H14" i="30"/>
  <c r="G12" i="59" l="1"/>
  <c r="I13" i="59"/>
  <c r="H13" i="59"/>
  <c r="I15" i="57"/>
  <c r="H15" i="57"/>
  <c r="G12" i="30"/>
  <c r="H13" i="30"/>
  <c r="I13" i="30"/>
  <c r="G11" i="59" l="1"/>
  <c r="I12" i="59"/>
  <c r="H12" i="59"/>
  <c r="G11" i="30"/>
  <c r="I12" i="30"/>
  <c r="H12" i="30"/>
  <c r="G34" i="14"/>
  <c r="E10" i="14"/>
  <c r="F7" i="59" l="1"/>
  <c r="F7" i="57"/>
  <c r="I11" i="59"/>
  <c r="I20" i="59" s="1"/>
  <c r="H11" i="59"/>
  <c r="G10" i="59"/>
  <c r="H14" i="57"/>
  <c r="I14" i="57"/>
  <c r="H11" i="30"/>
  <c r="H10" i="59" l="1"/>
  <c r="G9" i="59"/>
  <c r="G8" i="59" s="1"/>
  <c r="G7" i="59" s="1"/>
  <c r="H13" i="57"/>
  <c r="I13" i="57"/>
  <c r="H9" i="59" l="1"/>
  <c r="I10" i="59"/>
  <c r="I12" i="57"/>
  <c r="H12" i="57"/>
  <c r="H8" i="59" l="1"/>
  <c r="I9" i="59"/>
  <c r="I11" i="57"/>
  <c r="I21" i="57" s="1"/>
  <c r="H11" i="57"/>
  <c r="H7" i="59" l="1"/>
  <c r="C20" i="59" s="1"/>
  <c r="I8" i="59"/>
  <c r="H10" i="57"/>
  <c r="F97" i="14"/>
  <c r="I7" i="59" l="1"/>
  <c r="C3" i="59"/>
  <c r="C21" i="59"/>
  <c r="H9" i="57"/>
  <c r="I10" i="57"/>
  <c r="G1" i="59" l="1"/>
  <c r="M8" i="59" s="1"/>
  <c r="E3" i="59"/>
  <c r="M7" i="59"/>
  <c r="N7" i="59" s="1"/>
  <c r="G2" i="59"/>
  <c r="G3" i="59" s="1"/>
  <c r="M10" i="59" s="1"/>
  <c r="I9" i="57"/>
  <c r="H8" i="57"/>
  <c r="M11" i="59" l="1"/>
  <c r="M9" i="59"/>
  <c r="I8" i="57"/>
  <c r="H7" i="57"/>
  <c r="C21" i="57" s="1"/>
  <c r="M12" i="59" l="1"/>
  <c r="M15" i="59" s="1"/>
  <c r="I7" i="57"/>
  <c r="C3" i="57"/>
  <c r="C22" i="57"/>
  <c r="M16" i="59" l="1"/>
  <c r="N15" i="59"/>
  <c r="M13" i="59"/>
  <c r="M14" i="59"/>
  <c r="G1" i="57"/>
  <c r="M8" i="57" s="1"/>
  <c r="M7" i="57"/>
  <c r="N7" i="57" s="1"/>
  <c r="E3" i="57"/>
  <c r="G2" i="57"/>
  <c r="G3" i="57" s="1"/>
  <c r="M10" i="57" s="1"/>
  <c r="M19" i="59" l="1"/>
  <c r="M17" i="59"/>
  <c r="N16" i="59"/>
  <c r="M11" i="57"/>
  <c r="M9" i="57"/>
  <c r="N17" i="59" l="1"/>
  <c r="M18" i="59"/>
  <c r="N18" i="59" s="1"/>
  <c r="N19" i="59"/>
  <c r="M12" i="57"/>
  <c r="B17" i="42"/>
  <c r="D18" i="42"/>
  <c r="I18" i="42" s="1"/>
  <c r="C18" i="42"/>
  <c r="G17" i="42" s="1"/>
  <c r="D17" i="42"/>
  <c r="C17" i="42"/>
  <c r="D16" i="42"/>
  <c r="C16" i="42"/>
  <c r="B18" i="42"/>
  <c r="B16" i="42"/>
  <c r="E37" i="14"/>
  <c r="F16" i="42" s="1"/>
  <c r="G37" i="14"/>
  <c r="B15" i="42"/>
  <c r="M13" i="57" l="1"/>
  <c r="M14" i="57"/>
  <c r="M15" i="57" s="1"/>
  <c r="M16" i="57" s="1"/>
  <c r="G16" i="42"/>
  <c r="H16" i="42" s="1"/>
  <c r="I17" i="42"/>
  <c r="H17" i="42"/>
  <c r="H17" i="36"/>
  <c r="M17" i="36" s="1"/>
  <c r="D37" i="14"/>
  <c r="E16" i="42" s="1"/>
  <c r="G15" i="42" l="1"/>
  <c r="I16" i="42"/>
  <c r="H15" i="42" l="1"/>
  <c r="N15" i="57" l="1"/>
  <c r="D15" i="42"/>
  <c r="I15" i="42" s="1"/>
  <c r="C15" i="42"/>
  <c r="D14" i="42"/>
  <c r="C14" i="42"/>
  <c r="D13" i="42"/>
  <c r="C13" i="42"/>
  <c r="D12" i="42"/>
  <c r="C12" i="42"/>
  <c r="B14" i="42"/>
  <c r="B13" i="42"/>
  <c r="B12" i="42"/>
  <c r="L10" i="14"/>
  <c r="H18" i="42"/>
  <c r="D11" i="42"/>
  <c r="C11" i="42"/>
  <c r="B11" i="42"/>
  <c r="D10" i="42"/>
  <c r="C10" i="42"/>
  <c r="B10" i="42"/>
  <c r="D9" i="42"/>
  <c r="C9" i="42"/>
  <c r="B9" i="42"/>
  <c r="D8" i="42"/>
  <c r="C8" i="42"/>
  <c r="B8" i="42"/>
  <c r="D7" i="42"/>
  <c r="C7" i="42"/>
  <c r="B7" i="42"/>
  <c r="M17" i="57" l="1"/>
  <c r="N17" i="57" s="1"/>
  <c r="N16" i="57"/>
  <c r="M18" i="57"/>
  <c r="G14" i="42"/>
  <c r="E31" i="14"/>
  <c r="N18" i="57" l="1"/>
  <c r="M19" i="57"/>
  <c r="I14" i="42"/>
  <c r="G20" i="42"/>
  <c r="G13" i="42"/>
  <c r="I13" i="42" s="1"/>
  <c r="H14" i="42"/>
  <c r="D10" i="36"/>
  <c r="C10" i="36"/>
  <c r="D9" i="36"/>
  <c r="C9" i="36"/>
  <c r="B10" i="36"/>
  <c r="B9" i="36"/>
  <c r="M20" i="57" l="1"/>
  <c r="H13" i="42"/>
  <c r="G12" i="42"/>
  <c r="I12" i="42" s="1"/>
  <c r="H12" i="42" l="1"/>
  <c r="G11" i="42"/>
  <c r="I11" i="42" s="1"/>
  <c r="I19" i="42" s="1"/>
  <c r="H11" i="42" l="1"/>
  <c r="G10" i="42"/>
  <c r="H10" i="42" s="1"/>
  <c r="H9" i="42" l="1"/>
  <c r="G9" i="42"/>
  <c r="G8" i="42" s="1"/>
  <c r="G7" i="42" s="1"/>
  <c r="I10" i="42" l="1"/>
  <c r="H8" i="42"/>
  <c r="I9" i="42"/>
  <c r="E56" i="14"/>
  <c r="C52" i="14"/>
  <c r="H7" i="42" l="1"/>
  <c r="C19" i="42" s="1"/>
  <c r="I8" i="42"/>
  <c r="E16" i="36"/>
  <c r="D16" i="36"/>
  <c r="C16" i="36"/>
  <c r="F15" i="36"/>
  <c r="E15" i="36"/>
  <c r="D15" i="36"/>
  <c r="C15" i="36"/>
  <c r="B16" i="36"/>
  <c r="B15" i="36"/>
  <c r="D17" i="36"/>
  <c r="I17" i="36" s="1"/>
  <c r="C17" i="36"/>
  <c r="G16" i="36" s="1"/>
  <c r="B17" i="36"/>
  <c r="D14" i="36"/>
  <c r="C14" i="36"/>
  <c r="B14" i="36"/>
  <c r="D13" i="36"/>
  <c r="C13" i="36"/>
  <c r="B13" i="36"/>
  <c r="D12" i="36"/>
  <c r="C12" i="36"/>
  <c r="B12" i="36"/>
  <c r="D8" i="36"/>
  <c r="C8" i="36"/>
  <c r="B8" i="36"/>
  <c r="D7" i="36"/>
  <c r="C7" i="36"/>
  <c r="B7" i="36"/>
  <c r="I16" i="36" l="1"/>
  <c r="G15" i="36"/>
  <c r="I7" i="42"/>
  <c r="C3" i="42"/>
  <c r="C20" i="42"/>
  <c r="G19" i="36" l="1"/>
  <c r="L1" i="36"/>
  <c r="L2" i="36" s="1"/>
  <c r="N3" i="36" s="1"/>
  <c r="I15" i="36"/>
  <c r="G14" i="36"/>
  <c r="I14" i="36" s="1"/>
  <c r="H16" i="36"/>
  <c r="M16" i="36" s="1"/>
  <c r="G1" i="42"/>
  <c r="M7" i="42"/>
  <c r="E3" i="42"/>
  <c r="G2" i="42"/>
  <c r="G3" i="42" s="1"/>
  <c r="E54" i="14"/>
  <c r="E53" i="14"/>
  <c r="F16" i="36" s="1"/>
  <c r="E52" i="14"/>
  <c r="E57" i="14"/>
  <c r="J46" i="14"/>
  <c r="J45" i="14"/>
  <c r="J44" i="14"/>
  <c r="M9" i="42" l="1"/>
  <c r="M10" i="42"/>
  <c r="M11" i="42" s="1"/>
  <c r="M12" i="42" s="1"/>
  <c r="M13" i="42" s="1"/>
  <c r="M14" i="42" s="1"/>
  <c r="M15" i="42" s="1"/>
  <c r="M16" i="42" s="1"/>
  <c r="H15" i="36"/>
  <c r="M15" i="36" s="1"/>
  <c r="M8" i="42"/>
  <c r="G51" i="14"/>
  <c r="E51" i="14"/>
  <c r="D51" i="14" l="1"/>
  <c r="H14" i="36"/>
  <c r="G13" i="36"/>
  <c r="I13" i="36" s="1"/>
  <c r="N16" i="36"/>
  <c r="D11" i="30"/>
  <c r="C11" i="30"/>
  <c r="G10" i="30" s="1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18" i="30" l="1"/>
  <c r="I11" i="30"/>
  <c r="I18" i="30" s="1"/>
  <c r="H10" i="30" s="1"/>
  <c r="G9" i="30"/>
  <c r="G8" i="30" s="1"/>
  <c r="G7" i="30" s="1"/>
  <c r="H13" i="36"/>
  <c r="G12" i="36"/>
  <c r="N15" i="36"/>
  <c r="I12" i="36" l="1"/>
  <c r="G11" i="36"/>
  <c r="H11" i="36" s="1"/>
  <c r="Q12" i="36"/>
  <c r="Q11" i="36" s="1"/>
  <c r="H9" i="30"/>
  <c r="I10" i="30"/>
  <c r="H12" i="36"/>
  <c r="M12" i="36" s="1"/>
  <c r="N16" i="42"/>
  <c r="M17" i="42"/>
  <c r="M14" i="36"/>
  <c r="B13" i="28"/>
  <c r="D13" i="28"/>
  <c r="C13" i="28"/>
  <c r="G12" i="28" s="1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M11" i="36" l="1"/>
  <c r="N11" i="36" s="1"/>
  <c r="I11" i="36"/>
  <c r="G10" i="36"/>
  <c r="G9" i="36" s="1"/>
  <c r="G8" i="36" s="1"/>
  <c r="G7" i="36" s="1"/>
  <c r="D18" i="36"/>
  <c r="H10" i="36" s="1"/>
  <c r="H9" i="36" s="1"/>
  <c r="H8" i="30"/>
  <c r="I9" i="30"/>
  <c r="M18" i="42"/>
  <c r="M13" i="36"/>
  <c r="G11" i="28"/>
  <c r="G10" i="28" s="1"/>
  <c r="G9" i="28" s="1"/>
  <c r="G8" i="28" s="1"/>
  <c r="G7" i="28" s="1"/>
  <c r="C14" i="28" s="1"/>
  <c r="H7" i="30" l="1"/>
  <c r="I8" i="30"/>
  <c r="M11" i="28"/>
  <c r="I7" i="30" l="1"/>
  <c r="C18" i="30"/>
  <c r="I10" i="36"/>
  <c r="E91" i="14"/>
  <c r="G91" i="14"/>
  <c r="G90" i="14"/>
  <c r="D91" i="14" l="1"/>
  <c r="H8" i="36"/>
  <c r="I9" i="36"/>
  <c r="I8" i="36" l="1"/>
  <c r="H7" i="36"/>
  <c r="M13" i="28"/>
  <c r="H12" i="28"/>
  <c r="I13" i="28"/>
  <c r="H19" i="36" l="1"/>
  <c r="C18" i="36"/>
  <c r="C19" i="36" s="1"/>
  <c r="C3" i="36"/>
  <c r="I7" i="36"/>
  <c r="I12" i="28"/>
  <c r="H11" i="28"/>
  <c r="E50" i="14"/>
  <c r="D50" i="14" s="1"/>
  <c r="G50" i="14"/>
  <c r="D65" i="14"/>
  <c r="E64" i="14"/>
  <c r="D64" i="14" s="1"/>
  <c r="G2" i="36" l="1"/>
  <c r="G3" i="36" s="1"/>
  <c r="M8" i="36" s="1"/>
  <c r="M9" i="36" s="1"/>
  <c r="G1" i="36"/>
  <c r="E3" i="36"/>
  <c r="M7" i="36"/>
  <c r="D14" i="28"/>
  <c r="H10" i="28" s="1"/>
  <c r="M12" i="28"/>
  <c r="I11" i="28"/>
  <c r="G44" i="14"/>
  <c r="M10" i="36" l="1"/>
  <c r="H9" i="28"/>
  <c r="I10" i="28"/>
  <c r="F98" i="14"/>
  <c r="E98" i="14" s="1"/>
  <c r="F96" i="14"/>
  <c r="F15" i="14"/>
  <c r="F14" i="14"/>
  <c r="F19" i="14"/>
  <c r="F61" i="14"/>
  <c r="F60" i="14"/>
  <c r="F32" i="14"/>
  <c r="C3" i="30" l="1"/>
  <c r="C19" i="30"/>
  <c r="M10" i="28"/>
  <c r="I9" i="28"/>
  <c r="H8" i="28"/>
  <c r="G2" i="30" l="1"/>
  <c r="G3" i="30" s="1"/>
  <c r="G1" i="30"/>
  <c r="M8" i="30" s="1"/>
  <c r="M7" i="30"/>
  <c r="E3" i="30"/>
  <c r="H7" i="28"/>
  <c r="C15" i="28" s="1"/>
  <c r="I8" i="28"/>
  <c r="E90" i="14"/>
  <c r="D90" i="14" s="1"/>
  <c r="G60" i="14"/>
  <c r="G62" i="14"/>
  <c r="G98" i="14"/>
  <c r="G97" i="14"/>
  <c r="E96" i="14"/>
  <c r="G96" i="14"/>
  <c r="D98" i="14"/>
  <c r="E97" i="14"/>
  <c r="D97" i="14" s="1"/>
  <c r="G38" i="14"/>
  <c r="G36" i="14"/>
  <c r="G40" i="14"/>
  <c r="G39" i="14"/>
  <c r="G35" i="14"/>
  <c r="D35" i="14" s="1"/>
  <c r="D96" i="14" l="1"/>
  <c r="M9" i="30"/>
  <c r="M10" i="30"/>
  <c r="M11" i="30" s="1"/>
  <c r="M12" i="30" s="1"/>
  <c r="M8" i="28"/>
  <c r="I7" i="28"/>
  <c r="C3" i="28"/>
  <c r="M13" i="30" l="1"/>
  <c r="E3" i="28"/>
  <c r="G2" i="28"/>
  <c r="G3" i="28" s="1"/>
  <c r="G1" i="28"/>
  <c r="M7" i="28"/>
  <c r="M9" i="28"/>
  <c r="M15" i="30" l="1"/>
  <c r="N15" i="30" s="1"/>
  <c r="F58" i="14"/>
  <c r="M16" i="30" l="1"/>
  <c r="G59" i="14"/>
  <c r="G58" i="14"/>
  <c r="G32" i="14"/>
  <c r="M17" i="30" l="1"/>
  <c r="G45" i="14"/>
  <c r="G46" i="14"/>
  <c r="G11" i="14"/>
  <c r="E11" i="14"/>
  <c r="E14" i="14"/>
  <c r="D14" i="14" s="1"/>
  <c r="G14" i="14"/>
  <c r="D11" i="14" l="1"/>
  <c r="G31" i="14"/>
  <c r="E63" i="14"/>
  <c r="D63" i="14" s="1"/>
  <c r="E62" i="14"/>
  <c r="D62" i="14" s="1"/>
  <c r="E61" i="14"/>
  <c r="D61" i="14" s="1"/>
  <c r="E60" i="14"/>
  <c r="D60" i="14" s="1"/>
  <c r="E59" i="14"/>
  <c r="E58" i="14"/>
  <c r="E49" i="14"/>
  <c r="E46" i="14"/>
  <c r="E45" i="14"/>
  <c r="F14" i="59" s="1"/>
  <c r="N14" i="59" s="1"/>
  <c r="G49" i="14"/>
  <c r="E44" i="14"/>
  <c r="E40" i="14"/>
  <c r="F19" i="57" s="1"/>
  <c r="N19" i="57" s="1"/>
  <c r="E39" i="14"/>
  <c r="D39" i="14" s="1"/>
  <c r="E38" i="14"/>
  <c r="E36" i="14"/>
  <c r="E34" i="14"/>
  <c r="D33" i="14"/>
  <c r="E15" i="30" s="1"/>
  <c r="E32" i="14"/>
  <c r="D31" i="14"/>
  <c r="E30" i="14"/>
  <c r="G30" i="14"/>
  <c r="G29" i="14"/>
  <c r="G25" i="14"/>
  <c r="G24" i="14"/>
  <c r="G23" i="14"/>
  <c r="G22" i="14"/>
  <c r="G20" i="14"/>
  <c r="G19" i="14"/>
  <c r="G18" i="14"/>
  <c r="G17" i="14"/>
  <c r="G16" i="14"/>
  <c r="G15" i="14"/>
  <c r="G13" i="14"/>
  <c r="G28" i="14"/>
  <c r="E28" i="14"/>
  <c r="G21" i="14"/>
  <c r="E12" i="14"/>
  <c r="G12" i="14"/>
  <c r="E13" i="14"/>
  <c r="F9" i="59" s="1"/>
  <c r="N9" i="59" s="1"/>
  <c r="E15" i="14"/>
  <c r="F20" i="57" s="1"/>
  <c r="N20" i="57" s="1"/>
  <c r="E17" i="14"/>
  <c r="E18" i="14"/>
  <c r="E19" i="14"/>
  <c r="E20" i="14"/>
  <c r="E21" i="14"/>
  <c r="E22" i="14"/>
  <c r="E23" i="14"/>
  <c r="F8" i="59" s="1"/>
  <c r="N8" i="59" s="1"/>
  <c r="E24" i="14"/>
  <c r="F10" i="59" s="1"/>
  <c r="N10" i="59" s="1"/>
  <c r="E25" i="14"/>
  <c r="G10" i="14"/>
  <c r="F12" i="59" l="1"/>
  <c r="N12" i="59" s="1"/>
  <c r="F12" i="57"/>
  <c r="N12" i="57" s="1"/>
  <c r="F13" i="59"/>
  <c r="N13" i="59" s="1"/>
  <c r="F13" i="57"/>
  <c r="N13" i="57" s="1"/>
  <c r="D12" i="14"/>
  <c r="F11" i="59"/>
  <c r="N11" i="59" s="1"/>
  <c r="F11" i="57"/>
  <c r="N11" i="57" s="1"/>
  <c r="F10" i="57"/>
  <c r="N10" i="57" s="1"/>
  <c r="F8" i="57"/>
  <c r="N8" i="57" s="1"/>
  <c r="F14" i="57"/>
  <c r="N14" i="57" s="1"/>
  <c r="F9" i="57"/>
  <c r="N9" i="57" s="1"/>
  <c r="D40" i="14"/>
  <c r="E19" i="57" s="1"/>
  <c r="F16" i="30"/>
  <c r="N16" i="30" s="1"/>
  <c r="F17" i="42"/>
  <c r="N17" i="42" s="1"/>
  <c r="D20" i="14"/>
  <c r="F13" i="30"/>
  <c r="N13" i="30" s="1"/>
  <c r="F8" i="42"/>
  <c r="N8" i="42" s="1"/>
  <c r="F8" i="36"/>
  <c r="N8" i="36" s="1"/>
  <c r="F8" i="30"/>
  <c r="N8" i="30" s="1"/>
  <c r="F8" i="28"/>
  <c r="N8" i="28" s="1"/>
  <c r="D15" i="14"/>
  <c r="E20" i="57" s="1"/>
  <c r="F17" i="30"/>
  <c r="N17" i="30" s="1"/>
  <c r="F18" i="42"/>
  <c r="N18" i="42" s="1"/>
  <c r="D16" i="14"/>
  <c r="D32" i="14"/>
  <c r="F12" i="42"/>
  <c r="N12" i="42" s="1"/>
  <c r="F10" i="42"/>
  <c r="N10" i="42" s="1"/>
  <c r="F10" i="36"/>
  <c r="N10" i="36" s="1"/>
  <c r="F10" i="30"/>
  <c r="N10" i="30" s="1"/>
  <c r="F10" i="28"/>
  <c r="N10" i="28" s="1"/>
  <c r="D38" i="14"/>
  <c r="E15" i="42" s="1"/>
  <c r="F15" i="42"/>
  <c r="N15" i="42" s="1"/>
  <c r="D36" i="14"/>
  <c r="E14" i="42" s="1"/>
  <c r="F14" i="42"/>
  <c r="N14" i="42" s="1"/>
  <c r="E13" i="42"/>
  <c r="F13" i="42"/>
  <c r="N13" i="42" s="1"/>
  <c r="F17" i="36"/>
  <c r="N17" i="36" s="1"/>
  <c r="F13" i="36"/>
  <c r="N13" i="36" s="1"/>
  <c r="N12" i="30"/>
  <c r="F12" i="28"/>
  <c r="N12" i="28" s="1"/>
  <c r="D28" i="14"/>
  <c r="F11" i="42"/>
  <c r="N11" i="42" s="1"/>
  <c r="F12" i="36"/>
  <c r="N12" i="36" s="1"/>
  <c r="F11" i="30"/>
  <c r="N11" i="30" s="1"/>
  <c r="F11" i="28"/>
  <c r="N11" i="28" s="1"/>
  <c r="F9" i="42"/>
  <c r="N9" i="42" s="1"/>
  <c r="F9" i="36"/>
  <c r="N9" i="36" s="1"/>
  <c r="F9" i="30"/>
  <c r="N9" i="30" s="1"/>
  <c r="F9" i="28"/>
  <c r="N9" i="28" s="1"/>
  <c r="D17" i="14"/>
  <c r="F14" i="36"/>
  <c r="N14" i="36" s="1"/>
  <c r="F13" i="28"/>
  <c r="N13" i="28" s="1"/>
  <c r="F7" i="42"/>
  <c r="N7" i="42" s="1"/>
  <c r="F7" i="36"/>
  <c r="N7" i="36" s="1"/>
  <c r="F7" i="30"/>
  <c r="N7" i="30" s="1"/>
  <c r="F7" i="28"/>
  <c r="N7" i="28" s="1"/>
  <c r="D44" i="14"/>
  <c r="D45" i="14"/>
  <c r="E14" i="59" s="1"/>
  <c r="D29" i="14"/>
  <c r="E14" i="30" s="1"/>
  <c r="D49" i="14"/>
  <c r="D30" i="14"/>
  <c r="D46" i="14"/>
  <c r="D13" i="14"/>
  <c r="E9" i="59" s="1"/>
  <c r="D10" i="14"/>
  <c r="E7" i="59" s="1"/>
  <c r="J7" i="59" s="1"/>
  <c r="D34" i="14"/>
  <c r="D59" i="14"/>
  <c r="D58" i="14"/>
  <c r="D19" i="14"/>
  <c r="D25" i="14"/>
  <c r="D24" i="14"/>
  <c r="E10" i="59" s="1"/>
  <c r="D23" i="14"/>
  <c r="E8" i="59" s="1"/>
  <c r="D22" i="14"/>
  <c r="D18" i="14"/>
  <c r="D21" i="14"/>
  <c r="N20" i="59" l="1"/>
  <c r="N21" i="59" s="1"/>
  <c r="E12" i="59"/>
  <c r="E12" i="57"/>
  <c r="N18" i="36"/>
  <c r="N19" i="36" s="1"/>
  <c r="E13" i="59"/>
  <c r="E13" i="57"/>
  <c r="E11" i="59"/>
  <c r="E11" i="57"/>
  <c r="K7" i="59"/>
  <c r="J8" i="59"/>
  <c r="N21" i="57"/>
  <c r="N22" i="57" s="1"/>
  <c r="E10" i="57"/>
  <c r="E8" i="57"/>
  <c r="E7" i="57"/>
  <c r="J7" i="57" s="1"/>
  <c r="E14" i="57"/>
  <c r="E9" i="57"/>
  <c r="E12" i="42"/>
  <c r="E8" i="42"/>
  <c r="E8" i="36"/>
  <c r="E8" i="30"/>
  <c r="E8" i="28"/>
  <c r="E10" i="42"/>
  <c r="E10" i="36"/>
  <c r="E10" i="30"/>
  <c r="E10" i="28"/>
  <c r="E13" i="30"/>
  <c r="E17" i="30"/>
  <c r="E18" i="42"/>
  <c r="E16" i="30"/>
  <c r="E17" i="42"/>
  <c r="E17" i="36"/>
  <c r="E12" i="36"/>
  <c r="E11" i="42"/>
  <c r="E11" i="28"/>
  <c r="E11" i="30"/>
  <c r="E13" i="36"/>
  <c r="E12" i="28"/>
  <c r="E9" i="42"/>
  <c r="E9" i="36"/>
  <c r="E9" i="30"/>
  <c r="E9" i="28"/>
  <c r="N18" i="30"/>
  <c r="N19" i="30" s="1"/>
  <c r="N19" i="42"/>
  <c r="N20" i="42" s="1"/>
  <c r="N14" i="28"/>
  <c r="N15" i="28" s="1"/>
  <c r="E14" i="36"/>
  <c r="E13" i="28"/>
  <c r="E7" i="42"/>
  <c r="J7" i="42" s="1"/>
  <c r="K7" i="42" s="1"/>
  <c r="O7" i="42" s="1"/>
  <c r="E7" i="36"/>
  <c r="J7" i="36" s="1"/>
  <c r="E7" i="30"/>
  <c r="J7" i="30" s="1"/>
  <c r="E7" i="28"/>
  <c r="J7" i="28" s="1"/>
  <c r="J9" i="59" l="1"/>
  <c r="K8" i="59"/>
  <c r="J8" i="57"/>
  <c r="K8" i="57" s="1"/>
  <c r="K7" i="57"/>
  <c r="O7" i="57" s="1"/>
  <c r="J8" i="42"/>
  <c r="K8" i="42" s="1"/>
  <c r="O8" i="42" s="1"/>
  <c r="J8" i="28"/>
  <c r="K7" i="28"/>
  <c r="J8" i="30"/>
  <c r="K7" i="30"/>
  <c r="O7" i="30" s="1"/>
  <c r="K7" i="36"/>
  <c r="J8" i="36"/>
  <c r="K9" i="59" l="1"/>
  <c r="J10" i="59"/>
  <c r="O8" i="57"/>
  <c r="J9" i="57"/>
  <c r="K8" i="30"/>
  <c r="O8" i="30" s="1"/>
  <c r="J9" i="30"/>
  <c r="J9" i="42"/>
  <c r="K9" i="42" s="1"/>
  <c r="O9" i="42" s="1"/>
  <c r="J9" i="36"/>
  <c r="K8" i="36"/>
  <c r="K8" i="28"/>
  <c r="J9" i="28"/>
  <c r="K10" i="59" l="1"/>
  <c r="J11" i="59"/>
  <c r="K9" i="57"/>
  <c r="O9" i="57" s="1"/>
  <c r="J10" i="57"/>
  <c r="J10" i="30"/>
  <c r="K9" i="30"/>
  <c r="O9" i="30" s="1"/>
  <c r="J10" i="42"/>
  <c r="J11" i="42" s="1"/>
  <c r="J12" i="42" s="1"/>
  <c r="J10" i="36"/>
  <c r="K9" i="36"/>
  <c r="J10" i="28"/>
  <c r="K9" i="28"/>
  <c r="J11" i="36" l="1"/>
  <c r="J12" i="36" s="1"/>
  <c r="K12" i="36" s="1"/>
  <c r="J12" i="59"/>
  <c r="K11" i="59"/>
  <c r="K10" i="57"/>
  <c r="O10" i="57" s="1"/>
  <c r="J11" i="57"/>
  <c r="K10" i="30"/>
  <c r="O10" i="30" s="1"/>
  <c r="J11" i="30"/>
  <c r="K10" i="42"/>
  <c r="O10" i="42" s="1"/>
  <c r="J13" i="42"/>
  <c r="K12" i="42"/>
  <c r="K11" i="42"/>
  <c r="K10" i="36"/>
  <c r="K10" i="28"/>
  <c r="J11" i="28"/>
  <c r="K11" i="36" l="1"/>
  <c r="K12" i="59"/>
  <c r="J13" i="59"/>
  <c r="K11" i="57"/>
  <c r="O11" i="57" s="1"/>
  <c r="J12" i="57"/>
  <c r="J12" i="30"/>
  <c r="K11" i="30"/>
  <c r="K19" i="30" s="1"/>
  <c r="O11" i="42"/>
  <c r="O12" i="42"/>
  <c r="J14" i="42"/>
  <c r="K13" i="42"/>
  <c r="O13" i="42" s="1"/>
  <c r="J12" i="28"/>
  <c r="K11" i="28"/>
  <c r="J13" i="36"/>
  <c r="J14" i="59" l="1"/>
  <c r="J15" i="59" s="1"/>
  <c r="K13" i="59"/>
  <c r="K12" i="57"/>
  <c r="O12" i="57" s="1"/>
  <c r="J13" i="57"/>
  <c r="O11" i="30"/>
  <c r="J13" i="30"/>
  <c r="K12" i="30"/>
  <c r="O12" i="30" s="1"/>
  <c r="J15" i="42"/>
  <c r="J16" i="42" s="1"/>
  <c r="K14" i="42"/>
  <c r="O14" i="42" s="1"/>
  <c r="J13" i="28"/>
  <c r="K13" i="28" s="1"/>
  <c r="K12" i="28"/>
  <c r="J14" i="36"/>
  <c r="K13" i="36"/>
  <c r="J16" i="59" l="1"/>
  <c r="K15" i="59"/>
  <c r="K14" i="59"/>
  <c r="J15" i="36"/>
  <c r="J14" i="57"/>
  <c r="K13" i="57"/>
  <c r="O13" i="57" s="1"/>
  <c r="J14" i="30"/>
  <c r="K13" i="30"/>
  <c r="O13" i="30" s="1"/>
  <c r="J17" i="42"/>
  <c r="K16" i="42"/>
  <c r="K20" i="42" s="1"/>
  <c r="K15" i="42"/>
  <c r="O15" i="42" s="1"/>
  <c r="K14" i="28"/>
  <c r="O12" i="28" s="1"/>
  <c r="K14" i="36"/>
  <c r="J17" i="59" l="1"/>
  <c r="K16" i="59"/>
  <c r="K14" i="57"/>
  <c r="O14" i="57" s="1"/>
  <c r="J15" i="57"/>
  <c r="J15" i="30"/>
  <c r="K14" i="30"/>
  <c r="O14" i="30" s="1"/>
  <c r="O16" i="42"/>
  <c r="J18" i="42"/>
  <c r="K18" i="42" s="1"/>
  <c r="K17" i="42"/>
  <c r="O17" i="42" s="1"/>
  <c r="J16" i="36"/>
  <c r="K15" i="36"/>
  <c r="K15" i="28"/>
  <c r="O7" i="28"/>
  <c r="O8" i="28"/>
  <c r="O9" i="28"/>
  <c r="O10" i="28"/>
  <c r="O11" i="28"/>
  <c r="O13" i="28"/>
  <c r="J18" i="59" l="1"/>
  <c r="K17" i="59"/>
  <c r="J17" i="36"/>
  <c r="J16" i="57"/>
  <c r="K15" i="57"/>
  <c r="O15" i="57" s="1"/>
  <c r="K15" i="30"/>
  <c r="O15" i="30" s="1"/>
  <c r="J16" i="30"/>
  <c r="K19" i="42"/>
  <c r="O18" i="42"/>
  <c r="O19" i="42" s="1"/>
  <c r="K16" i="36"/>
  <c r="K18" i="59" l="1"/>
  <c r="J19" i="59"/>
  <c r="O18" i="59" s="1"/>
  <c r="O17" i="36"/>
  <c r="O7" i="36"/>
  <c r="O8" i="36"/>
  <c r="O9" i="36"/>
  <c r="O10" i="36"/>
  <c r="O12" i="36"/>
  <c r="O11" i="36"/>
  <c r="O13" i="36"/>
  <c r="O14" i="36"/>
  <c r="O15" i="36"/>
  <c r="O16" i="36"/>
  <c r="K16" i="57"/>
  <c r="J17" i="57"/>
  <c r="J17" i="30"/>
  <c r="K17" i="30" s="1"/>
  <c r="K16" i="30"/>
  <c r="O16" i="30" s="1"/>
  <c r="O19" i="59" l="1"/>
  <c r="O15" i="59"/>
  <c r="O11" i="59"/>
  <c r="O12" i="59"/>
  <c r="O13" i="59"/>
  <c r="K19" i="59"/>
  <c r="K20" i="59" s="1"/>
  <c r="K21" i="59" s="1"/>
  <c r="O14" i="59"/>
  <c r="O7" i="59"/>
  <c r="O8" i="59"/>
  <c r="O10" i="59"/>
  <c r="O9" i="59"/>
  <c r="O16" i="59"/>
  <c r="O17" i="59"/>
  <c r="O18" i="36"/>
  <c r="K22" i="57"/>
  <c r="O16" i="57"/>
  <c r="J18" i="57"/>
  <c r="K17" i="57"/>
  <c r="O17" i="57" s="1"/>
  <c r="O17" i="30"/>
  <c r="O18" i="30" s="1"/>
  <c r="K18" i="30"/>
  <c r="K17" i="36"/>
  <c r="O20" i="59" l="1"/>
  <c r="K18" i="36"/>
  <c r="K19" i="36"/>
  <c r="J19" i="57"/>
  <c r="K18" i="57"/>
  <c r="O18" i="57" s="1"/>
  <c r="J20" i="57" l="1"/>
  <c r="K20" i="57" s="1"/>
  <c r="K19" i="57"/>
  <c r="O19" i="57" s="1"/>
  <c r="O20" i="57" l="1"/>
  <c r="K21" i="57"/>
  <c r="O21" i="57"/>
</calcChain>
</file>

<file path=xl/sharedStrings.xml><?xml version="1.0" encoding="utf-8"?>
<sst xmlns="http://schemas.openxmlformats.org/spreadsheetml/2006/main" count="592" uniqueCount="258">
  <si>
    <t>Efficiency</t>
  </si>
  <si>
    <t>W [kWh/kWh]</t>
  </si>
  <si>
    <t>Cost [CHF/kWh]</t>
  </si>
  <si>
    <t>CAPEX [CHF]</t>
  </si>
  <si>
    <t>Lifetime [y]</t>
  </si>
  <si>
    <t>Power [kW]</t>
  </si>
  <si>
    <t>Capacity [kWh]</t>
  </si>
  <si>
    <t>PV</t>
  </si>
  <si>
    <t>Battery</t>
  </si>
  <si>
    <t>Hydro pump</t>
  </si>
  <si>
    <t>Lake</t>
  </si>
  <si>
    <t>Hydro Turb</t>
  </si>
  <si>
    <t>Charger</t>
  </si>
  <si>
    <t>Pb-Battery</t>
  </si>
  <si>
    <t>Li-Battery</t>
  </si>
  <si>
    <t>E-Motor</t>
  </si>
  <si>
    <t>HYDROGEN</t>
  </si>
  <si>
    <t>Electrolyzer</t>
  </si>
  <si>
    <t>Metal hydride</t>
  </si>
  <si>
    <t>Hydrogen Transport</t>
  </si>
  <si>
    <t>Filling Station</t>
  </si>
  <si>
    <t>Hydrogen Tank</t>
  </si>
  <si>
    <t>Liquifaction</t>
  </si>
  <si>
    <t>Ship transport</t>
  </si>
  <si>
    <t>Liquid to gas</t>
  </si>
  <si>
    <t>Fuel Cell</t>
  </si>
  <si>
    <t>SYN. FUEL</t>
  </si>
  <si>
    <t>CO2 Storage</t>
  </si>
  <si>
    <t>FT-Synthesis</t>
  </si>
  <si>
    <t>Fuel Tank</t>
  </si>
  <si>
    <t>Fuel Taransport</t>
  </si>
  <si>
    <t>Fueling Station</t>
  </si>
  <si>
    <t>Fuel Tank mob.</t>
  </si>
  <si>
    <t>ICE</t>
  </si>
  <si>
    <t>Transmission</t>
  </si>
  <si>
    <t>Imported electricity</t>
  </si>
  <si>
    <t>Electricity</t>
  </si>
  <si>
    <t>Converter AC/DC</t>
  </si>
  <si>
    <t>Inverter DC/AC</t>
  </si>
  <si>
    <t>Efficiency [%]</t>
  </si>
  <si>
    <t>W [kWh]</t>
  </si>
  <si>
    <t>Cost/W [CHF/kWh]</t>
  </si>
  <si>
    <t>Cost cum [CHF]</t>
  </si>
  <si>
    <t>Cost/Wcum [CHF/kWh]</t>
  </si>
  <si>
    <t>Efficiency [%]:</t>
  </si>
  <si>
    <t>Area [m2]:</t>
  </si>
  <si>
    <t>Converter</t>
  </si>
  <si>
    <t>NaS</t>
  </si>
  <si>
    <t>Investment [CHF/kW]</t>
  </si>
  <si>
    <t>per year</t>
  </si>
  <si>
    <t>Solar concentrator</t>
  </si>
  <si>
    <t>CO2 Capture &gt;10%</t>
  </si>
  <si>
    <t>CO2 Capture 400 ppm</t>
  </si>
  <si>
    <t>External costs</t>
  </si>
  <si>
    <t>Interest:</t>
  </si>
  <si>
    <t>Electrical components</t>
  </si>
  <si>
    <t>Cycle No [Cycles]</t>
  </si>
  <si>
    <t>CAPEX [CHF/kWp]</t>
  </si>
  <si>
    <t>OPEX [CHF/(kWp·y)]</t>
  </si>
  <si>
    <t>Pavg/Pp [1]</t>
  </si>
  <si>
    <t>Wind (onshore)</t>
  </si>
  <si>
    <t>Reference</t>
  </si>
  <si>
    <t>https://www.solarchoice.net.au/blog/solar-power-system-prices</t>
  </si>
  <si>
    <t>Wind (offshore)</t>
  </si>
  <si>
    <t>https://www.swissgrid.ch/dam/swissgrid/projects/project-overview/220517-flyer-de.pdf</t>
  </si>
  <si>
    <t>https://wedocs.unep.org/bitstream/handle/20.500.11822/27402/ALAB.pdf?sequence=1&amp;isAllowed=y</t>
  </si>
  <si>
    <t>I. Tsiropoulos, D. Tarvydas and A. Zucker, Cost development of low carbon energy technologies, Jrc, european commission technical report, 2018.</t>
  </si>
  <si>
    <t>https://en.wikipedia.org/wiki/Cost_of_electricity_by_source</t>
  </si>
  <si>
    <t>A. ButtlerandH.Spliethoff,RenewableandSustainableEnergy Reviews, 2018, 82, 2440–2454.</t>
  </si>
  <si>
    <t>Solar Intensity:</t>
  </si>
  <si>
    <t>kWh/m2</t>
  </si>
  <si>
    <t>Ammonia</t>
  </si>
  <si>
    <t>N2 separation</t>
  </si>
  <si>
    <t>Ammonia liquifaction</t>
  </si>
  <si>
    <t>Ammonia storage</t>
  </si>
  <si>
    <t>Ammonia cracking</t>
  </si>
  <si>
    <t>Grid 10km</t>
  </si>
  <si>
    <t>Grid 100 km</t>
  </si>
  <si>
    <t>Grid 1000 km</t>
  </si>
  <si>
    <t>Size unit</t>
  </si>
  <si>
    <t>Auxillary power</t>
  </si>
  <si>
    <t>Area fac.:</t>
  </si>
  <si>
    <t>Wel. [kWh]</t>
  </si>
  <si>
    <t>1 kg CO2</t>
  </si>
  <si>
    <t>5.4 kWh</t>
  </si>
  <si>
    <t>Avg. P [kW] =</t>
  </si>
  <si>
    <t>PeakP [kW] =</t>
  </si>
  <si>
    <t>Max. avg P =</t>
  </si>
  <si>
    <t>Grid surface (100 km)</t>
  </si>
  <si>
    <t>Grid underground (100 km)</t>
  </si>
  <si>
    <t>Energy H2 for CO2</t>
  </si>
  <si>
    <t>kWh/kg</t>
  </si>
  <si>
    <t>https://cyberswitching.com/how-much-does-a-charging-station-for-electric-cars-cost/#costofEvcs</t>
  </si>
  <si>
    <t>https://www.ngk-insulators.com/en/resource/pdf/info/financial_times.pdf</t>
  </si>
  <si>
    <t>https://ch.wiautomation.com/en/allen-bradley/drives-motors-circuits-protection/20AC3P5A0AYNANC0</t>
  </si>
  <si>
    <t>https://www.dslengineering.co.uk/downloads/electric-motors.pdf</t>
  </si>
  <si>
    <t>https://www.newsd.admin.ch/newsd/message/attachments/73764.pdf</t>
  </si>
  <si>
    <t>Charles Johnston, Muhammad Haider Ali Khan, Rose Amal, Rahman Daiyan, Iain MacGill, "Shipping the sunshine: An open-source model for costing renewable hydrogen transport from Australia", International Journal of Hydrogen Energy, Volume 47, Issue 47, (2022), Pages 20362-20377</t>
  </si>
  <si>
    <t>https://www.swissgrid.ch/en/home.html</t>
  </si>
  <si>
    <t>https://puritygas.ca/knowledge-center/how-much-should-you-be-paying-for-nitrogen-gas/</t>
  </si>
  <si>
    <t>https://www.ammoniaenergy.org/articles/the-cost-of-co2-free-ammonia/</t>
  </si>
  <si>
    <t>https://de.wikipedia.org/wiki/Crescent_Dunes_Solar_Energy_Project</t>
  </si>
  <si>
    <t>Size [kW or kWh]</t>
  </si>
  <si>
    <t>Area real [m2]:</t>
  </si>
  <si>
    <t xml:space="preserve">Fuel [CHF/L] = </t>
  </si>
  <si>
    <t xml:space="preserve">CAPEX [CHF] = </t>
  </si>
  <si>
    <t xml:space="preserve">Efficiency = </t>
  </si>
  <si>
    <t>W [kWh·y-1] =</t>
  </si>
  <si>
    <t>Pp [kW] =</t>
  </si>
  <si>
    <t>C [kWh] =</t>
  </si>
  <si>
    <t>Biomass</t>
  </si>
  <si>
    <t>Wood</t>
  </si>
  <si>
    <t>Sugar</t>
  </si>
  <si>
    <t>Biooil</t>
  </si>
  <si>
    <t>Pyrolysis</t>
  </si>
  <si>
    <t>Cracking</t>
  </si>
  <si>
    <t>Fermentation</t>
  </si>
  <si>
    <t>Oligomerisation</t>
  </si>
  <si>
    <t>CO2 Capture</t>
  </si>
  <si>
    <t xml:space="preserve">Ioanna Dimitriou, Harry Goldingay, Anthony V. Bridgwater, "Techno-economic and uncertainty analysis of Biomass to Liquid (BTL) systems for transport fuel production", Renewable and Sustainable Energy Reviews 88 (2018) 160–175 </t>
  </si>
  <si>
    <t>Ilkka Hannula, Noora Kaisalo and Pekka Simell, "Preparation of Synthesis Gas from CO2 for Fischer–Tropsch Synthesis—Comparison of Alternative Process Configurations", Journal of Carbon Research C 2020, 6, 55; doi:10.3390/c6030055</t>
  </si>
  <si>
    <t>Stefan Zoller, Erik Koepf, Dustin Nizamian, Marco Stephan, Adriano Patane, Philipp Haueter, Manuel Romero, Jose ́ Gonza ́ lez-Aguilar, Dick Lieftink, Ellart de Wit, Stefan Brendelberger, Andreas Sizmann, and Aldo Steinfeld, "A solar tower fuel plant for the thermochemical production of kerosene from H2O and CO2", Joule 6, 1606–1616</t>
  </si>
  <si>
    <t>Steam generator</t>
  </si>
  <si>
    <t>Gas Turbine</t>
  </si>
  <si>
    <t>Selective Synthesis</t>
  </si>
  <si>
    <r>
      <t xml:space="preserve">Collis J, Duch K and Schomäcker R (2022), Techno-economic assessment of jet fuel production using the Fischer- Tropsch process from steel mill gas. </t>
    </r>
    <r>
      <rPr>
        <sz val="7"/>
        <color rgb="FF161C1C"/>
        <rFont val="AdvOTd168d80a.I"/>
      </rPr>
      <t xml:space="preserve">Front. Energy Res. </t>
    </r>
    <r>
      <rPr>
        <sz val="7"/>
        <color rgb="FF161C1C"/>
        <rFont val="AdvOT9b12cd41"/>
      </rPr>
      <t>10:1049229.</t>
    </r>
  </si>
  <si>
    <t xml:space="preserve">doi: 10.3389/fenrg.2022.1049229 </t>
  </si>
  <si>
    <t>Int. [kWh/(y·m2)]:</t>
  </si>
  <si>
    <t>Solar concentrator steam</t>
  </si>
  <si>
    <t>Solar concentrator salt</t>
  </si>
  <si>
    <t xml:space="preserve">Fuel [CHF/kgH2] = </t>
  </si>
  <si>
    <t>Cost fraction</t>
  </si>
  <si>
    <t>PV, Battery, Electrolysis, comp. H2</t>
  </si>
  <si>
    <t xml:space="preserve">H2 [CHF/kg] = </t>
  </si>
  <si>
    <t>Steam reforming</t>
  </si>
  <si>
    <t>Refining</t>
  </si>
  <si>
    <t>Cost cont.</t>
  </si>
  <si>
    <t>1 kg -HCOH-</t>
  </si>
  <si>
    <t>1 kg CH4</t>
  </si>
  <si>
    <t>1 kg CH2-O</t>
  </si>
  <si>
    <t>-HCOH-</t>
  </si>
  <si>
    <t>0.159 kWh</t>
  </si>
  <si>
    <t>H2</t>
  </si>
  <si>
    <t>0.0788 kWh</t>
  </si>
  <si>
    <t>-CH2</t>
  </si>
  <si>
    <t>0.14 kWh</t>
  </si>
  <si>
    <t>0.2378 kWh</t>
  </si>
  <si>
    <t>Chaudhary Awais Salman, "Techno-economic analysis of wood pyrolysis in Sweden", Master of Science Thesis EGI-2014-088MSC EKV1054 · November 2014</t>
  </si>
  <si>
    <t>https://www.macrotrends.net/2537/sugar-prices-historical-chart-data</t>
  </si>
  <si>
    <t>https://tradingeconomics.com/commodity/palm-oil</t>
  </si>
  <si>
    <t>https://tradingeconomics.com/commodity/natural-gas</t>
  </si>
  <si>
    <t>Dry reforming</t>
  </si>
  <si>
    <t>Liquid storage</t>
  </si>
  <si>
    <t>Hydrogen production with PV</t>
  </si>
  <si>
    <t>Import of hydrogen from Australia</t>
  </si>
  <si>
    <t>Methane</t>
  </si>
  <si>
    <t>Sabatier reaction</t>
  </si>
  <si>
    <t>Methane compression</t>
  </si>
  <si>
    <t>Methane liquifaction</t>
  </si>
  <si>
    <t>Methane transport</t>
  </si>
  <si>
    <t>Compressor 30-200bar</t>
  </si>
  <si>
    <t>Pipeline</t>
  </si>
  <si>
    <t>H2 Storage UG 200bar</t>
  </si>
  <si>
    <t>Auxillary:</t>
  </si>
  <si>
    <t>Biogas purification</t>
  </si>
  <si>
    <t>CH4 storage 200bar</t>
  </si>
  <si>
    <t>Biogas  (50% CH4)</t>
  </si>
  <si>
    <t xml:space="preserve">CH4 [CHF/kg] = </t>
  </si>
  <si>
    <t xml:space="preserve">CO2 </t>
  </si>
  <si>
    <t xml:space="preserve">CH4 </t>
  </si>
  <si>
    <t>[kg/y]</t>
  </si>
  <si>
    <t>Combined cycle power plant</t>
  </si>
  <si>
    <t>Ammonia shipping</t>
  </si>
  <si>
    <t>N2,H2 compression</t>
  </si>
  <si>
    <t>NH3 synthesis</t>
  </si>
  <si>
    <t>PV, Battery, H2, CO2, Sabatier</t>
  </si>
  <si>
    <t>Methanol reactor</t>
  </si>
  <si>
    <t>H2, CO2 compression</t>
  </si>
  <si>
    <t>Methanol condensation</t>
  </si>
  <si>
    <t>Water condensation</t>
  </si>
  <si>
    <t>Desalination</t>
  </si>
  <si>
    <t>Reverse Osmosis</t>
  </si>
  <si>
    <t>Palm oil</t>
  </si>
  <si>
    <t>Karoch oil</t>
  </si>
  <si>
    <t>Water:</t>
  </si>
  <si>
    <t>L/(m2·y)</t>
  </si>
  <si>
    <t>E(H2/oil):</t>
  </si>
  <si>
    <t>kWh/m3</t>
  </si>
  <si>
    <t>Oil kg/(m2·y):</t>
  </si>
  <si>
    <t>Bio Area [m2] =</t>
  </si>
  <si>
    <t>m(Bio oil) [kg/y] =</t>
  </si>
  <si>
    <t>Energy:</t>
  </si>
  <si>
    <t>kWh/y</t>
  </si>
  <si>
    <t>L water</t>
  </si>
  <si>
    <t>kWh</t>
  </si>
  <si>
    <t xml:space="preserve">CH3OH [CHF/kg] = </t>
  </si>
  <si>
    <t>PV, Battery, H2, CO2, Methanol Reactor</t>
  </si>
  <si>
    <t>Heat Values of Various Fuels</t>
  </si>
  <si>
    <t>Heat value</t>
  </si>
  <si>
    <t>Hydrogen (H2)</t>
  </si>
  <si>
    <t>120-142 MJ/kg</t>
  </si>
  <si>
    <t>Methane (CH4)</t>
  </si>
  <si>
    <t>50-55 MJ/kg</t>
  </si>
  <si>
    <t>Methanol (CH3OH)</t>
  </si>
  <si>
    <t>22.7 MJ/kg</t>
  </si>
  <si>
    <t>Dimethyl ether - DME (CH3OCH3)</t>
  </si>
  <si>
    <t>29 MJ/kg</t>
  </si>
  <si>
    <t>Petrol/gasoline</t>
  </si>
  <si>
    <t>44-46 MJ/kg</t>
  </si>
  <si>
    <t>Diesel fuel</t>
  </si>
  <si>
    <t>42-46 MJ/kg</t>
  </si>
  <si>
    <t>Crude oil</t>
  </si>
  <si>
    <t>42-47 MJ/kg</t>
  </si>
  <si>
    <t>Liquefied petroleum gas (LPG)</t>
  </si>
  <si>
    <t>46-51 MJ/kg</t>
  </si>
  <si>
    <t>Natural gas</t>
  </si>
  <si>
    <t>42-55 MJ/kg</t>
  </si>
  <si>
    <t>Hard black coal (IEA definition)</t>
  </si>
  <si>
    <t>&gt;23.9 MJ/kg</t>
  </si>
  <si>
    <t>  Hard black coal (Australia &amp; Canada)</t>
  </si>
  <si>
    <t>c. 25 MJ/kg</t>
  </si>
  <si>
    <t>Sub-bituminous coal (IEA definition)</t>
  </si>
  <si>
    <t>17.4-23.9 MJ/kg</t>
  </si>
  <si>
    <t>  Sub-bituminous coal (Australia &amp; Canada)</t>
  </si>
  <si>
    <t>c. 18 MJ/kg</t>
  </si>
  <si>
    <t>Lignite/brown coal (IEA definition)</t>
  </si>
  <si>
    <t>&lt;17.4 MJ/kg</t>
  </si>
  <si>
    <t>  Lignite/brown coal (Australia, electricity)</t>
  </si>
  <si>
    <t>c. 10 MJ/kg</t>
  </si>
  <si>
    <t>Firewood (dry)</t>
  </si>
  <si>
    <t>16 MJ/kg</t>
  </si>
  <si>
    <t>Natural uranium, in LWR (normal reactor)</t>
  </si>
  <si>
    <t>500 GJ/kg</t>
  </si>
  <si>
    <t>Natural uranium, in LWR with U &amp; Pu recycle</t>
  </si>
  <si>
    <t>650 GJ/kg</t>
  </si>
  <si>
    <t>Natural uranium, in FNR</t>
  </si>
  <si>
    <t>28,000 GJ/kg</t>
  </si>
  <si>
    <t>Uranium enriched to 3.5%, in LWR</t>
  </si>
  <si>
    <t>3900 GJ/kg</t>
  </si>
  <si>
    <t>Uranium figures are based on 45,000 MWd/t burn-up of 3.5% enriched U in LWR</t>
  </si>
  <si>
    <t>MJ to kWh @ 33% efficiency: x 0.0926 </t>
  </si>
  <si>
    <t>One tonne of oil equivalent (toe) is equal to 41.868 GJ</t>
  </si>
  <si>
    <t>Notes &amp; references</t>
  </si>
  <si>
    <t>General sources</t>
  </si>
  <si>
    <t>NIST Chemistry WebBook</t>
  </si>
  <si>
    <t>OECD/IEA Electricity Information (various editions)</t>
  </si>
  <si>
    <t>International Gas Union, Natural Gas Conversion Guide</t>
  </si>
  <si>
    <t>MJ = 106 Joule, GJ = 109 J</t>
  </si>
  <si>
    <r>
      <t>The heat value of a fuel is the amount of heat released during its combustion. Also referred to as energy or calorific value, heat value is a measure of a fuel's energy density, and is expressed in energy (joules) per specified amount (</t>
    </r>
    <r>
      <rPr>
        <i/>
        <sz val="12"/>
        <color theme="1"/>
        <rFont val="Arial"/>
        <family val="2"/>
      </rPr>
      <t>e.g.</t>
    </r>
    <r>
      <rPr>
        <sz val="12"/>
        <color theme="1"/>
        <rFont val="Arial"/>
        <family val="2"/>
      </rPr>
      <t> kilograms).</t>
    </r>
  </si>
  <si>
    <t>CH3OH</t>
  </si>
  <si>
    <t>https://world-nuclear.org/information-library/facts-and-figures/heat-values-of-various-fuels.aspx</t>
  </si>
  <si>
    <t>CO2 + 3H2 -&gt; CH3OH +H2O</t>
  </si>
  <si>
    <t>Methanol Tank</t>
  </si>
  <si>
    <t>PV, Desalination, Hydrogen, Biooil, Cracking</t>
  </si>
  <si>
    <t>Water L/(m2·y)</t>
  </si>
  <si>
    <t>Fuel [CHF/L]</t>
  </si>
  <si>
    <t>PV Area real [km2]</t>
  </si>
  <si>
    <t>CAPEX [MCHF]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</si>
</sst>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5">
    <font>
      <sz val="12"/>
      <color theme="1"/>
      <name val="Calibri"/>
      <family val="2"/>
    </font>
    <font>
      <sz val="12"/>
      <color theme="0"/>
      <name val="Calibri"/>
      <family val="2"/>
    </font>
    <font>
      <i/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</font>
    <font>
      <sz val="7"/>
      <color rgb="FF161C1C"/>
      <name val="AdvOT9b12cd41"/>
    </font>
    <font>
      <sz val="7"/>
      <color rgb="FF161C1C"/>
      <name val="AdvOTd168d80a.I"/>
    </font>
    <font>
      <sz val="12"/>
      <color theme="4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</font>
    <font>
      <sz val="9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9" fontId="0" fillId="0" borderId="0" xfId="0" applyNumberFormat="1"/>
    <xf numFmtId="0" fontId="1" fillId="2" borderId="0" xfId="0" applyFont="1" applyFill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2" xfId="0" applyBorder="1"/>
    <xf numFmtId="2" fontId="0" fillId="0" borderId="1" xfId="0" applyNumberFormat="1" applyBorder="1"/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3" borderId="0" xfId="0" applyFill="1"/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0" fillId="0" borderId="2" xfId="0" applyNumberFormat="1" applyBorder="1"/>
    <xf numFmtId="164" fontId="0" fillId="0" borderId="2" xfId="0" applyNumberFormat="1" applyBorder="1"/>
    <xf numFmtId="11" fontId="0" fillId="0" borderId="0" xfId="0" applyNumberFormat="1"/>
    <xf numFmtId="165" fontId="0" fillId="0" borderId="2" xfId="0" applyNumberFormat="1" applyBorder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4" fillId="3" borderId="0" xfId="0" applyFont="1" applyFill="1"/>
    <xf numFmtId="2" fontId="4" fillId="3" borderId="0" xfId="0" applyNumberFormat="1" applyFont="1" applyFill="1" applyAlignment="1">
      <alignment horizontal="left"/>
    </xf>
    <xf numFmtId="164" fontId="4" fillId="3" borderId="0" xfId="0" applyNumberFormat="1" applyFont="1" applyFill="1"/>
    <xf numFmtId="1" fontId="4" fillId="3" borderId="0" xfId="0" applyNumberFormat="1" applyFont="1" applyFill="1"/>
    <xf numFmtId="0" fontId="5" fillId="0" borderId="0" xfId="0" applyFont="1"/>
    <xf numFmtId="2" fontId="0" fillId="0" borderId="0" xfId="0" applyNumberFormat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0" fillId="0" borderId="0" xfId="0" applyNumberFormat="1"/>
    <xf numFmtId="9" fontId="0" fillId="4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0" borderId="0" xfId="0" quotePrefix="1"/>
    <xf numFmtId="2" fontId="7" fillId="0" borderId="0" xfId="0" applyNumberFormat="1" applyFont="1"/>
    <xf numFmtId="1" fontId="7" fillId="0" borderId="0" xfId="0" applyNumberFormat="1" applyFont="1"/>
    <xf numFmtId="167" fontId="7" fillId="0" borderId="0" xfId="0" applyNumberFormat="1" applyFont="1"/>
    <xf numFmtId="0" fontId="7" fillId="0" borderId="0" xfId="0" applyFont="1"/>
    <xf numFmtId="3" fontId="4" fillId="3" borderId="0" xfId="0" applyNumberFormat="1" applyFont="1" applyFill="1"/>
    <xf numFmtId="2" fontId="4" fillId="0" borderId="0" xfId="0" applyNumberFormat="1" applyFont="1" applyAlignment="1">
      <alignment horizontal="center"/>
    </xf>
    <xf numFmtId="167" fontId="0" fillId="0" borderId="2" xfId="0" applyNumberFormat="1" applyBorder="1"/>
    <xf numFmtId="3" fontId="0" fillId="0" borderId="2" xfId="0" applyNumberFormat="1" applyBorder="1"/>
    <xf numFmtId="3" fontId="0" fillId="0" borderId="0" xfId="0" applyNumberFormat="1"/>
    <xf numFmtId="167" fontId="0" fillId="3" borderId="2" xfId="0" applyNumberFormat="1" applyFill="1" applyBorder="1"/>
    <xf numFmtId="2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right"/>
    </xf>
    <xf numFmtId="0" fontId="8" fillId="0" borderId="0" xfId="0" applyFont="1"/>
    <xf numFmtId="0" fontId="8" fillId="3" borderId="0" xfId="0" applyFont="1" applyFill="1"/>
    <xf numFmtId="0" fontId="9" fillId="0" borderId="0" xfId="1" applyFont="1"/>
    <xf numFmtId="0" fontId="9" fillId="0" borderId="0" xfId="1" applyFont="1" applyAlignment="1">
      <alignment wrapText="1"/>
    </xf>
    <xf numFmtId="0" fontId="10" fillId="0" borderId="0" xfId="0" applyFont="1" applyAlignment="1">
      <alignment horizontal="left" vertical="center" readingOrder="1"/>
    </xf>
    <xf numFmtId="0" fontId="10" fillId="0" borderId="0" xfId="0" applyFont="1"/>
    <xf numFmtId="0" fontId="4" fillId="0" borderId="0" xfId="0" applyFont="1"/>
    <xf numFmtId="3" fontId="4" fillId="0" borderId="0" xfId="0" applyNumberFormat="1" applyFont="1"/>
    <xf numFmtId="166" fontId="7" fillId="0" borderId="0" xfId="0" applyNumberFormat="1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" fontId="2" fillId="0" borderId="0" xfId="0" applyNumberFormat="1" applyFont="1"/>
    <xf numFmtId="9" fontId="0" fillId="3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Energy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Example!$B$7:$B$13</c:f>
              <c:strCache>
                <c:ptCount val="7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Compressor 30-200bar</c:v>
                </c:pt>
                <c:pt idx="6">
                  <c:v>Hydrogen Tank</c:v>
                </c:pt>
              </c:strCache>
            </c:strRef>
          </c:cat>
          <c:val>
            <c:numRef>
              <c:f>Example!$G$7:$G$13</c:f>
              <c:numCache>
                <c:formatCode>0</c:formatCode>
                <c:ptCount val="7"/>
                <c:pt idx="0">
                  <c:v>2051.8402275842091</c:v>
                </c:pt>
                <c:pt idx="1">
                  <c:v>1990.2850207566828</c:v>
                </c:pt>
                <c:pt idx="2">
                  <c:v>1771.3536684734477</c:v>
                </c:pt>
                <c:pt idx="3">
                  <c:v>1718.2130584192441</c:v>
                </c:pt>
                <c:pt idx="4">
                  <c:v>1030.9278350515465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2-0549-BE29-14BF1E892376}"/>
            </c:ext>
          </c:extLst>
        </c:ser>
        <c:ser>
          <c:idx val="1"/>
          <c:order val="1"/>
          <c:tx>
            <c:v>Electricity</c:v>
          </c:tx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val>
            <c:numRef>
              <c:f>Example!$I$7:$I$13</c:f>
              <c:numCache>
                <c:formatCode>0.0</c:formatCode>
                <c:ptCount val="7"/>
                <c:pt idx="0">
                  <c:v>203.74773459911194</c:v>
                </c:pt>
                <c:pt idx="1">
                  <c:v>197.63530256113859</c:v>
                </c:pt>
                <c:pt idx="2">
                  <c:v>175.89541927941332</c:v>
                </c:pt>
                <c:pt idx="3">
                  <c:v>170.61855670103091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2-0549-BE29-14BF1E892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[kWh]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2351279527559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Energy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Methanol!$B$7:$B$19</c:f>
              <c:strCache>
                <c:ptCount val="13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Compressor 30-200bar</c:v>
                </c:pt>
                <c:pt idx="6">
                  <c:v>Hydrogen Tank</c:v>
                </c:pt>
                <c:pt idx="7">
                  <c:v>CO2 Capture &gt;10%</c:v>
                </c:pt>
                <c:pt idx="8">
                  <c:v>Methanol reactor</c:v>
                </c:pt>
                <c:pt idx="9">
                  <c:v>Water condensation</c:v>
                </c:pt>
                <c:pt idx="10">
                  <c:v>Methanol condensation</c:v>
                </c:pt>
                <c:pt idx="11">
                  <c:v>H2, CO2 compression</c:v>
                </c:pt>
                <c:pt idx="12">
                  <c:v>Methanol Tank</c:v>
                </c:pt>
              </c:strCache>
            </c:strRef>
          </c:cat>
          <c:val>
            <c:numRef>
              <c:f>Methanol!$G$7:$G$19</c:f>
              <c:numCache>
                <c:formatCode>0</c:formatCode>
                <c:ptCount val="13"/>
                <c:pt idx="0">
                  <c:v>646.28665000245189</c:v>
                </c:pt>
                <c:pt idx="1">
                  <c:v>626.89805050237828</c:v>
                </c:pt>
                <c:pt idx="2">
                  <c:v>557.93926494711673</c:v>
                </c:pt>
                <c:pt idx="3">
                  <c:v>541.2010869987032</c:v>
                </c:pt>
                <c:pt idx="4">
                  <c:v>324.72065219922189</c:v>
                </c:pt>
                <c:pt idx="5">
                  <c:v>314.9790326332452</c:v>
                </c:pt>
                <c:pt idx="6">
                  <c:v>314.9790326332452</c:v>
                </c:pt>
                <c:pt idx="7">
                  <c:v>314.9790326332452</c:v>
                </c:pt>
                <c:pt idx="8">
                  <c:v>268.61411902963152</c:v>
                </c:pt>
                <c:pt idx="9">
                  <c:v>255.18341307814993</c:v>
                </c:pt>
                <c:pt idx="10">
                  <c:v>229.66507177033495</c:v>
                </c:pt>
                <c:pt idx="11">
                  <c:v>218.18181818181819</c:v>
                </c:pt>
                <c:pt idx="12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B-294D-BDEC-C739ECC80168}"/>
            </c:ext>
          </c:extLst>
        </c:ser>
        <c:ser>
          <c:idx val="1"/>
          <c:order val="1"/>
          <c:tx>
            <c:v>Electricity</c:v>
          </c:tx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Methanol!$B$7:$B$19</c:f>
              <c:strCache>
                <c:ptCount val="13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Compressor 30-200bar</c:v>
                </c:pt>
                <c:pt idx="6">
                  <c:v>Hydrogen Tank</c:v>
                </c:pt>
                <c:pt idx="7">
                  <c:v>CO2 Capture &gt;10%</c:v>
                </c:pt>
                <c:pt idx="8">
                  <c:v>Methanol reactor</c:v>
                </c:pt>
                <c:pt idx="9">
                  <c:v>Water condensation</c:v>
                </c:pt>
                <c:pt idx="10">
                  <c:v>Methanol condensation</c:v>
                </c:pt>
                <c:pt idx="11">
                  <c:v>H2, CO2 compression</c:v>
                </c:pt>
                <c:pt idx="12">
                  <c:v>Methanol Tank</c:v>
                </c:pt>
              </c:strCache>
            </c:strRef>
          </c:cat>
          <c:val>
            <c:numRef>
              <c:f>Methanol!$I$7:$I$19</c:f>
              <c:numCache>
                <c:formatCode>0</c:formatCode>
                <c:ptCount val="13"/>
                <c:pt idx="0">
                  <c:v>69.555049618553994</c:v>
                </c:pt>
                <c:pt idx="1">
                  <c:v>67.468398129997354</c:v>
                </c:pt>
                <c:pt idx="2">
                  <c:v>60.046874335697566</c:v>
                </c:pt>
                <c:pt idx="3">
                  <c:v>58.245468105626628</c:v>
                </c:pt>
                <c:pt idx="4">
                  <c:v>6.4944130439844381</c:v>
                </c:pt>
                <c:pt idx="5">
                  <c:v>47.246854894986775</c:v>
                </c:pt>
                <c:pt idx="6">
                  <c:v>0</c:v>
                </c:pt>
                <c:pt idx="7">
                  <c:v>4.5042001666554068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B-294D-BDEC-C739ECC8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[kWh]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2351279527559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Cost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Methanol!$B$7:$B$19</c:f>
              <c:strCache>
                <c:ptCount val="13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Compressor 30-200bar</c:v>
                </c:pt>
                <c:pt idx="6">
                  <c:v>Hydrogen Tank</c:v>
                </c:pt>
                <c:pt idx="7">
                  <c:v>CO2 Capture &gt;10%</c:v>
                </c:pt>
                <c:pt idx="8">
                  <c:v>Methanol reactor</c:v>
                </c:pt>
                <c:pt idx="9">
                  <c:v>Water condensation</c:v>
                </c:pt>
                <c:pt idx="10">
                  <c:v>Methanol condensation</c:v>
                </c:pt>
                <c:pt idx="11">
                  <c:v>H2, CO2 compression</c:v>
                </c:pt>
                <c:pt idx="12">
                  <c:v>Methanol Tank</c:v>
                </c:pt>
              </c:strCache>
            </c:strRef>
          </c:cat>
          <c:val>
            <c:numRef>
              <c:f>Methanol!$K$7:$K$19</c:f>
              <c:numCache>
                <c:formatCode>0.00</c:formatCode>
                <c:ptCount val="13"/>
                <c:pt idx="0">
                  <c:v>2.3509062652146528E-2</c:v>
                </c:pt>
                <c:pt idx="1">
                  <c:v>3.2358009875860447E-2</c:v>
                </c:pt>
                <c:pt idx="2">
                  <c:v>0.10157587284594755</c:v>
                </c:pt>
                <c:pt idx="3">
                  <c:v>0.11283925749833573</c:v>
                </c:pt>
                <c:pt idx="4">
                  <c:v>0.28923926204025585</c:v>
                </c:pt>
                <c:pt idx="5">
                  <c:v>0.30881018968170776</c:v>
                </c:pt>
                <c:pt idx="6">
                  <c:v>0.3372728769318239</c:v>
                </c:pt>
                <c:pt idx="7">
                  <c:v>0.40363103417053969</c:v>
                </c:pt>
                <c:pt idx="8">
                  <c:v>0.50126371651265644</c:v>
                </c:pt>
                <c:pt idx="9">
                  <c:v>0.53018384199647639</c:v>
                </c:pt>
                <c:pt idx="10">
                  <c:v>0.59163098238859524</c:v>
                </c:pt>
                <c:pt idx="11">
                  <c:v>0.63339483860052959</c:v>
                </c:pt>
                <c:pt idx="12">
                  <c:v>0.63979754060216854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4-0B46-B764-9CD62493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[CHF/kWh]</a:t>
                </a:r>
              </a:p>
            </c:rich>
          </c:tx>
          <c:layout>
            <c:manualLayout>
              <c:xMode val="edge"/>
              <c:yMode val="edge"/>
              <c:x val="1.1363636363636364E-2"/>
              <c:y val="0.19956109652960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Energy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'Imp-PSF'!$B$7:$B$17</c:f>
              <c:strCache>
                <c:ptCount val="11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Reverse Osmosis</c:v>
                </c:pt>
                <c:pt idx="5">
                  <c:v>Electrolyzer</c:v>
                </c:pt>
                <c:pt idx="6">
                  <c:v>Compressor 30-200bar</c:v>
                </c:pt>
                <c:pt idx="7">
                  <c:v>Hydrogen Tank</c:v>
                </c:pt>
                <c:pt idx="8">
                  <c:v>Biooil</c:v>
                </c:pt>
                <c:pt idx="9">
                  <c:v>Cracking</c:v>
                </c:pt>
                <c:pt idx="10">
                  <c:v>Fuel Taransport</c:v>
                </c:pt>
              </c:strCache>
            </c:strRef>
          </c:cat>
          <c:val>
            <c:numRef>
              <c:f>'Imp-PSF'!$G$7:$G$17</c:f>
              <c:numCache>
                <c:formatCode>0</c:formatCode>
                <c:ptCount val="11"/>
                <c:pt idx="0">
                  <c:v>52.947868890942445</c:v>
                </c:pt>
                <c:pt idx="1">
                  <c:v>51.359432824214167</c:v>
                </c:pt>
                <c:pt idx="2">
                  <c:v>45.70989521355061</c:v>
                </c:pt>
                <c:pt idx="3">
                  <c:v>44.338598357144093</c:v>
                </c:pt>
                <c:pt idx="4">
                  <c:v>44.338598357144093</c:v>
                </c:pt>
                <c:pt idx="5">
                  <c:v>26.603159014286454</c:v>
                </c:pt>
                <c:pt idx="6">
                  <c:v>25.80506424385786</c:v>
                </c:pt>
                <c:pt idx="7">
                  <c:v>25.80506424385786</c:v>
                </c:pt>
                <c:pt idx="8">
                  <c:v>229.66507177033495</c:v>
                </c:pt>
                <c:pt idx="9">
                  <c:v>218.18181818181819</c:v>
                </c:pt>
                <c:pt idx="1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3-0B43-B561-33A58BCCC59C}"/>
            </c:ext>
          </c:extLst>
        </c:ser>
        <c:ser>
          <c:idx val="1"/>
          <c:order val="1"/>
          <c:tx>
            <c:v>Electricity</c:v>
          </c:tx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val>
            <c:numRef>
              <c:f>'Imp-PSF'!$I$7:$I$17</c:f>
              <c:numCache>
                <c:formatCode>0</c:formatCode>
                <c:ptCount val="11"/>
                <c:pt idx="0">
                  <c:v>386.71844720914316</c:v>
                </c:pt>
                <c:pt idx="1">
                  <c:v>375.11689379286884</c:v>
                </c:pt>
                <c:pt idx="2">
                  <c:v>333.85403547565329</c:v>
                </c:pt>
                <c:pt idx="3">
                  <c:v>323.83841441138372</c:v>
                </c:pt>
                <c:pt idx="4">
                  <c:v>318.97926634768748</c:v>
                </c:pt>
                <c:pt idx="5">
                  <c:v>0.53206318028572908</c:v>
                </c:pt>
                <c:pt idx="6">
                  <c:v>3.8707596365786787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3-0B43-B561-33A58BCC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[kWh]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2351279527559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Cost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'Imp-PSF'!$B$7:$B$17</c:f>
              <c:strCache>
                <c:ptCount val="11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Reverse Osmosis</c:v>
                </c:pt>
                <c:pt idx="5">
                  <c:v>Electrolyzer</c:v>
                </c:pt>
                <c:pt idx="6">
                  <c:v>Compressor 30-200bar</c:v>
                </c:pt>
                <c:pt idx="7">
                  <c:v>Hydrogen Tank</c:v>
                </c:pt>
                <c:pt idx="8">
                  <c:v>Biooil</c:v>
                </c:pt>
                <c:pt idx="9">
                  <c:v>Cracking</c:v>
                </c:pt>
                <c:pt idx="10">
                  <c:v>Fuel Taransport</c:v>
                </c:pt>
              </c:strCache>
            </c:strRef>
          </c:cat>
          <c:val>
            <c:numRef>
              <c:f>'Imp-PSF'!$K$7:$K$17</c:f>
              <c:numCache>
                <c:formatCode>0.00</c:formatCode>
                <c:ptCount val="11"/>
                <c:pt idx="0">
                  <c:v>2.3509062652146532E-2</c:v>
                </c:pt>
                <c:pt idx="1">
                  <c:v>3.2358009875860447E-2</c:v>
                </c:pt>
                <c:pt idx="2">
                  <c:v>0.10157587284594753</c:v>
                </c:pt>
                <c:pt idx="3">
                  <c:v>0.1128392574983357</c:v>
                </c:pt>
                <c:pt idx="4">
                  <c:v>0.15371774075290393</c:v>
                </c:pt>
                <c:pt idx="5">
                  <c:v>2.1802483880075516</c:v>
                </c:pt>
                <c:pt idx="6">
                  <c:v>2.2583041339778891</c:v>
                </c:pt>
                <c:pt idx="7">
                  <c:v>2.2867668212280052</c:v>
                </c:pt>
                <c:pt idx="8">
                  <c:v>0.32394009227280957</c:v>
                </c:pt>
                <c:pt idx="9">
                  <c:v>0.35598957081348376</c:v>
                </c:pt>
                <c:pt idx="10">
                  <c:v>0.35959609857184383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0-E446-A6B7-FE3B06C2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[CHF/kWh]</a:t>
                </a:r>
              </a:p>
            </c:rich>
          </c:tx>
          <c:layout>
            <c:manualLayout>
              <c:xMode val="edge"/>
              <c:yMode val="edge"/>
              <c:x val="1.1363636363636364E-2"/>
              <c:y val="0.19956109652960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 SAF from Palm oil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Fuel 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dependence'!$B$3:$B$10</c:f>
              <c:numCache>
                <c:formatCode>General</c:formatCode>
                <c:ptCount val="8"/>
                <c:pt idx="0">
                  <c:v>2500</c:v>
                </c:pt>
                <c:pt idx="1">
                  <c:v>2000</c:v>
                </c:pt>
                <c:pt idx="2">
                  <c:v>1500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0</c:v>
                </c:pt>
              </c:numCache>
            </c:numRef>
          </c:xVal>
          <c:yVal>
            <c:numRef>
              <c:f>'Water dependence'!$D$3:$D$10</c:f>
              <c:numCache>
                <c:formatCode>General</c:formatCode>
                <c:ptCount val="8"/>
                <c:pt idx="0">
                  <c:v>4.28</c:v>
                </c:pt>
                <c:pt idx="1">
                  <c:v>3.72</c:v>
                </c:pt>
                <c:pt idx="2">
                  <c:v>3.15</c:v>
                </c:pt>
                <c:pt idx="3">
                  <c:v>2.59</c:v>
                </c:pt>
                <c:pt idx="4">
                  <c:v>2.02</c:v>
                </c:pt>
                <c:pt idx="5">
                  <c:v>1.68</c:v>
                </c:pt>
                <c:pt idx="6">
                  <c:v>1.57</c:v>
                </c:pt>
                <c:pt idx="7">
                  <c:v>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4-6C46-8BB3-612A03F6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57007"/>
        <c:axId val="24360217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dependence'!$B$3:$B$10</c:f>
              <c:numCache>
                <c:formatCode>General</c:formatCode>
                <c:ptCount val="8"/>
                <c:pt idx="0">
                  <c:v>2500</c:v>
                </c:pt>
                <c:pt idx="1">
                  <c:v>2000</c:v>
                </c:pt>
                <c:pt idx="2">
                  <c:v>1500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0</c:v>
                </c:pt>
              </c:numCache>
            </c:numRef>
          </c:xVal>
          <c:yVal>
            <c:numRef>
              <c:f>'Water dependence'!$C$3:$C$10</c:f>
              <c:numCache>
                <c:formatCode>General</c:formatCode>
                <c:ptCount val="8"/>
                <c:pt idx="0">
                  <c:v>1700</c:v>
                </c:pt>
                <c:pt idx="1">
                  <c:v>1422</c:v>
                </c:pt>
                <c:pt idx="2">
                  <c:v>1144</c:v>
                </c:pt>
                <c:pt idx="3">
                  <c:v>866</c:v>
                </c:pt>
                <c:pt idx="4">
                  <c:v>588</c:v>
                </c:pt>
                <c:pt idx="5">
                  <c:v>422</c:v>
                </c:pt>
                <c:pt idx="6">
                  <c:v>366</c:v>
                </c:pt>
                <c:pt idx="7">
                  <c:v>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44-6C46-8BB3-612A03F6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79391"/>
        <c:axId val="1560776895"/>
      </c:scatterChart>
      <c:valAx>
        <c:axId val="2664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Desalinated</a:t>
                </a:r>
                <a:r>
                  <a:rPr lang="en-US" baseline="0"/>
                  <a:t> Water [L·m</a:t>
                </a:r>
                <a:r>
                  <a:rPr lang="en-US" baseline="30000"/>
                  <a:t>-2</a:t>
                </a:r>
                <a:r>
                  <a:rPr lang="en-US" baseline="0"/>
                  <a:t>·y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02175"/>
        <c:crosses val="autoZero"/>
        <c:crossBetween val="midCat"/>
      </c:valAx>
      <c:valAx>
        <c:axId val="2436021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Fuel cost [CHF/L]</a:t>
                </a:r>
              </a:p>
            </c:rich>
          </c:tx>
          <c:layout>
            <c:manualLayout>
              <c:xMode val="edge"/>
              <c:yMode val="edge"/>
              <c:x val="1.1422293664022226E-2"/>
              <c:y val="0.3430391375451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57007"/>
        <c:crosses val="autoZero"/>
        <c:crossBetween val="midCat"/>
      </c:valAx>
      <c:valAx>
        <c:axId val="1560776895"/>
        <c:scaling>
          <c:orientation val="minMax"/>
          <c:max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CAPEX [MCHF]</a:t>
                </a:r>
              </a:p>
            </c:rich>
          </c:tx>
          <c:layout>
            <c:manualLayout>
              <c:xMode val="edge"/>
              <c:yMode val="edge"/>
              <c:x val="0.95434646379953603"/>
              <c:y val="0.35975996198737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79391"/>
        <c:crosses val="max"/>
        <c:crossBetween val="midCat"/>
      </c:valAx>
      <c:valAx>
        <c:axId val="156077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77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Cost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Example!$B$7:$B$13</c:f>
              <c:strCache>
                <c:ptCount val="7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Compressor 30-200bar</c:v>
                </c:pt>
                <c:pt idx="6">
                  <c:v>Hydrogen Tank</c:v>
                </c:pt>
              </c:strCache>
            </c:strRef>
          </c:cat>
          <c:val>
            <c:numRef>
              <c:f>Example!$K$7:$K$13</c:f>
              <c:numCache>
                <c:formatCode>0.00</c:formatCode>
                <c:ptCount val="7"/>
                <c:pt idx="0">
                  <c:v>2.3509062652146532E-2</c:v>
                </c:pt>
                <c:pt idx="1">
                  <c:v>3.2358009875860447E-2</c:v>
                </c:pt>
                <c:pt idx="2">
                  <c:v>0.10157587284594753</c:v>
                </c:pt>
                <c:pt idx="3">
                  <c:v>0.11283925749833572</c:v>
                </c:pt>
                <c:pt idx="4">
                  <c:v>0.28767406869949635</c:v>
                </c:pt>
                <c:pt idx="5">
                  <c:v>0.30719658829948149</c:v>
                </c:pt>
                <c:pt idx="6">
                  <c:v>0.33565927554959768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194E-BABE-77BE841B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[CHF/kWh]</a:t>
                </a:r>
              </a:p>
            </c:rich>
          </c:tx>
          <c:layout>
            <c:manualLayout>
              <c:xMode val="edge"/>
              <c:yMode val="edge"/>
              <c:x val="1.1363636363636364E-2"/>
              <c:y val="0.19956109652960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Energy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'Hydrogen CH'!$B$7:$B$17</c:f>
              <c:strCache>
                <c:ptCount val="11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Pipeline</c:v>
                </c:pt>
                <c:pt idx="6">
                  <c:v>Compressor 30-200bar</c:v>
                </c:pt>
                <c:pt idx="7">
                  <c:v>H2 Storage UG 200bar</c:v>
                </c:pt>
                <c:pt idx="8">
                  <c:v>Pipeline</c:v>
                </c:pt>
                <c:pt idx="9">
                  <c:v>Combined cycle power plant</c:v>
                </c:pt>
                <c:pt idx="10">
                  <c:v>Grid surface (100 km)</c:v>
                </c:pt>
              </c:strCache>
            </c:strRef>
          </c:cat>
          <c:val>
            <c:numRef>
              <c:f>'Hydrogen CH'!$G$7:$G$17</c:f>
              <c:numCache>
                <c:formatCode>0</c:formatCode>
                <c:ptCount val="11"/>
                <c:pt idx="0">
                  <c:v>4147.6203451044548</c:v>
                </c:pt>
                <c:pt idx="1">
                  <c:v>4023.1917347513208</c:v>
                </c:pt>
                <c:pt idx="2">
                  <c:v>3580.6406439286757</c:v>
                </c:pt>
                <c:pt idx="3">
                  <c:v>3473.2214246108151</c:v>
                </c:pt>
                <c:pt idx="4">
                  <c:v>2083.9328547664891</c:v>
                </c:pt>
                <c:pt idx="5">
                  <c:v>2063.0935262188241</c:v>
                </c:pt>
                <c:pt idx="6">
                  <c:v>2001.2007204322595</c:v>
                </c:pt>
                <c:pt idx="7">
                  <c:v>2001.2007204322595</c:v>
                </c:pt>
                <c:pt idx="8">
                  <c:v>2001.2007204322595</c:v>
                </c:pt>
                <c:pt idx="9">
                  <c:v>1000.6003602161297</c:v>
                </c:pt>
                <c:pt idx="1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E-594D-882A-0DEDF6A559AA}"/>
            </c:ext>
          </c:extLst>
        </c:ser>
        <c:ser>
          <c:idx val="1"/>
          <c:order val="1"/>
          <c:tx>
            <c:v>Electricity</c:v>
          </c:tx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val>
            <c:numRef>
              <c:f>'Hydrogen CH'!$I$7:$I$17</c:f>
              <c:numCache>
                <c:formatCode>0</c:formatCode>
                <c:ptCount val="11"/>
                <c:pt idx="0">
                  <c:v>1247.1230758473876</c:v>
                </c:pt>
                <c:pt idx="1">
                  <c:v>1209.7093835719661</c:v>
                </c:pt>
                <c:pt idx="2">
                  <c:v>1076.6413513790494</c:v>
                </c:pt>
                <c:pt idx="3">
                  <c:v>1044.3421108376779</c:v>
                </c:pt>
                <c:pt idx="4">
                  <c:v>41.678657095329783</c:v>
                </c:pt>
                <c:pt idx="5">
                  <c:v>2.0630935262188239</c:v>
                </c:pt>
                <c:pt idx="6">
                  <c:v>300.18010806483892</c:v>
                </c:pt>
                <c:pt idx="7">
                  <c:v>300.18010806483892</c:v>
                </c:pt>
                <c:pt idx="8">
                  <c:v>400.24014408645189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594D-882A-0DEDF6A5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[kWh]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2351279527559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Cost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'Hydrogen CH'!$B$7:$B$17</c:f>
              <c:strCache>
                <c:ptCount val="11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Pipeline</c:v>
                </c:pt>
                <c:pt idx="6">
                  <c:v>Compressor 30-200bar</c:v>
                </c:pt>
                <c:pt idx="7">
                  <c:v>H2 Storage UG 200bar</c:v>
                </c:pt>
                <c:pt idx="8">
                  <c:v>Pipeline</c:v>
                </c:pt>
                <c:pt idx="9">
                  <c:v>Combined cycle power plant</c:v>
                </c:pt>
                <c:pt idx="10">
                  <c:v>Grid surface (100 km)</c:v>
                </c:pt>
              </c:strCache>
            </c:strRef>
          </c:cat>
          <c:val>
            <c:numRef>
              <c:f>'Hydrogen CH'!$K$7:$K$17</c:f>
              <c:numCache>
                <c:formatCode>0.00</c:formatCode>
                <c:ptCount val="11"/>
                <c:pt idx="0">
                  <c:v>2.3509062652146532E-2</c:v>
                </c:pt>
                <c:pt idx="1">
                  <c:v>3.2358009875860447E-2</c:v>
                </c:pt>
                <c:pt idx="2">
                  <c:v>0.10157587284594753</c:v>
                </c:pt>
                <c:pt idx="3">
                  <c:v>0.11283925749833572</c:v>
                </c:pt>
                <c:pt idx="4">
                  <c:v>0.32554743708623768</c:v>
                </c:pt>
                <c:pt idx="5">
                  <c:v>0.33817634408953712</c:v>
                </c:pt>
                <c:pt idx="6">
                  <c:v>0.35926078973251319</c:v>
                </c:pt>
                <c:pt idx="7">
                  <c:v>0.430715339291455</c:v>
                </c:pt>
                <c:pt idx="8">
                  <c:v>0.43071577702438441</c:v>
                </c:pt>
                <c:pt idx="9">
                  <c:v>0.88454124318516025</c:v>
                </c:pt>
                <c:pt idx="10">
                  <c:v>0.90034190770068856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2045-910E-C7238AA8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[CHF/kWh]</a:t>
                </a:r>
              </a:p>
            </c:rich>
          </c:tx>
          <c:layout>
            <c:manualLayout>
              <c:xMode val="edge"/>
              <c:yMode val="edge"/>
              <c:x val="1.1363636363636364E-2"/>
              <c:y val="0.19956109652960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electricity</a:t>
            </a:r>
          </a:p>
        </c:rich>
      </c:tx>
      <c:layout>
        <c:manualLayout>
          <c:xMode val="edge"/>
          <c:yMode val="edge"/>
          <c:x val="0.44008122668876914"/>
          <c:y val="1.5377220161836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4906378329503"/>
          <c:y val="8.7058071405998569E-2"/>
          <c:w val="0.83099830463775759"/>
          <c:h val="0.59847656547971473"/>
        </c:manualLayout>
      </c:layout>
      <c:barChart>
        <c:barDir val="col"/>
        <c:grouping val="clustered"/>
        <c:varyColors val="0"/>
        <c:ser>
          <c:idx val="0"/>
          <c:order val="0"/>
          <c:tx>
            <c:v>CH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Hydrogen Transport</c:v>
                </c:pt>
                <c:pt idx="6">
                  <c:v>Liquifaction</c:v>
                </c:pt>
                <c:pt idx="7">
                  <c:v>Ship transport</c:v>
                </c:pt>
                <c:pt idx="8">
                  <c:v>Liquid storage</c:v>
                </c:pt>
                <c:pt idx="9">
                  <c:v>Combined cycle power plant</c:v>
                </c:pt>
                <c:pt idx="10">
                  <c:v>Grid surface (100 km)</c:v>
                </c:pt>
              </c:strCache>
            </c:strRef>
          </c:cat>
          <c:val>
            <c:numRef>
              <c:f>Sheet1!$B$15:$B$25</c:f>
              <c:numCache>
                <c:formatCode>General</c:formatCode>
                <c:ptCount val="11"/>
                <c:pt idx="0">
                  <c:v>2.3509062652146532E-2</c:v>
                </c:pt>
                <c:pt idx="1">
                  <c:v>3.2358009875860447E-2</c:v>
                </c:pt>
                <c:pt idx="2">
                  <c:v>0.10157587284594753</c:v>
                </c:pt>
                <c:pt idx="3">
                  <c:v>0.11283925749833572</c:v>
                </c:pt>
                <c:pt idx="4">
                  <c:v>0.32554743708623768</c:v>
                </c:pt>
                <c:pt idx="5">
                  <c:v>0.33817634408953712</c:v>
                </c:pt>
                <c:pt idx="6">
                  <c:v>0.35926078973251319</c:v>
                </c:pt>
                <c:pt idx="7">
                  <c:v>0.430715339291455</c:v>
                </c:pt>
                <c:pt idx="8">
                  <c:v>0.43071577702438441</c:v>
                </c:pt>
                <c:pt idx="9">
                  <c:v>0.88454124318516025</c:v>
                </c:pt>
                <c:pt idx="10">
                  <c:v>0.90034190770068856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1E42-8BEA-B458AED96755}"/>
            </c:ext>
          </c:extLst>
        </c:ser>
        <c:ser>
          <c:idx val="1"/>
          <c:order val="1"/>
          <c:tx>
            <c:v>Imp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Hydrogen Transport</c:v>
                </c:pt>
                <c:pt idx="6">
                  <c:v>Liquifaction</c:v>
                </c:pt>
                <c:pt idx="7">
                  <c:v>Ship transport</c:v>
                </c:pt>
                <c:pt idx="8">
                  <c:v>Liquid storage</c:v>
                </c:pt>
                <c:pt idx="9">
                  <c:v>Combined cycle power plant</c:v>
                </c:pt>
                <c:pt idx="10">
                  <c:v>Grid surface (100 km)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1.1754531326073266E-2</c:v>
                </c:pt>
                <c:pt idx="1">
                  <c:v>2.0239936343826152E-2</c:v>
                </c:pt>
                <c:pt idx="2">
                  <c:v>8.7960059888605627E-2</c:v>
                </c:pt>
                <c:pt idx="3">
                  <c:v>9.8802336923756437E-2</c:v>
                </c:pt>
                <c:pt idx="4">
                  <c:v>0.27949350552407148</c:v>
                </c:pt>
                <c:pt idx="5">
                  <c:v>0.30375236803988098</c:v>
                </c:pt>
                <c:pt idx="6">
                  <c:v>0.30491390828549153</c:v>
                </c:pt>
                <c:pt idx="7">
                  <c:v>0.35487494690306437</c:v>
                </c:pt>
                <c:pt idx="8">
                  <c:v>0.35511863429390439</c:v>
                </c:pt>
                <c:pt idx="9">
                  <c:v>0.73334695772420022</c:v>
                </c:pt>
                <c:pt idx="10">
                  <c:v>0.74905685120583165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5-1E42-8BEA-B458AED9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22224"/>
        <c:axId val="1720458576"/>
      </c:barChart>
      <c:catAx>
        <c:axId val="17204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58576"/>
        <c:crosses val="autoZero"/>
        <c:auto val="1"/>
        <c:lblAlgn val="ctr"/>
        <c:lblOffset val="100"/>
        <c:noMultiLvlLbl val="0"/>
      </c:catAx>
      <c:valAx>
        <c:axId val="17204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[CHF/kWh]</a:t>
                </a:r>
              </a:p>
            </c:rich>
          </c:tx>
          <c:layout>
            <c:manualLayout>
              <c:xMode val="edge"/>
              <c:yMode val="edge"/>
              <c:x val="1.9138755980861243E-2"/>
              <c:y val="0.24281458018776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428964322043478E-2"/>
          <c:y val="1.5607878464263704E-2"/>
          <c:w val="0.15850808122668877"/>
          <c:h val="5.8738357607950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Energy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'Imp-H2'!$B$7:$B$18</c:f>
              <c:strCache>
                <c:ptCount val="12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Hydrogen Transport</c:v>
                </c:pt>
                <c:pt idx="6">
                  <c:v>Liquifaction</c:v>
                </c:pt>
                <c:pt idx="7">
                  <c:v>Ship transport</c:v>
                </c:pt>
                <c:pt idx="8">
                  <c:v>Liquid to gas</c:v>
                </c:pt>
                <c:pt idx="9">
                  <c:v>Liquid storage</c:v>
                </c:pt>
                <c:pt idx="10">
                  <c:v>Combined cycle power plant</c:v>
                </c:pt>
                <c:pt idx="11">
                  <c:v>Grid surface (100 km)</c:v>
                </c:pt>
              </c:strCache>
            </c:strRef>
          </c:cat>
          <c:val>
            <c:numRef>
              <c:f>'Imp-H2'!$G$7:$G$18</c:f>
              <c:numCache>
                <c:formatCode>0</c:formatCode>
                <c:ptCount val="12"/>
                <c:pt idx="0">
                  <c:v>4875.103815671735</c:v>
                </c:pt>
                <c:pt idx="1">
                  <c:v>4728.8507012015825</c:v>
                </c:pt>
                <c:pt idx="2">
                  <c:v>4208.6771240694088</c:v>
                </c:pt>
                <c:pt idx="3">
                  <c:v>4082.4168103473266</c:v>
                </c:pt>
                <c:pt idx="4">
                  <c:v>2449.450086208396</c:v>
                </c:pt>
                <c:pt idx="5">
                  <c:v>2326.9775818979761</c:v>
                </c:pt>
                <c:pt idx="6">
                  <c:v>2326.9775818979761</c:v>
                </c:pt>
                <c:pt idx="7">
                  <c:v>2001.2007204322595</c:v>
                </c:pt>
                <c:pt idx="8">
                  <c:v>2001.2007204322595</c:v>
                </c:pt>
                <c:pt idx="9">
                  <c:v>2001.2007204322595</c:v>
                </c:pt>
                <c:pt idx="10">
                  <c:v>1000.6003602161297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9-7F49-901E-2F1863E06D43}"/>
            </c:ext>
          </c:extLst>
        </c:ser>
        <c:ser>
          <c:idx val="1"/>
          <c:order val="1"/>
          <c:tx>
            <c:v>Electricity</c:v>
          </c:tx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val>
            <c:numRef>
              <c:f>'Imp-H2'!$I$7:$I$18</c:f>
              <c:numCache>
                <c:formatCode>0</c:formatCode>
                <c:ptCount val="12"/>
                <c:pt idx="0">
                  <c:v>1003.2963652652443</c:v>
                </c:pt>
                <c:pt idx="1">
                  <c:v>973.19747430728694</c:v>
                </c:pt>
                <c:pt idx="2">
                  <c:v>866.14575213348508</c:v>
                </c:pt>
                <c:pt idx="3">
                  <c:v>840.16137956948023</c:v>
                </c:pt>
                <c:pt idx="4">
                  <c:v>48.98900172416792</c:v>
                </c:pt>
                <c:pt idx="5">
                  <c:v>93.079103275919039</c:v>
                </c:pt>
                <c:pt idx="6">
                  <c:v>698.09327456939275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9-7F49-901E-2F1863E0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[kWh]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2351279527559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Cost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'Imp-H2'!$B$7:$B$18</c:f>
              <c:strCache>
                <c:ptCount val="12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Hydrogen Transport</c:v>
                </c:pt>
                <c:pt idx="6">
                  <c:v>Liquifaction</c:v>
                </c:pt>
                <c:pt idx="7">
                  <c:v>Ship transport</c:v>
                </c:pt>
                <c:pt idx="8">
                  <c:v>Liquid to gas</c:v>
                </c:pt>
                <c:pt idx="9">
                  <c:v>Liquid storage</c:v>
                </c:pt>
                <c:pt idx="10">
                  <c:v>Combined cycle power plant</c:v>
                </c:pt>
                <c:pt idx="11">
                  <c:v>Grid surface (100 km)</c:v>
                </c:pt>
              </c:strCache>
            </c:strRef>
          </c:cat>
          <c:val>
            <c:numRef>
              <c:f>'Imp-H2'!$K$7:$K$18</c:f>
              <c:numCache>
                <c:formatCode>0.00</c:formatCode>
                <c:ptCount val="12"/>
                <c:pt idx="0">
                  <c:v>2.3509062652146532E-2</c:v>
                </c:pt>
                <c:pt idx="1">
                  <c:v>3.2358009875860447E-2</c:v>
                </c:pt>
                <c:pt idx="2">
                  <c:v>0.10157587284594753</c:v>
                </c:pt>
                <c:pt idx="3">
                  <c:v>0.11283925749833572</c:v>
                </c:pt>
                <c:pt idx="4">
                  <c:v>0.30770303690545098</c:v>
                </c:pt>
                <c:pt idx="5">
                  <c:v>0.33344661159922784</c:v>
                </c:pt>
                <c:pt idx="6">
                  <c:v>0.33460815184483839</c:v>
                </c:pt>
                <c:pt idx="7">
                  <c:v>0.38940313708835139</c:v>
                </c:pt>
                <c:pt idx="8">
                  <c:v>0.38956559534891144</c:v>
                </c:pt>
                <c:pt idx="9">
                  <c:v>0.38964682447919141</c:v>
                </c:pt>
                <c:pt idx="10">
                  <c:v>0.80240333809477427</c:v>
                </c:pt>
                <c:pt idx="11">
                  <c:v>0.81815469027985011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C-C94B-ABD4-CF3840C2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[CHF/kWh]</a:t>
                </a:r>
              </a:p>
            </c:rich>
          </c:tx>
          <c:layout>
            <c:manualLayout>
              <c:xMode val="edge"/>
              <c:yMode val="edge"/>
              <c:x val="1.1363636363636364E-2"/>
              <c:y val="0.19956109652960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Energy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'CO2-CH4'!$B$7:$B$20</c:f>
              <c:strCache>
                <c:ptCount val="14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Compressor 30-200bar</c:v>
                </c:pt>
                <c:pt idx="6">
                  <c:v>Hydrogen Tank</c:v>
                </c:pt>
                <c:pt idx="7">
                  <c:v>CO2 Capture &gt;10%</c:v>
                </c:pt>
                <c:pt idx="8">
                  <c:v>Sabatier reaction</c:v>
                </c:pt>
                <c:pt idx="9">
                  <c:v>Methane compression</c:v>
                </c:pt>
                <c:pt idx="10">
                  <c:v>CH4 storage 200bar</c:v>
                </c:pt>
                <c:pt idx="11">
                  <c:v>Methane transport</c:v>
                </c:pt>
                <c:pt idx="12">
                  <c:v>Combined cycle power plant</c:v>
                </c:pt>
                <c:pt idx="13">
                  <c:v>Grid surface (100 km)</c:v>
                </c:pt>
              </c:strCache>
            </c:strRef>
          </c:cat>
          <c:val>
            <c:numRef>
              <c:f>'CO2-CH4'!$G$7:$G$20</c:f>
              <c:numCache>
                <c:formatCode>0</c:formatCode>
                <c:ptCount val="14"/>
                <c:pt idx="0">
                  <c:v>5537.857522716301</c:v>
                </c:pt>
                <c:pt idx="1">
                  <c:v>5371.721797034812</c:v>
                </c:pt>
                <c:pt idx="2">
                  <c:v>4780.8323993609829</c:v>
                </c:pt>
                <c:pt idx="3">
                  <c:v>4637.4074273801534</c:v>
                </c:pt>
                <c:pt idx="4">
                  <c:v>2782.4444564280921</c:v>
                </c:pt>
                <c:pt idx="5">
                  <c:v>2698.9711227352491</c:v>
                </c:pt>
                <c:pt idx="6">
                  <c:v>2698.9711227352491</c:v>
                </c:pt>
                <c:pt idx="7">
                  <c:v>2698.9711227352491</c:v>
                </c:pt>
                <c:pt idx="8">
                  <c:v>2105.1974757334942</c:v>
                </c:pt>
                <c:pt idx="9">
                  <c:v>2042.0415514614892</c:v>
                </c:pt>
                <c:pt idx="10">
                  <c:v>2042.0415514614892</c:v>
                </c:pt>
                <c:pt idx="11">
                  <c:v>2001.2007204322595</c:v>
                </c:pt>
                <c:pt idx="12">
                  <c:v>1000.6003602161297</c:v>
                </c:pt>
                <c:pt idx="1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DD4C-A6FD-56040251B66D}"/>
            </c:ext>
          </c:extLst>
        </c:ser>
        <c:ser>
          <c:idx val="1"/>
          <c:order val="1"/>
          <c:tx>
            <c:v>Electricity</c:v>
          </c:tx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'CO2-CH4'!$B$7:$B$20</c:f>
              <c:strCache>
                <c:ptCount val="14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Compressor 30-200bar</c:v>
                </c:pt>
                <c:pt idx="6">
                  <c:v>Hydrogen Tank</c:v>
                </c:pt>
                <c:pt idx="7">
                  <c:v>CO2 Capture &gt;10%</c:v>
                </c:pt>
                <c:pt idx="8">
                  <c:v>Sabatier reaction</c:v>
                </c:pt>
                <c:pt idx="9">
                  <c:v>Methane compression</c:v>
                </c:pt>
                <c:pt idx="10">
                  <c:v>CH4 storage 200bar</c:v>
                </c:pt>
                <c:pt idx="11">
                  <c:v>Methane transport</c:v>
                </c:pt>
                <c:pt idx="12">
                  <c:v>Combined cycle power plant</c:v>
                </c:pt>
                <c:pt idx="13">
                  <c:v>Grid surface (100 km)</c:v>
                </c:pt>
              </c:strCache>
            </c:strRef>
          </c:cat>
          <c:val>
            <c:numRef>
              <c:f>'CO2-CH4'!$I$7:$I$20</c:f>
              <c:numCache>
                <c:formatCode>0</c:formatCode>
                <c:ptCount val="14"/>
                <c:pt idx="0">
                  <c:v>1205.6353317697685</c:v>
                </c:pt>
                <c:pt idx="1">
                  <c:v>1169.4662718166755</c:v>
                </c:pt>
                <c:pt idx="2">
                  <c:v>1040.8249819168414</c:v>
                </c:pt>
                <c:pt idx="3">
                  <c:v>1009.6002324593355</c:v>
                </c:pt>
                <c:pt idx="4">
                  <c:v>55.648889128561841</c:v>
                </c:pt>
                <c:pt idx="5">
                  <c:v>404.84566841028737</c:v>
                </c:pt>
                <c:pt idx="6">
                  <c:v>0</c:v>
                </c:pt>
                <c:pt idx="7">
                  <c:v>38.595287055114063</c:v>
                </c:pt>
                <c:pt idx="8">
                  <c:v>0</c:v>
                </c:pt>
                <c:pt idx="9">
                  <c:v>204.20415514614893</c:v>
                </c:pt>
                <c:pt idx="10">
                  <c:v>306.30623271922337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E-DD4C-A6FD-56040251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[kWh]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2351279527559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Cost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'CO2-CH4'!$B$7:$B$20</c:f>
              <c:strCache>
                <c:ptCount val="14"/>
                <c:pt idx="0">
                  <c:v>PV</c:v>
                </c:pt>
                <c:pt idx="1">
                  <c:v>Converter AC/DC</c:v>
                </c:pt>
                <c:pt idx="2">
                  <c:v>Battery</c:v>
                </c:pt>
                <c:pt idx="3">
                  <c:v>Inverter DC/AC</c:v>
                </c:pt>
                <c:pt idx="4">
                  <c:v>Electrolyzer</c:v>
                </c:pt>
                <c:pt idx="5">
                  <c:v>Compressor 30-200bar</c:v>
                </c:pt>
                <c:pt idx="6">
                  <c:v>Hydrogen Tank</c:v>
                </c:pt>
                <c:pt idx="7">
                  <c:v>CO2 Capture &gt;10%</c:v>
                </c:pt>
                <c:pt idx="8">
                  <c:v>Sabatier reaction</c:v>
                </c:pt>
                <c:pt idx="9">
                  <c:v>Methane compression</c:v>
                </c:pt>
                <c:pt idx="10">
                  <c:v>CH4 storage 200bar</c:v>
                </c:pt>
                <c:pt idx="11">
                  <c:v>Methane transport</c:v>
                </c:pt>
                <c:pt idx="12">
                  <c:v>Combined cycle power plant</c:v>
                </c:pt>
                <c:pt idx="13">
                  <c:v>Grid surface (100 km)</c:v>
                </c:pt>
              </c:strCache>
            </c:strRef>
          </c:cat>
          <c:val>
            <c:numRef>
              <c:f>'CO2-CH4'!$K$7:$K$20</c:f>
              <c:numCache>
                <c:formatCode>0.00</c:formatCode>
                <c:ptCount val="14"/>
                <c:pt idx="0">
                  <c:v>2.3509062652146528E-2</c:v>
                </c:pt>
                <c:pt idx="1">
                  <c:v>3.2358009875860447E-2</c:v>
                </c:pt>
                <c:pt idx="2">
                  <c:v>0.10157587284594752</c:v>
                </c:pt>
                <c:pt idx="3">
                  <c:v>0.1128392574983357</c:v>
                </c:pt>
                <c:pt idx="4">
                  <c:v>0.30994250122939165</c:v>
                </c:pt>
                <c:pt idx="5">
                  <c:v>0.33015373523751784</c:v>
                </c:pt>
                <c:pt idx="6">
                  <c:v>0.35861642248763403</c:v>
                </c:pt>
                <c:pt idx="7">
                  <c:v>0.42497457972634989</c:v>
                </c:pt>
                <c:pt idx="8">
                  <c:v>0.5598392047773717</c:v>
                </c:pt>
                <c:pt idx="9">
                  <c:v>0.58352904943089912</c:v>
                </c:pt>
                <c:pt idx="10">
                  <c:v>0.65498359898984093</c:v>
                </c:pt>
                <c:pt idx="11">
                  <c:v>0.66835061121412342</c:v>
                </c:pt>
                <c:pt idx="12">
                  <c:v>1.3598109115646382</c:v>
                </c:pt>
                <c:pt idx="13">
                  <c:v>1.3758969090809949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E-5C40-8C10-58BB8289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356848"/>
        <c:axId val="2061498016"/>
      </c:barChart>
      <c:catAx>
        <c:axId val="2056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8016"/>
        <c:crosses val="autoZero"/>
        <c:auto val="1"/>
        <c:lblAlgn val="ctr"/>
        <c:lblOffset val="100"/>
        <c:noMultiLvlLbl val="0"/>
      </c:catAx>
      <c:valAx>
        <c:axId val="206149801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[CHF/kWh]</a:t>
                </a:r>
              </a:p>
            </c:rich>
          </c:tx>
          <c:layout>
            <c:manualLayout>
              <c:xMode val="edge"/>
              <c:yMode val="edge"/>
              <c:x val="1.1363636363636364E-2"/>
              <c:y val="0.19956109652960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15</xdr:row>
      <xdr:rowOff>180621</xdr:rowOff>
    </xdr:from>
    <xdr:to>
      <xdr:col>6</xdr:col>
      <xdr:colOff>578555</xdr:colOff>
      <xdr:row>30</xdr:row>
      <xdr:rowOff>197555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3C70A-F578-E34F-9668-5F0591CF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592667</xdr:colOff>
      <xdr:row>16</xdr:row>
      <xdr:rowOff>-1</xdr:rowOff>
    </xdr:from>
    <xdr:to>
      <xdr:col>14</xdr:col>
      <xdr:colOff>615245</xdr:colOff>
      <xdr:row>30</xdr:row>
      <xdr:rowOff>197555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063CC-F199-8942-9A80-74447760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19</xdr:row>
      <xdr:rowOff>180621</xdr:rowOff>
    </xdr:from>
    <xdr:to>
      <xdr:col>6</xdr:col>
      <xdr:colOff>578555</xdr:colOff>
      <xdr:row>34</xdr:row>
      <xdr:rowOff>197555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0F0E3-1535-0E48-BA80-ACF6DB9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592667</xdr:colOff>
      <xdr:row>20</xdr:row>
      <xdr:rowOff>-1</xdr:rowOff>
    </xdr:from>
    <xdr:to>
      <xdr:col>14</xdr:col>
      <xdr:colOff>615245</xdr:colOff>
      <xdr:row>34</xdr:row>
      <xdr:rowOff>197555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6D33B-D758-884D-A68E-2AAE61A9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0</xdr:row>
      <xdr:rowOff>196056</xdr:rowOff>
    </xdr:from>
    <xdr:to>
      <xdr:col>12</xdr:col>
      <xdr:colOff>15875</xdr:colOff>
      <xdr:row>24</xdr:row>
      <xdr:rowOff>198438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9215B-AF2B-6042-9E16-3EA20D73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20</xdr:row>
      <xdr:rowOff>180621</xdr:rowOff>
    </xdr:from>
    <xdr:to>
      <xdr:col>6</xdr:col>
      <xdr:colOff>578555</xdr:colOff>
      <xdr:row>35</xdr:row>
      <xdr:rowOff>197555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DAA6D-1B9F-7847-A4D0-FAD21F883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592667</xdr:colOff>
      <xdr:row>21</xdr:row>
      <xdr:rowOff>-1</xdr:rowOff>
    </xdr:from>
    <xdr:to>
      <xdr:col>14</xdr:col>
      <xdr:colOff>615245</xdr:colOff>
      <xdr:row>35</xdr:row>
      <xdr:rowOff>197555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B9B19-399B-784B-AB29-73738874B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22</xdr:row>
      <xdr:rowOff>180621</xdr:rowOff>
    </xdr:from>
    <xdr:to>
      <xdr:col>6</xdr:col>
      <xdr:colOff>578555</xdr:colOff>
      <xdr:row>37</xdr:row>
      <xdr:rowOff>197555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4889-FDBE-2E47-9BAE-D98CCA77E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592667</xdr:colOff>
      <xdr:row>23</xdr:row>
      <xdr:rowOff>-1</xdr:rowOff>
    </xdr:from>
    <xdr:to>
      <xdr:col>14</xdr:col>
      <xdr:colOff>615245</xdr:colOff>
      <xdr:row>37</xdr:row>
      <xdr:rowOff>197555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B4C88-4CBE-F148-80F1-D4D159689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21</xdr:row>
      <xdr:rowOff>180621</xdr:rowOff>
    </xdr:from>
    <xdr:to>
      <xdr:col>6</xdr:col>
      <xdr:colOff>578555</xdr:colOff>
      <xdr:row>36</xdr:row>
      <xdr:rowOff>197555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74D9E-114D-AA47-B9DC-E2DCB1D36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592667</xdr:colOff>
      <xdr:row>22</xdr:row>
      <xdr:rowOff>-1</xdr:rowOff>
    </xdr:from>
    <xdr:to>
      <xdr:col>14</xdr:col>
      <xdr:colOff>615245</xdr:colOff>
      <xdr:row>36</xdr:row>
      <xdr:rowOff>197555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89195-9171-7946-BECF-E5A6EAD66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19</xdr:row>
      <xdr:rowOff>180621</xdr:rowOff>
    </xdr:from>
    <xdr:to>
      <xdr:col>6</xdr:col>
      <xdr:colOff>578555</xdr:colOff>
      <xdr:row>34</xdr:row>
      <xdr:rowOff>197555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A1B18-99AE-AC40-A4F4-FEBF4011F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592667</xdr:colOff>
      <xdr:row>20</xdr:row>
      <xdr:rowOff>-1</xdr:rowOff>
    </xdr:from>
    <xdr:to>
      <xdr:col>14</xdr:col>
      <xdr:colOff>615245</xdr:colOff>
      <xdr:row>34</xdr:row>
      <xdr:rowOff>197555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84E60-9FC9-3F42-A5E9-FAD46D7E1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24421</xdr:colOff>
      <xdr:row>12</xdr:row>
      <xdr:rowOff>84015</xdr:rowOff>
    </xdr:from>
    <xdr:to>
      <xdr:col>9</xdr:col>
      <xdr:colOff>390769</xdr:colOff>
      <xdr:row>41</xdr:row>
      <xdr:rowOff>136769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D016D-B9DC-814D-AF2B-A679DB23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archoice.net.au/blog/solar-power-system-pric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1949-3A77-A14C-B817-3F033FDA9505}">
  <dimension ref="A1:N111"/>
  <sheetViews>
    <sheetView tabSelected="1" topLeftCell="A13" zoomScaleNormal="120" workbookViewId="0">
      <selection activeCell="J37" sqref="J37"/>
    </sheetView>
  </sheetViews>
  <sheetFormatPr baseColWidth="10" defaultRowHeight="16"/>
  <cols>
    <col min="1" max="1" width="20.6640625" customWidth="1"/>
    <col min="5" max="5" width="12.83203125" customWidth="1"/>
    <col min="6" max="6" width="12.33203125" customWidth="1"/>
    <col min="12" max="12" width="12.1640625" bestFit="1" customWidth="1"/>
    <col min="13" max="13" width="108.1640625" style="49" customWidth="1"/>
  </cols>
  <sheetData>
    <row r="1" spans="1:13">
      <c r="A1" s="2" t="s">
        <v>53</v>
      </c>
    </row>
    <row r="2" spans="1:13">
      <c r="A2" t="s">
        <v>54</v>
      </c>
      <c r="B2" s="1">
        <v>0.02</v>
      </c>
      <c r="E2" t="s">
        <v>83</v>
      </c>
      <c r="F2" t="s">
        <v>84</v>
      </c>
    </row>
    <row r="3" spans="1:13">
      <c r="A3" t="s">
        <v>69</v>
      </c>
      <c r="B3">
        <v>1100</v>
      </c>
      <c r="C3" t="s">
        <v>70</v>
      </c>
      <c r="E3" t="s">
        <v>137</v>
      </c>
    </row>
    <row r="4" spans="1:13">
      <c r="A4" t="s">
        <v>90</v>
      </c>
      <c r="B4">
        <v>5.3727</v>
      </c>
      <c r="C4" t="s">
        <v>91</v>
      </c>
      <c r="E4" t="s">
        <v>138</v>
      </c>
    </row>
    <row r="5" spans="1:13">
      <c r="E5" t="s">
        <v>139</v>
      </c>
    </row>
    <row r="9" spans="1:13">
      <c r="A9" s="2" t="s">
        <v>55</v>
      </c>
      <c r="B9" s="12" t="s">
        <v>0</v>
      </c>
      <c r="C9" s="12" t="s">
        <v>1</v>
      </c>
      <c r="D9" s="12" t="s">
        <v>2</v>
      </c>
      <c r="E9" s="12" t="s">
        <v>48</v>
      </c>
      <c r="F9" s="12" t="s">
        <v>57</v>
      </c>
      <c r="G9" s="12" t="s">
        <v>58</v>
      </c>
      <c r="H9" s="12" t="s">
        <v>4</v>
      </c>
      <c r="I9" s="12" t="s">
        <v>56</v>
      </c>
      <c r="J9" s="12" t="s">
        <v>5</v>
      </c>
      <c r="K9" s="12" t="s">
        <v>6</v>
      </c>
      <c r="L9" s="12" t="s">
        <v>59</v>
      </c>
      <c r="M9" s="50" t="s">
        <v>61</v>
      </c>
    </row>
    <row r="10" spans="1:13">
      <c r="A10" t="s">
        <v>7</v>
      </c>
      <c r="B10" s="1">
        <v>1</v>
      </c>
      <c r="C10">
        <v>0</v>
      </c>
      <c r="D10" s="37">
        <f>IF(I10&gt;0, (E10+G10*H10)/(I10*K10), (E10+G10*H10)/(H10*J10*L10*24*365))</f>
        <v>2.3509062652146532E-2</v>
      </c>
      <c r="E10" s="38">
        <f>$B$2*(1+$B$2)^H10/((1+$B$2)^H10-1)*F10*H10</f>
        <v>535.79906752083559</v>
      </c>
      <c r="F10">
        <v>400</v>
      </c>
      <c r="G10">
        <f>F10*0.02</f>
        <v>8</v>
      </c>
      <c r="H10">
        <v>30</v>
      </c>
      <c r="J10">
        <v>1</v>
      </c>
      <c r="L10">
        <f>B3/24/365</f>
        <v>0.12557077625570776</v>
      </c>
      <c r="M10" s="51" t="s">
        <v>62</v>
      </c>
    </row>
    <row r="11" spans="1:13">
      <c r="A11" t="s">
        <v>63</v>
      </c>
      <c r="B11" s="1">
        <v>1</v>
      </c>
      <c r="C11">
        <v>0</v>
      </c>
      <c r="D11" s="37">
        <f>IF(I11&gt;0, (E11+G11*H11)/(I11*K11), (E11+G11*H11)/(H11*J11*L11*24*365))</f>
        <v>4.7705426228358189E-2</v>
      </c>
      <c r="E11" s="38">
        <f>$B$2*(1+$B$2)^H11/((1+$B$2)^H11-1)*F11*H11</f>
        <v>4018.4930064062669</v>
      </c>
      <c r="F11">
        <v>3000</v>
      </c>
      <c r="G11">
        <f>F11*0.025</f>
        <v>75</v>
      </c>
      <c r="H11">
        <v>30</v>
      </c>
      <c r="J11">
        <v>1</v>
      </c>
      <c r="L11">
        <v>0.5</v>
      </c>
      <c r="M11" s="52" t="s">
        <v>66</v>
      </c>
    </row>
    <row r="12" spans="1:13">
      <c r="A12" t="s">
        <v>60</v>
      </c>
      <c r="B12" s="1">
        <v>1</v>
      </c>
      <c r="C12">
        <v>0</v>
      </c>
      <c r="D12" s="37">
        <f>IF(I12&gt;0, (E12+G12*H12)/(I12*K12), (E12+G12*H12)/(H12*J12*L12*24*365))</f>
        <v>1.9082170491343281E-2</v>
      </c>
      <c r="E12" s="38">
        <f>$B$2*(1+$B$2)^H12/((1+$B$2)^H12-1)*F12*H12</f>
        <v>1607.3972025625069</v>
      </c>
      <c r="F12">
        <v>1200</v>
      </c>
      <c r="G12">
        <f>F12*0.025</f>
        <v>30</v>
      </c>
      <c r="H12">
        <v>30</v>
      </c>
      <c r="J12">
        <v>1</v>
      </c>
      <c r="L12">
        <v>0.5</v>
      </c>
      <c r="M12" s="52" t="s">
        <v>66</v>
      </c>
    </row>
    <row r="13" spans="1:13">
      <c r="A13" t="s">
        <v>8</v>
      </c>
      <c r="B13" s="1">
        <v>0.89</v>
      </c>
      <c r="C13">
        <v>0</v>
      </c>
      <c r="D13" s="37">
        <f t="shared" ref="D13:D25" si="0">IF(I13&gt;0, (E13+G13*H13)/(I13*K13), (E13+G13*H13)/(H13*J13*L13*24*365))</f>
        <v>6.5218558378688604E-2</v>
      </c>
      <c r="E13" s="38">
        <f t="shared" ref="E13:E25" si="1">$B$2*(1+$B$2)^H13/((1+$B$2)^H13-1)*F13*H13</f>
        <v>116.6871167573772</v>
      </c>
      <c r="F13">
        <v>110</v>
      </c>
      <c r="G13">
        <f t="shared" ref="G13:G20" si="2">F13*0.025</f>
        <v>2.75</v>
      </c>
      <c r="H13">
        <v>5</v>
      </c>
      <c r="I13">
        <v>2000</v>
      </c>
      <c r="J13">
        <v>1</v>
      </c>
      <c r="K13">
        <v>1</v>
      </c>
      <c r="L13">
        <v>1</v>
      </c>
      <c r="M13" s="53" t="s">
        <v>65</v>
      </c>
    </row>
    <row r="14" spans="1:13">
      <c r="A14" t="s">
        <v>89</v>
      </c>
      <c r="B14" s="1">
        <v>0.99939999999999996</v>
      </c>
      <c r="C14">
        <v>0</v>
      </c>
      <c r="D14" s="37">
        <f t="shared" ref="D14" si="3">IF(I14&gt;0, (E14+G14*H14)/(I14*K14), (E14+G14*H14)/(H14*J14*L14*24*365))</f>
        <v>0.11243058958419634</v>
      </c>
      <c r="E14" s="38">
        <f t="shared" ref="E14" si="4">$B$2*(1+$B$2)^H14/((1+$B$2)^H14-1)*F14*H14</f>
        <v>5848.9196475755998</v>
      </c>
      <c r="F14">
        <f>1200000000/300000</f>
        <v>4000</v>
      </c>
      <c r="G14">
        <f t="shared" si="2"/>
        <v>100</v>
      </c>
      <c r="H14">
        <v>40</v>
      </c>
      <c r="J14">
        <v>1</v>
      </c>
      <c r="L14">
        <v>0.25</v>
      </c>
      <c r="M14" s="49" t="s">
        <v>64</v>
      </c>
    </row>
    <row r="15" spans="1:13">
      <c r="A15" t="s">
        <v>88</v>
      </c>
      <c r="B15" s="1">
        <v>0.99939999999999996</v>
      </c>
      <c r="C15">
        <v>0</v>
      </c>
      <c r="D15" s="37">
        <f t="shared" si="0"/>
        <v>1.5269621143594012E-2</v>
      </c>
      <c r="E15" s="38">
        <f t="shared" si="1"/>
        <v>1341.9042910243377</v>
      </c>
      <c r="F15">
        <f>200000000/300000</f>
        <v>666.66666666666663</v>
      </c>
      <c r="G15">
        <f t="shared" si="2"/>
        <v>16.666666666666668</v>
      </c>
      <c r="H15">
        <v>80</v>
      </c>
      <c r="J15">
        <v>1</v>
      </c>
      <c r="L15">
        <v>0.25</v>
      </c>
      <c r="M15" s="49" t="s">
        <v>64</v>
      </c>
    </row>
    <row r="16" spans="1:13">
      <c r="A16" t="s">
        <v>9</v>
      </c>
      <c r="B16" s="1">
        <v>0.88</v>
      </c>
      <c r="C16">
        <v>0</v>
      </c>
      <c r="D16" s="37">
        <f t="shared" si="0"/>
        <v>1.9670483590248949E-2</v>
      </c>
      <c r="E16" s="38">
        <f>$B$2*(1+$B$2)^H16/((1+$B$2)^H16-1)*F16*H16</f>
        <v>2446.268725011616</v>
      </c>
      <c r="F16">
        <v>2000</v>
      </c>
      <c r="G16">
        <f t="shared" si="2"/>
        <v>50</v>
      </c>
      <c r="H16">
        <v>20</v>
      </c>
      <c r="J16">
        <v>1</v>
      </c>
      <c r="L16">
        <v>1</v>
      </c>
      <c r="M16" s="49" t="s">
        <v>67</v>
      </c>
    </row>
    <row r="17" spans="1:13">
      <c r="A17" t="s">
        <v>10</v>
      </c>
      <c r="B17" s="1">
        <v>1</v>
      </c>
      <c r="C17">
        <v>0</v>
      </c>
      <c r="D17" s="37">
        <f t="shared" si="0"/>
        <v>1.2973335548789172E-7</v>
      </c>
      <c r="E17" s="38">
        <f t="shared" si="1"/>
        <v>3.1823209703696571E-2</v>
      </c>
      <c r="F17">
        <v>0.02</v>
      </c>
      <c r="G17">
        <f t="shared" si="2"/>
        <v>5.0000000000000001E-4</v>
      </c>
      <c r="H17">
        <v>50</v>
      </c>
      <c r="J17">
        <v>1</v>
      </c>
      <c r="L17">
        <v>1</v>
      </c>
      <c r="M17" s="49" t="s">
        <v>67</v>
      </c>
    </row>
    <row r="18" spans="1:13">
      <c r="A18" t="s">
        <v>11</v>
      </c>
      <c r="B18" s="1">
        <v>0.88</v>
      </c>
      <c r="C18">
        <v>0</v>
      </c>
      <c r="D18" s="37">
        <f t="shared" si="0"/>
        <v>3.9340967180497899E-2</v>
      </c>
      <c r="E18" s="38">
        <f t="shared" si="1"/>
        <v>4892.5374500232319</v>
      </c>
      <c r="F18">
        <v>4000</v>
      </c>
      <c r="G18">
        <f t="shared" si="2"/>
        <v>100</v>
      </c>
      <c r="H18">
        <v>20</v>
      </c>
      <c r="J18">
        <v>1</v>
      </c>
      <c r="L18">
        <v>1</v>
      </c>
      <c r="M18" s="49" t="s">
        <v>67</v>
      </c>
    </row>
    <row r="19" spans="1:13">
      <c r="A19" t="s">
        <v>12</v>
      </c>
      <c r="B19" s="1">
        <v>0.8</v>
      </c>
      <c r="C19">
        <v>0</v>
      </c>
      <c r="D19" s="37">
        <f t="shared" si="0"/>
        <v>0.1173275834305043</v>
      </c>
      <c r="E19" s="38">
        <f t="shared" si="1"/>
        <v>2084.8769322247399</v>
      </c>
      <c r="F19" s="3">
        <f>21000/11</f>
        <v>1909.090909090909</v>
      </c>
      <c r="G19">
        <f t="shared" si="2"/>
        <v>47.727272727272727</v>
      </c>
      <c r="H19">
        <v>8</v>
      </c>
      <c r="J19">
        <v>1</v>
      </c>
      <c r="L19">
        <v>0.3</v>
      </c>
      <c r="M19" s="49" t="s">
        <v>92</v>
      </c>
    </row>
    <row r="20" spans="1:13">
      <c r="A20" t="s">
        <v>13</v>
      </c>
      <c r="B20" s="1">
        <v>0.82</v>
      </c>
      <c r="C20">
        <v>0</v>
      </c>
      <c r="D20" s="37">
        <f t="shared" si="0"/>
        <v>0.12923507718793559</v>
      </c>
      <c r="E20" s="38">
        <f t="shared" si="1"/>
        <v>183.47015437587118</v>
      </c>
      <c r="F20" s="3">
        <v>150</v>
      </c>
      <c r="G20">
        <f t="shared" si="2"/>
        <v>3.75</v>
      </c>
      <c r="H20">
        <v>20</v>
      </c>
      <c r="I20">
        <v>2000</v>
      </c>
      <c r="K20">
        <v>1</v>
      </c>
      <c r="L20">
        <v>1</v>
      </c>
      <c r="M20" s="53" t="s">
        <v>65</v>
      </c>
    </row>
    <row r="21" spans="1:13">
      <c r="A21" t="s">
        <v>14</v>
      </c>
      <c r="B21" s="1">
        <v>0.92500000000000004</v>
      </c>
      <c r="C21">
        <v>0</v>
      </c>
      <c r="D21" s="37">
        <f t="shared" si="0"/>
        <v>0.38762351792103056</v>
      </c>
      <c r="E21" s="38">
        <f t="shared" si="1"/>
        <v>655.24703584206111</v>
      </c>
      <c r="F21" s="3">
        <v>600</v>
      </c>
      <c r="G21">
        <f>F21*0.025</f>
        <v>15</v>
      </c>
      <c r="H21">
        <v>8</v>
      </c>
      <c r="I21">
        <v>2000</v>
      </c>
      <c r="K21">
        <v>1</v>
      </c>
      <c r="L21">
        <v>1</v>
      </c>
      <c r="M21" s="53" t="s">
        <v>65</v>
      </c>
    </row>
    <row r="22" spans="1:13">
      <c r="A22" t="s">
        <v>47</v>
      </c>
      <c r="B22" s="1">
        <v>0.89</v>
      </c>
      <c r="C22">
        <v>0</v>
      </c>
      <c r="D22" s="37">
        <f t="shared" si="0"/>
        <v>0.11116799723640104</v>
      </c>
      <c r="E22" s="38">
        <f t="shared" si="1"/>
        <v>238.67819336736247</v>
      </c>
      <c r="F22" s="3">
        <v>225</v>
      </c>
      <c r="G22">
        <f t="shared" ref="G22:G25" si="5">F22*0.025</f>
        <v>5.625</v>
      </c>
      <c r="H22">
        <v>5</v>
      </c>
      <c r="I22">
        <v>2000</v>
      </c>
      <c r="K22">
        <v>1.2</v>
      </c>
      <c r="L22">
        <v>1</v>
      </c>
      <c r="M22" s="49" t="s">
        <v>93</v>
      </c>
    </row>
    <row r="23" spans="1:13">
      <c r="A23" t="s">
        <v>37</v>
      </c>
      <c r="B23" s="1">
        <v>0.97</v>
      </c>
      <c r="C23">
        <v>0</v>
      </c>
      <c r="D23" s="37">
        <f t="shared" si="0"/>
        <v>8.1218628117918565E-3</v>
      </c>
      <c r="E23" s="38">
        <f t="shared" si="1"/>
        <v>318.23759115648329</v>
      </c>
      <c r="F23" s="3">
        <v>300</v>
      </c>
      <c r="G23">
        <f t="shared" si="5"/>
        <v>7.5</v>
      </c>
      <c r="H23">
        <v>5</v>
      </c>
      <c r="J23">
        <v>1</v>
      </c>
      <c r="L23">
        <v>1</v>
      </c>
      <c r="M23" s="49" t="s">
        <v>94</v>
      </c>
    </row>
    <row r="24" spans="1:13">
      <c r="A24" t="s">
        <v>38</v>
      </c>
      <c r="B24" s="1">
        <v>0.97</v>
      </c>
      <c r="C24">
        <v>0</v>
      </c>
      <c r="D24" s="37">
        <f t="shared" si="0"/>
        <v>8.1218628117918565E-3</v>
      </c>
      <c r="E24" s="38">
        <f t="shared" si="1"/>
        <v>318.23759115648329</v>
      </c>
      <c r="F24" s="3">
        <v>300</v>
      </c>
      <c r="G24">
        <f t="shared" si="5"/>
        <v>7.5</v>
      </c>
      <c r="H24">
        <v>5</v>
      </c>
      <c r="J24">
        <v>1</v>
      </c>
      <c r="L24">
        <v>1</v>
      </c>
      <c r="M24" s="49" t="s">
        <v>94</v>
      </c>
    </row>
    <row r="25" spans="1:13">
      <c r="A25" t="s">
        <v>15</v>
      </c>
      <c r="B25" s="1">
        <v>0.95</v>
      </c>
      <c r="C25">
        <v>0</v>
      </c>
      <c r="D25" s="37">
        <f t="shared" si="0"/>
        <v>5.8884715232458062E-3</v>
      </c>
      <c r="E25" s="38">
        <f t="shared" si="1"/>
        <v>421.23551084173801</v>
      </c>
      <c r="F25" s="3">
        <v>378.37837837837839</v>
      </c>
      <c r="G25">
        <f t="shared" si="5"/>
        <v>9.4594594594594597</v>
      </c>
      <c r="H25">
        <v>10</v>
      </c>
      <c r="J25">
        <v>1</v>
      </c>
      <c r="L25">
        <v>1</v>
      </c>
      <c r="M25" s="49" t="s">
        <v>95</v>
      </c>
    </row>
    <row r="27" spans="1:13">
      <c r="A27" s="2" t="s">
        <v>16</v>
      </c>
      <c r="B27" s="12" t="s">
        <v>0</v>
      </c>
      <c r="C27" s="12" t="s">
        <v>1</v>
      </c>
      <c r="D27" s="12" t="s">
        <v>2</v>
      </c>
      <c r="E27" s="12" t="s">
        <v>48</v>
      </c>
      <c r="F27" s="12" t="s">
        <v>57</v>
      </c>
      <c r="G27" s="12" t="s">
        <v>58</v>
      </c>
      <c r="H27" s="12" t="s">
        <v>4</v>
      </c>
      <c r="I27" s="12" t="s">
        <v>56</v>
      </c>
      <c r="J27" s="12" t="s">
        <v>5</v>
      </c>
      <c r="K27" s="12" t="s">
        <v>6</v>
      </c>
      <c r="L27" s="12" t="s">
        <v>59</v>
      </c>
    </row>
    <row r="28" spans="1:13">
      <c r="A28" t="s">
        <v>17</v>
      </c>
      <c r="B28" s="1">
        <v>0.6</v>
      </c>
      <c r="C28">
        <v>0.02</v>
      </c>
      <c r="D28" s="37">
        <f t="shared" ref="D28" si="6">IF(I28&gt;0, (E28+G28*H28)/(I28*K28), (E28+G28*H28)/(H28*J28*L28*24*365))</f>
        <v>8.0933742419628932E-2</v>
      </c>
      <c r="E28" s="38">
        <f t="shared" ref="E28" si="7">$B$2*(1+$B$2)^H28/((1+$B$2)^H28-1)*F28*H28</f>
        <v>1669.897917979747</v>
      </c>
      <c r="F28" s="3">
        <v>1500</v>
      </c>
      <c r="G28">
        <f>F28*0.125</f>
        <v>187.5</v>
      </c>
      <c r="H28">
        <v>10</v>
      </c>
      <c r="J28">
        <v>1</v>
      </c>
      <c r="L28">
        <v>0.5</v>
      </c>
      <c r="M28" s="49" t="s">
        <v>68</v>
      </c>
    </row>
    <row r="29" spans="1:13">
      <c r="A29" t="s">
        <v>162</v>
      </c>
      <c r="B29" s="1">
        <v>1</v>
      </c>
      <c r="C29">
        <v>0.15</v>
      </c>
      <c r="D29" s="37">
        <f t="shared" ref="D29" si="8">IF(I29&gt;0, (E29+G29*H29)/(I29*K29), (E29+G29*H29)/(H29*J29*L29*24*365))</f>
        <v>7.1454549558941802E-2</v>
      </c>
      <c r="E29" s="38">
        <f>$B$2*(1+$B$2)^H29/((1+$B$2)^H29-1)*F29*H29/K29</f>
        <v>0.90923456296275929</v>
      </c>
      <c r="F29" s="3">
        <v>400</v>
      </c>
      <c r="G29">
        <f>F29*0.125</f>
        <v>50</v>
      </c>
      <c r="H29">
        <v>50</v>
      </c>
      <c r="I29">
        <v>50</v>
      </c>
      <c r="J29">
        <v>1</v>
      </c>
      <c r="K29">
        <v>700</v>
      </c>
      <c r="L29">
        <v>1</v>
      </c>
      <c r="M29" s="49" t="s">
        <v>96</v>
      </c>
    </row>
    <row r="30" spans="1:13">
      <c r="A30" t="s">
        <v>160</v>
      </c>
      <c r="B30" s="1">
        <v>0.97</v>
      </c>
      <c r="C30">
        <v>0.15</v>
      </c>
      <c r="D30" s="37">
        <f t="shared" ref="D30:D39" si="9">IF(I30&gt;0, (E30+G30*H30)/(I30*K30), (E30+G30*H30)/(H30*J30*L30*24*365))</f>
        <v>1.0625383454639863E-2</v>
      </c>
      <c r="E30" s="38">
        <f t="shared" ref="E30:E41" si="10">$B$2*(1+$B$2)^H30/((1+$B$2)^H30-1)*F30*H30</f>
        <v>611.56718125290399</v>
      </c>
      <c r="F30" s="3">
        <v>500</v>
      </c>
      <c r="G30">
        <f>F30*0.125</f>
        <v>62.5</v>
      </c>
      <c r="H30">
        <v>20</v>
      </c>
      <c r="J30">
        <v>1</v>
      </c>
      <c r="L30">
        <v>1</v>
      </c>
    </row>
    <row r="31" spans="1:13">
      <c r="A31" t="s">
        <v>18</v>
      </c>
      <c r="B31" s="1">
        <v>1</v>
      </c>
      <c r="C31">
        <v>0.15</v>
      </c>
      <c r="D31" s="37">
        <f t="shared" si="9"/>
        <v>1.4293227846124809E-2</v>
      </c>
      <c r="E31" s="38">
        <f>$B$2*(1+$B$2)^H31/((1+$B$2)^H31-1)*F31*H31/K31</f>
        <v>166.30635427463483</v>
      </c>
      <c r="F31" s="3">
        <v>6000</v>
      </c>
      <c r="G31">
        <f>F31*0.02</f>
        <v>120</v>
      </c>
      <c r="H31">
        <v>8</v>
      </c>
      <c r="I31">
        <v>2000</v>
      </c>
      <c r="K31">
        <v>39.4</v>
      </c>
      <c r="L31">
        <v>1</v>
      </c>
    </row>
    <row r="32" spans="1:13">
      <c r="A32" t="s">
        <v>19</v>
      </c>
      <c r="B32" s="1">
        <v>0.95</v>
      </c>
      <c r="C32">
        <v>0.04</v>
      </c>
      <c r="D32" s="37">
        <f t="shared" si="9"/>
        <v>9.5486780145425977E-3</v>
      </c>
      <c r="E32" s="38">
        <f t="shared" si="10"/>
        <v>3182.3209703696571</v>
      </c>
      <c r="F32" s="3">
        <f>2000000/1000</f>
        <v>2000</v>
      </c>
      <c r="G32">
        <f>F32*0.01</f>
        <v>20</v>
      </c>
      <c r="H32">
        <v>50</v>
      </c>
      <c r="J32">
        <v>1</v>
      </c>
      <c r="L32">
        <v>1</v>
      </c>
    </row>
    <row r="33" spans="1:13">
      <c r="A33" t="s">
        <v>20</v>
      </c>
      <c r="B33" s="1">
        <v>1</v>
      </c>
      <c r="C33">
        <v>0.2</v>
      </c>
      <c r="D33" s="37">
        <f t="shared" si="9"/>
        <v>4.3773292939846709E-7</v>
      </c>
      <c r="E33" s="38">
        <f>$B$2*(1+$B$2)^H33/((1+$B$2)^H33-1)*F33*H33/K33</f>
        <v>155.22009676469642</v>
      </c>
      <c r="F33" s="3">
        <v>1500000</v>
      </c>
      <c r="H33">
        <v>20</v>
      </c>
      <c r="I33">
        <v>30000</v>
      </c>
      <c r="K33">
        <v>11820</v>
      </c>
      <c r="L33">
        <v>1</v>
      </c>
    </row>
    <row r="34" spans="1:13">
      <c r="A34" t="s">
        <v>21</v>
      </c>
      <c r="B34" s="1">
        <v>1</v>
      </c>
      <c r="C34">
        <v>0</v>
      </c>
      <c r="D34" s="37">
        <f t="shared" si="9"/>
        <v>2.8462687250116157E-2</v>
      </c>
      <c r="E34" s="38">
        <f t="shared" si="10"/>
        <v>2.446268725011616</v>
      </c>
      <c r="F34" s="3">
        <v>2</v>
      </c>
      <c r="G34">
        <f>0.01*F34</f>
        <v>0.02</v>
      </c>
      <c r="H34">
        <v>20</v>
      </c>
      <c r="I34">
        <v>100</v>
      </c>
      <c r="K34">
        <v>1</v>
      </c>
      <c r="L34">
        <v>0.5</v>
      </c>
    </row>
    <row r="35" spans="1:13">
      <c r="A35" t="s">
        <v>22</v>
      </c>
      <c r="B35" s="1">
        <v>1</v>
      </c>
      <c r="C35">
        <v>0.3</v>
      </c>
      <c r="D35" s="37">
        <f>IF(I35&gt;0, (E35+G35*H35)/(I35*K35), (E35+G35*H35)/(H35*J35*L35*24*365))</f>
        <v>1.1615402456105343E-3</v>
      </c>
      <c r="E35" s="38">
        <f>$B$2*(1+$B$2)^H35/((1+$B$2)^H35-1)*F35*H35</f>
        <v>3795.2225408630611</v>
      </c>
      <c r="F35" s="3">
        <f>150000/J35</f>
        <v>3409.090909090909</v>
      </c>
      <c r="G35">
        <f>F35*0.02</f>
        <v>68.181818181818187</v>
      </c>
      <c r="H35">
        <v>10</v>
      </c>
      <c r="J35">
        <v>44</v>
      </c>
      <c r="L35">
        <v>1</v>
      </c>
    </row>
    <row r="36" spans="1:13">
      <c r="A36" t="s">
        <v>23</v>
      </c>
      <c r="B36" s="1">
        <v>0.86</v>
      </c>
      <c r="C36">
        <v>0</v>
      </c>
      <c r="D36" s="37">
        <f t="shared" si="9"/>
        <v>3.2389075714401612E-4</v>
      </c>
      <c r="E36" s="38">
        <f t="shared" si="10"/>
        <v>107.6358239005111</v>
      </c>
      <c r="F36" s="3">
        <v>88</v>
      </c>
      <c r="G36">
        <f>F36*0.02</f>
        <v>1.76</v>
      </c>
      <c r="H36">
        <v>20</v>
      </c>
      <c r="I36">
        <v>1000</v>
      </c>
      <c r="K36">
        <v>441</v>
      </c>
      <c r="L36">
        <v>1</v>
      </c>
      <c r="M36" s="49" t="s">
        <v>97</v>
      </c>
    </row>
    <row r="37" spans="1:13">
      <c r="A37" t="s">
        <v>152</v>
      </c>
      <c r="B37" s="1">
        <v>1</v>
      </c>
      <c r="D37" s="37">
        <f t="shared" si="9"/>
        <v>8.1229130280011881E-5</v>
      </c>
      <c r="E37" s="38">
        <f t="shared" si="10"/>
        <v>12.231343625058081</v>
      </c>
      <c r="F37" s="3">
        <v>10</v>
      </c>
      <c r="G37">
        <f>F37*0.01</f>
        <v>0.1</v>
      </c>
      <c r="H37">
        <v>20</v>
      </c>
      <c r="J37">
        <v>1</v>
      </c>
      <c r="K37">
        <v>1</v>
      </c>
      <c r="L37">
        <v>1</v>
      </c>
    </row>
    <row r="38" spans="1:13">
      <c r="A38" t="s">
        <v>24</v>
      </c>
      <c r="B38" s="1">
        <v>1</v>
      </c>
      <c r="C38">
        <v>0</v>
      </c>
      <c r="D38" s="37">
        <f t="shared" si="9"/>
        <v>1.6245826056002376E-4</v>
      </c>
      <c r="E38" s="38">
        <f t="shared" si="10"/>
        <v>24.462687250116161</v>
      </c>
      <c r="F38" s="3">
        <v>20</v>
      </c>
      <c r="G38">
        <f>0.01*F38</f>
        <v>0.2</v>
      </c>
      <c r="H38">
        <v>20</v>
      </c>
      <c r="J38">
        <v>1</v>
      </c>
      <c r="L38">
        <v>1</v>
      </c>
    </row>
    <row r="39" spans="1:13">
      <c r="A39" t="s">
        <v>25</v>
      </c>
      <c r="B39" s="1">
        <v>0.5</v>
      </c>
      <c r="C39">
        <v>0</v>
      </c>
      <c r="D39" s="37">
        <f t="shared" si="9"/>
        <v>3.6832540608519738E-2</v>
      </c>
      <c r="E39" s="38">
        <f t="shared" si="10"/>
        <v>2226.5305573063292</v>
      </c>
      <c r="F39" s="3">
        <v>2000</v>
      </c>
      <c r="G39">
        <f>F39*0.05</f>
        <v>100</v>
      </c>
      <c r="H39">
        <v>10</v>
      </c>
      <c r="J39">
        <v>1</v>
      </c>
      <c r="L39">
        <v>1</v>
      </c>
    </row>
    <row r="40" spans="1:13">
      <c r="A40" t="s">
        <v>171</v>
      </c>
      <c r="B40" s="1">
        <v>0.5</v>
      </c>
      <c r="D40" s="37">
        <f>IF(I40&gt;0, (E40+G40*H40)/(I40*K40), (E40+G40*H40)/(H40*J40*L40*24*365))</f>
        <v>2.3109689136391491E-2</v>
      </c>
      <c r="E40" s="38">
        <f t="shared" si="10"/>
        <v>2561.0219208697367</v>
      </c>
      <c r="F40" s="3">
        <v>2000</v>
      </c>
      <c r="G40">
        <f>F40*0.05</f>
        <v>100</v>
      </c>
      <c r="H40">
        <v>25</v>
      </c>
      <c r="J40">
        <v>1</v>
      </c>
      <c r="L40">
        <v>1</v>
      </c>
    </row>
    <row r="41" spans="1:13">
      <c r="A41" t="s">
        <v>161</v>
      </c>
      <c r="B41" s="1">
        <v>0.99</v>
      </c>
      <c r="C41">
        <v>1E-3</v>
      </c>
      <c r="D41" s="37">
        <f>IF(I41&gt;0, (E41+G41*H41)/(I41*K41), (E41+G41*H41)/(H41*J41*L41*24*365))</f>
        <v>9.3405490529333991E-3</v>
      </c>
      <c r="E41" s="38">
        <f t="shared" si="10"/>
        <v>1591.1604851848285</v>
      </c>
      <c r="F41" s="3">
        <v>1000</v>
      </c>
      <c r="G41">
        <f>F41*0.05</f>
        <v>50</v>
      </c>
      <c r="H41">
        <v>50</v>
      </c>
      <c r="J41">
        <v>1</v>
      </c>
      <c r="L41">
        <v>1</v>
      </c>
    </row>
    <row r="43" spans="1:13">
      <c r="A43" s="2" t="s">
        <v>118</v>
      </c>
      <c r="B43" s="12" t="s">
        <v>0</v>
      </c>
      <c r="C43" s="12" t="s">
        <v>1</v>
      </c>
      <c r="D43" s="12" t="s">
        <v>2</v>
      </c>
      <c r="E43" s="12" t="s">
        <v>48</v>
      </c>
      <c r="F43" s="12" t="s">
        <v>57</v>
      </c>
      <c r="G43" s="12" t="s">
        <v>58</v>
      </c>
      <c r="H43" s="12" t="s">
        <v>4</v>
      </c>
      <c r="I43" s="12" t="s">
        <v>56</v>
      </c>
      <c r="J43" s="12" t="s">
        <v>5</v>
      </c>
      <c r="K43" s="12" t="s">
        <v>6</v>
      </c>
      <c r="L43" s="12" t="s">
        <v>59</v>
      </c>
    </row>
    <row r="44" spans="1:13">
      <c r="A44" t="s">
        <v>52</v>
      </c>
      <c r="B44" s="1">
        <v>1</v>
      </c>
      <c r="C44">
        <v>5.3999999999999999E-2</v>
      </c>
      <c r="D44" s="37">
        <f>IF(I44&gt;0, (E44+G44*H44)/(I44*K44), (E44+G44*H44)/(H44*J44*L44*24*365))</f>
        <v>0.35980199375477329</v>
      </c>
      <c r="E44" s="38">
        <f t="shared" ref="E44" si="11">$B$2*(1+$B$2)^H44/((1+$B$2)^H44-1)*F44*H44</f>
        <v>3404.1454784262542</v>
      </c>
      <c r="F44" s="13">
        <v>3000</v>
      </c>
      <c r="G44" s="13">
        <f>F44*0.1</f>
        <v>300</v>
      </c>
      <c r="H44">
        <v>12</v>
      </c>
      <c r="J44">
        <f>1/5.4</f>
        <v>0.18518518518518517</v>
      </c>
      <c r="L44">
        <v>1</v>
      </c>
    </row>
    <row r="45" spans="1:13">
      <c r="A45" t="s">
        <v>51</v>
      </c>
      <c r="B45" s="1">
        <v>1</v>
      </c>
      <c r="C45">
        <v>1.43E-2</v>
      </c>
      <c r="D45" s="39">
        <f t="shared" ref="D45:D65" si="12">IF(I45&gt;0, (E45+G45*H45)/(I45*K45), (E45+G45*H45)/(H45*J45*L45*24*365))</f>
        <v>6.6358157238715812E-2</v>
      </c>
      <c r="E45" s="38">
        <f t="shared" ref="E45:E64" si="13">$B$2*(1+$B$2)^H45/((1+$B$2)^H45-1)*F45*H45</f>
        <v>907.77212758033443</v>
      </c>
      <c r="F45">
        <v>800</v>
      </c>
      <c r="G45">
        <f>F45*0.04</f>
        <v>32</v>
      </c>
      <c r="H45">
        <v>12</v>
      </c>
      <c r="J45">
        <f>1/5.4</f>
        <v>0.18518518518518517</v>
      </c>
      <c r="L45">
        <v>1</v>
      </c>
    </row>
    <row r="46" spans="1:13">
      <c r="A46" t="s">
        <v>27</v>
      </c>
      <c r="B46" s="1">
        <v>1</v>
      </c>
      <c r="C46">
        <v>0.05</v>
      </c>
      <c r="D46" s="37">
        <f t="shared" si="12"/>
        <v>1.0106492478916991E-3</v>
      </c>
      <c r="E46" s="38">
        <f t="shared" si="13"/>
        <v>40.184930064062677</v>
      </c>
      <c r="F46">
        <v>30</v>
      </c>
      <c r="G46">
        <f>F46*0.01</f>
        <v>0.3</v>
      </c>
      <c r="H46">
        <v>30</v>
      </c>
      <c r="J46">
        <f>1/5.4</f>
        <v>0.18518518518518517</v>
      </c>
      <c r="L46">
        <v>1</v>
      </c>
    </row>
    <row r="47" spans="1:13">
      <c r="B47" s="1"/>
      <c r="D47" s="3"/>
      <c r="E47" s="13"/>
    </row>
    <row r="48" spans="1:13">
      <c r="A48" s="2" t="s">
        <v>26</v>
      </c>
      <c r="B48" s="12" t="s">
        <v>0</v>
      </c>
      <c r="C48" s="12" t="s">
        <v>1</v>
      </c>
      <c r="D48" s="12" t="s">
        <v>2</v>
      </c>
      <c r="E48" s="12" t="s">
        <v>48</v>
      </c>
      <c r="F48" s="12" t="s">
        <v>57</v>
      </c>
      <c r="G48" s="12" t="s">
        <v>58</v>
      </c>
      <c r="H48" s="12" t="s">
        <v>4</v>
      </c>
      <c r="I48" s="12" t="s">
        <v>56</v>
      </c>
      <c r="J48" s="12" t="s">
        <v>5</v>
      </c>
      <c r="K48" s="12" t="s">
        <v>6</v>
      </c>
      <c r="L48" s="12" t="s">
        <v>59</v>
      </c>
    </row>
    <row r="49" spans="1:14">
      <c r="A49" t="s">
        <v>28</v>
      </c>
      <c r="B49" s="1">
        <v>0.7</v>
      </c>
      <c r="C49">
        <v>0.05</v>
      </c>
      <c r="D49" s="39">
        <f t="shared" si="12"/>
        <v>2.7962785262023615E-2</v>
      </c>
      <c r="E49" s="38">
        <f t="shared" si="13"/>
        <v>3466.6199668598065</v>
      </c>
      <c r="F49" s="19">
        <v>2588</v>
      </c>
      <c r="G49">
        <f>F49*0.05</f>
        <v>129.4</v>
      </c>
      <c r="H49">
        <v>30</v>
      </c>
      <c r="J49" s="19">
        <v>1</v>
      </c>
      <c r="L49">
        <v>1</v>
      </c>
      <c r="M49" s="49" t="s">
        <v>120</v>
      </c>
      <c r="N49" s="28" t="s">
        <v>125</v>
      </c>
    </row>
    <row r="50" spans="1:14">
      <c r="A50" t="s">
        <v>124</v>
      </c>
      <c r="B50" s="1">
        <v>0.34599999999999997</v>
      </c>
      <c r="C50">
        <v>0</v>
      </c>
      <c r="D50" s="39">
        <f t="shared" ref="D50:D51" si="14">IF(I50&gt;0, (E50+G50*H50)/(I50*K50), (E50+G50*H50)/(H50*J50*L50*24*365))</f>
        <v>2.4087610402483448E-2</v>
      </c>
      <c r="E50" s="38">
        <f t="shared" ref="E50:E54" si="15">$B$2*(1+$B$2)^H50/((1+$B$2)^H50-1)*F50*H50</f>
        <v>3180.1493425151007</v>
      </c>
      <c r="F50" s="19">
        <v>2600</v>
      </c>
      <c r="G50" s="19">
        <f>0.02*F50</f>
        <v>52</v>
      </c>
      <c r="H50">
        <v>20</v>
      </c>
      <c r="J50" s="19">
        <v>1</v>
      </c>
      <c r="L50">
        <v>1</v>
      </c>
      <c r="N50" s="28" t="s">
        <v>126</v>
      </c>
    </row>
    <row r="51" spans="1:14">
      <c r="A51" t="s">
        <v>116</v>
      </c>
      <c r="B51" s="1">
        <v>0.45</v>
      </c>
      <c r="C51">
        <v>0.1</v>
      </c>
      <c r="D51" s="37">
        <f t="shared" si="14"/>
        <v>0.29637578708374029</v>
      </c>
      <c r="E51" s="38">
        <f t="shared" si="15"/>
        <v>17043.778422803476</v>
      </c>
      <c r="F51">
        <v>14600</v>
      </c>
      <c r="G51">
        <f>0.1*F51</f>
        <v>1460</v>
      </c>
      <c r="H51">
        <v>15</v>
      </c>
      <c r="J51">
        <v>1</v>
      </c>
      <c r="L51">
        <v>1</v>
      </c>
    </row>
    <row r="52" spans="1:14">
      <c r="A52" s="34" t="s">
        <v>114</v>
      </c>
      <c r="B52" s="33">
        <v>0.84</v>
      </c>
      <c r="C52" s="34">
        <f>7.2/20800</f>
        <v>3.4615384615384619E-4</v>
      </c>
      <c r="D52" s="39">
        <v>1.4999999999999999E-2</v>
      </c>
      <c r="E52" s="38">
        <f t="shared" si="15"/>
        <v>587.10449400278776</v>
      </c>
      <c r="F52" s="35">
        <v>480</v>
      </c>
      <c r="G52" s="34">
        <v>29</v>
      </c>
      <c r="H52" s="34">
        <v>20</v>
      </c>
      <c r="I52" s="34"/>
      <c r="J52" s="35">
        <v>1</v>
      </c>
      <c r="K52" s="34"/>
      <c r="L52" s="34">
        <v>1</v>
      </c>
      <c r="M52" s="49" t="s">
        <v>147</v>
      </c>
    </row>
    <row r="53" spans="1:14">
      <c r="A53" s="34" t="s">
        <v>115</v>
      </c>
      <c r="B53" s="33">
        <v>0.95</v>
      </c>
      <c r="C53" s="34"/>
      <c r="D53" s="39">
        <v>1.4999999999999999E-2</v>
      </c>
      <c r="E53" s="38">
        <f t="shared" si="15"/>
        <v>1741.3469694427158</v>
      </c>
      <c r="F53" s="35">
        <v>1300</v>
      </c>
      <c r="G53" s="34">
        <v>130</v>
      </c>
      <c r="H53" s="34">
        <v>30</v>
      </c>
      <c r="I53" s="34"/>
      <c r="J53" s="35">
        <v>1</v>
      </c>
      <c r="K53" s="34"/>
      <c r="L53" s="34">
        <v>1</v>
      </c>
    </row>
    <row r="54" spans="1:14">
      <c r="A54" s="34" t="s">
        <v>117</v>
      </c>
      <c r="B54" s="33">
        <v>0.95</v>
      </c>
      <c r="C54" s="34"/>
      <c r="D54" s="39">
        <v>1.4999999999999999E-2</v>
      </c>
      <c r="E54" s="38">
        <f t="shared" si="15"/>
        <v>1741.3469694427158</v>
      </c>
      <c r="F54" s="35">
        <v>1300</v>
      </c>
      <c r="G54" s="34">
        <v>130</v>
      </c>
      <c r="H54" s="34">
        <v>30</v>
      </c>
      <c r="I54" s="34"/>
      <c r="J54" s="35">
        <v>1</v>
      </c>
      <c r="K54" s="34"/>
      <c r="L54" s="34">
        <v>1</v>
      </c>
    </row>
    <row r="55" spans="1:14">
      <c r="A55" s="34" t="s">
        <v>134</v>
      </c>
      <c r="B55" s="33">
        <v>0.95</v>
      </c>
      <c r="C55" s="34"/>
      <c r="D55" s="39">
        <v>1.4999999999999999E-2</v>
      </c>
      <c r="E55" s="38">
        <f>$B$2*(1+$B$2)^H55/((1+$B$2)^H55-1)*F55*H55</f>
        <v>1741.3469694427158</v>
      </c>
      <c r="F55" s="35">
        <v>1300</v>
      </c>
      <c r="G55" s="34">
        <v>130</v>
      </c>
      <c r="H55" s="34">
        <v>30</v>
      </c>
      <c r="I55" s="34"/>
      <c r="J55" s="35">
        <v>1</v>
      </c>
      <c r="K55" s="34"/>
      <c r="L55" s="34">
        <v>1</v>
      </c>
    </row>
    <row r="56" spans="1:14">
      <c r="A56" s="34" t="s">
        <v>151</v>
      </c>
      <c r="B56" s="33">
        <v>0.95</v>
      </c>
      <c r="C56" s="34">
        <v>6.8599999999999994E-2</v>
      </c>
      <c r="D56" s="39">
        <v>1.4999999999999999E-2</v>
      </c>
      <c r="E56" s="38">
        <f t="shared" ref="E56" si="16">$B$2*(1+$B$2)^H56/((1+$B$2)^H56-1)*F56*H56</f>
        <v>1741.3469694427158</v>
      </c>
      <c r="F56" s="35">
        <v>1300</v>
      </c>
      <c r="G56" s="34">
        <v>130</v>
      </c>
      <c r="H56" s="34">
        <v>30</v>
      </c>
      <c r="I56" s="34"/>
      <c r="J56" s="35">
        <v>1</v>
      </c>
      <c r="K56" s="34"/>
      <c r="L56" s="34">
        <v>1</v>
      </c>
    </row>
    <row r="57" spans="1:14">
      <c r="A57" t="s">
        <v>135</v>
      </c>
      <c r="B57" s="1">
        <v>0.95</v>
      </c>
      <c r="D57" s="39">
        <v>1.4999999999999999E-2</v>
      </c>
      <c r="E57" s="38">
        <f t="shared" ref="E57" si="17">$B$2*(1+$B$2)^H57/((1+$B$2)^H57-1)*F57*H57</f>
        <v>1741.3469694427158</v>
      </c>
      <c r="F57" s="19">
        <v>1300</v>
      </c>
      <c r="G57">
        <v>130</v>
      </c>
      <c r="H57">
        <v>30</v>
      </c>
      <c r="J57" s="19">
        <v>1</v>
      </c>
      <c r="L57">
        <v>1</v>
      </c>
    </row>
    <row r="58" spans="1:14">
      <c r="A58" t="s">
        <v>29</v>
      </c>
      <c r="B58" s="1">
        <v>0.99</v>
      </c>
      <c r="D58" s="37">
        <f t="shared" si="12"/>
        <v>5.3367538593967796E-7</v>
      </c>
      <c r="E58" s="38">
        <f t="shared" si="13"/>
        <v>0.18347015437587116</v>
      </c>
      <c r="F58">
        <f>3000/K58</f>
        <v>0.15</v>
      </c>
      <c r="G58">
        <f>F58*0.01</f>
        <v>1.5E-3</v>
      </c>
      <c r="H58">
        <v>20</v>
      </c>
      <c r="I58">
        <v>20</v>
      </c>
      <c r="K58">
        <v>20000</v>
      </c>
      <c r="L58">
        <v>1</v>
      </c>
    </row>
    <row r="59" spans="1:14">
      <c r="A59" t="s">
        <v>30</v>
      </c>
      <c r="B59" s="1">
        <v>0.99</v>
      </c>
      <c r="D59" s="37">
        <f t="shared" si="12"/>
        <v>1.067350771879356E-5</v>
      </c>
      <c r="E59" s="38">
        <f t="shared" si="13"/>
        <v>3.6694030875174239</v>
      </c>
      <c r="F59">
        <v>3</v>
      </c>
      <c r="G59">
        <f>F59*0.01</f>
        <v>0.03</v>
      </c>
      <c r="H59">
        <v>20</v>
      </c>
      <c r="I59">
        <v>20</v>
      </c>
      <c r="K59">
        <v>20000</v>
      </c>
      <c r="L59">
        <v>0.1</v>
      </c>
    </row>
    <row r="60" spans="1:14">
      <c r="A60" t="s">
        <v>31</v>
      </c>
      <c r="B60" s="1">
        <v>1</v>
      </c>
      <c r="D60" s="37">
        <f t="shared" si="12"/>
        <v>6.1763103596111418E-4</v>
      </c>
      <c r="E60" s="38">
        <f t="shared" si="13"/>
        <v>81.542290833720529</v>
      </c>
      <c r="F60">
        <f>1000000/15000</f>
        <v>66.666666666666671</v>
      </c>
      <c r="G60">
        <f>F60*0.02</f>
        <v>1.3333333333333335</v>
      </c>
      <c r="H60">
        <v>20</v>
      </c>
      <c r="J60">
        <v>1</v>
      </c>
      <c r="L60">
        <v>1</v>
      </c>
    </row>
    <row r="61" spans="1:14">
      <c r="A61" t="s">
        <v>32</v>
      </c>
      <c r="B61" s="1">
        <v>1</v>
      </c>
      <c r="D61" s="37">
        <f t="shared" si="12"/>
        <v>1.5583310403397573E-8</v>
      </c>
      <c r="E61" s="38">
        <f t="shared" si="13"/>
        <v>1.0920783930701019E-3</v>
      </c>
      <c r="F61">
        <f>100/(200000/100*5*10)</f>
        <v>1E-3</v>
      </c>
      <c r="H61">
        <v>8</v>
      </c>
      <c r="J61">
        <v>1</v>
      </c>
      <c r="L61">
        <v>1</v>
      </c>
    </row>
    <row r="62" spans="1:14">
      <c r="A62" t="s">
        <v>33</v>
      </c>
      <c r="B62" s="1">
        <v>0.3</v>
      </c>
      <c r="D62" s="37">
        <f t="shared" si="12"/>
        <v>1.5052376623331786E-2</v>
      </c>
      <c r="E62" s="38">
        <f t="shared" si="13"/>
        <v>98.287055376309169</v>
      </c>
      <c r="F62">
        <v>90</v>
      </c>
      <c r="G62">
        <f>F62*0.01</f>
        <v>0.9</v>
      </c>
      <c r="H62">
        <v>8</v>
      </c>
      <c r="J62">
        <v>1</v>
      </c>
      <c r="L62">
        <v>0.1</v>
      </c>
    </row>
    <row r="63" spans="1:14">
      <c r="A63" t="s">
        <v>34</v>
      </c>
      <c r="B63" s="1">
        <v>0.95</v>
      </c>
      <c r="D63" s="37">
        <f t="shared" si="12"/>
        <v>0.11676470539045505</v>
      </c>
      <c r="E63" s="38">
        <f t="shared" si="13"/>
        <v>98.287055376309169</v>
      </c>
      <c r="F63">
        <v>90</v>
      </c>
      <c r="G63">
        <v>90</v>
      </c>
      <c r="H63">
        <v>8</v>
      </c>
      <c r="J63">
        <v>1</v>
      </c>
      <c r="L63">
        <v>0.1</v>
      </c>
    </row>
    <row r="64" spans="1:14">
      <c r="A64" t="s">
        <v>122</v>
      </c>
      <c r="B64" s="1">
        <v>1</v>
      </c>
      <c r="D64" s="37">
        <f t="shared" si="12"/>
        <v>4.873747816800712E-4</v>
      </c>
      <c r="E64" s="38">
        <f t="shared" si="13"/>
        <v>73.38806175034847</v>
      </c>
      <c r="F64">
        <v>60</v>
      </c>
      <c r="G64">
        <v>0.6</v>
      </c>
      <c r="H64">
        <v>20</v>
      </c>
      <c r="J64">
        <v>1</v>
      </c>
      <c r="L64">
        <v>1</v>
      </c>
    </row>
    <row r="65" spans="1:12">
      <c r="A65" t="s">
        <v>123</v>
      </c>
      <c r="B65" s="1">
        <v>0.3</v>
      </c>
      <c r="D65" s="37">
        <f t="shared" si="12"/>
        <v>1.9513903313394618E-3</v>
      </c>
      <c r="E65" s="38">
        <f>$B$2*(1+$B$2)^H65/((1+$B$2)^H65-1)*F65*H65</f>
        <v>141.88358605067373</v>
      </c>
      <c r="F65">
        <v>116</v>
      </c>
      <c r="G65">
        <v>10</v>
      </c>
      <c r="H65">
        <v>20</v>
      </c>
      <c r="J65">
        <v>1</v>
      </c>
      <c r="L65">
        <v>1</v>
      </c>
    </row>
    <row r="66" spans="1:12">
      <c r="A66" t="s">
        <v>176</v>
      </c>
      <c r="B66" s="1">
        <v>0.8528</v>
      </c>
      <c r="D66" s="37">
        <f t="shared" ref="D66:D68" si="18">IF(I66&gt;0, (E66+G66*H66)/(I66*K66), (E66+G66*H66)/(H66*J66*L66*24*365))</f>
        <v>2.7962785262023615E-2</v>
      </c>
      <c r="E66" s="38">
        <f>$B$2*(1+$B$2)^H66/((1+$B$2)^H66-1)*F66*H66</f>
        <v>3466.6199668598065</v>
      </c>
      <c r="F66" s="19">
        <v>2588</v>
      </c>
      <c r="G66">
        <f>F66*0.05</f>
        <v>129.4</v>
      </c>
      <c r="H66">
        <v>30</v>
      </c>
      <c r="J66" s="19">
        <v>1</v>
      </c>
      <c r="L66">
        <v>1</v>
      </c>
    </row>
    <row r="67" spans="1:12">
      <c r="A67" t="s">
        <v>179</v>
      </c>
      <c r="B67" s="1">
        <v>0.95</v>
      </c>
      <c r="D67" s="37">
        <f t="shared" si="18"/>
        <v>2.5378246147326573E-3</v>
      </c>
      <c r="E67" s="38">
        <f>$B$2*(1+$B$2)^H67/((1+$B$2)^H67-1)*F67*H67</f>
        <v>244.62687250116159</v>
      </c>
      <c r="F67">
        <v>200</v>
      </c>
      <c r="G67">
        <f>0.05*F67</f>
        <v>10</v>
      </c>
      <c r="H67">
        <v>20</v>
      </c>
      <c r="J67">
        <v>1</v>
      </c>
      <c r="L67">
        <v>1</v>
      </c>
    </row>
    <row r="68" spans="1:12">
      <c r="A68" t="s">
        <v>178</v>
      </c>
      <c r="B68" s="1">
        <v>0.9</v>
      </c>
      <c r="D68" s="37">
        <f t="shared" si="18"/>
        <v>2.5378246147326573E-3</v>
      </c>
      <c r="E68" s="38">
        <f>$B$2*(1+$B$2)^H68/((1+$B$2)^H68-1)*F68*H68</f>
        <v>244.62687250116159</v>
      </c>
      <c r="F68">
        <v>200</v>
      </c>
      <c r="G68">
        <f>0.05*F68</f>
        <v>10</v>
      </c>
      <c r="H68">
        <v>20</v>
      </c>
      <c r="J68">
        <v>1</v>
      </c>
      <c r="L68">
        <v>1</v>
      </c>
    </row>
    <row r="69" spans="1:12">
      <c r="A69" t="s">
        <v>177</v>
      </c>
      <c r="B69" s="1">
        <v>0.95</v>
      </c>
      <c r="D69" s="37">
        <f t="shared" ref="D69:D70" si="19">IF(I69&gt;0, (E69+G69*H69)/(I69*K69), (E69+G69*H69)/(H69*J69*L69*24*365))</f>
        <v>1.0625383454639863E-2</v>
      </c>
      <c r="E69" s="38">
        <f t="shared" ref="E69:E70" si="20">$B$2*(1+$B$2)^H69/((1+$B$2)^H69-1)*F69*H69</f>
        <v>611.56718125290399</v>
      </c>
      <c r="F69" s="3">
        <v>500</v>
      </c>
      <c r="G69">
        <f>F69*0.125</f>
        <v>62.5</v>
      </c>
      <c r="H69">
        <v>20</v>
      </c>
      <c r="J69">
        <v>1</v>
      </c>
      <c r="L69">
        <v>1</v>
      </c>
    </row>
    <row r="70" spans="1:12">
      <c r="A70" t="s">
        <v>252</v>
      </c>
      <c r="B70" s="1">
        <v>0.99</v>
      </c>
      <c r="D70" s="37">
        <f t="shared" si="19"/>
        <v>4.7743390072712986E-6</v>
      </c>
      <c r="E70" s="38">
        <f t="shared" si="20"/>
        <v>1.5911604851848287</v>
      </c>
      <c r="F70">
        <v>1</v>
      </c>
      <c r="G70">
        <v>0.01</v>
      </c>
      <c r="H70">
        <v>50</v>
      </c>
      <c r="J70">
        <v>1</v>
      </c>
      <c r="L70">
        <v>1</v>
      </c>
    </row>
    <row r="71" spans="1:12">
      <c r="B71" s="1"/>
      <c r="D71" s="39"/>
      <c r="E71" s="38"/>
      <c r="F71" s="19"/>
      <c r="G71" s="19"/>
      <c r="J71" s="19"/>
    </row>
    <row r="72" spans="1:12">
      <c r="A72" s="2" t="s">
        <v>155</v>
      </c>
      <c r="B72" s="12" t="s">
        <v>0</v>
      </c>
      <c r="C72" s="12" t="s">
        <v>1</v>
      </c>
      <c r="D72" s="12" t="s">
        <v>2</v>
      </c>
      <c r="E72" s="12" t="s">
        <v>48</v>
      </c>
      <c r="F72" s="12" t="s">
        <v>57</v>
      </c>
      <c r="G72" s="12" t="s">
        <v>58</v>
      </c>
      <c r="H72" s="12" t="s">
        <v>4</v>
      </c>
      <c r="I72" s="12" t="s">
        <v>56</v>
      </c>
      <c r="J72" s="12" t="s">
        <v>5</v>
      </c>
      <c r="K72" s="12" t="s">
        <v>6</v>
      </c>
      <c r="L72" s="12" t="s">
        <v>59</v>
      </c>
    </row>
    <row r="73" spans="1:12">
      <c r="A73" t="s">
        <v>156</v>
      </c>
      <c r="B73" s="1">
        <v>0.78</v>
      </c>
      <c r="D73" s="39">
        <v>1.4999999999999999E-2</v>
      </c>
      <c r="E73" s="38">
        <f>$B$2*(1+$B$2)^H73/((1+$B$2)^H73-1)*F73*H73/J73</f>
        <v>733.8806175034847</v>
      </c>
      <c r="F73" s="19">
        <v>600</v>
      </c>
      <c r="G73" s="19">
        <f>0.1*F73</f>
        <v>60</v>
      </c>
      <c r="H73">
        <v>20</v>
      </c>
      <c r="J73" s="19">
        <v>1</v>
      </c>
      <c r="L73">
        <v>1</v>
      </c>
    </row>
    <row r="74" spans="1:12">
      <c r="A74" t="s">
        <v>157</v>
      </c>
      <c r="B74" s="1">
        <v>0.97</v>
      </c>
      <c r="C74">
        <v>0.1</v>
      </c>
      <c r="D74" s="37">
        <f t="shared" ref="D74" si="21">IF(I74&gt;0, (E74+G74*H74)/(I74*K74), (E74+G74*H74)/(H74*J74*L74*24*365))</f>
        <v>6.3752300727839177E-3</v>
      </c>
      <c r="E74" s="38">
        <f t="shared" ref="E74" si="22">$B$2*(1+$B$2)^H74/((1+$B$2)^H74-1)*F74*H74</f>
        <v>366.94030875174235</v>
      </c>
      <c r="F74" s="3">
        <v>300</v>
      </c>
      <c r="G74">
        <f>F74*0.125</f>
        <v>37.5</v>
      </c>
      <c r="H74">
        <v>20</v>
      </c>
      <c r="J74">
        <v>1</v>
      </c>
      <c r="L74">
        <v>1</v>
      </c>
    </row>
    <row r="75" spans="1:12">
      <c r="A75" t="s">
        <v>158</v>
      </c>
      <c r="B75" s="1">
        <v>1</v>
      </c>
      <c r="D75" s="39"/>
      <c r="E75" s="38"/>
      <c r="F75" s="19"/>
      <c r="G75" s="19"/>
      <c r="J75" s="19"/>
    </row>
    <row r="76" spans="1:12">
      <c r="A76" t="s">
        <v>159</v>
      </c>
      <c r="B76" s="1">
        <v>0.98</v>
      </c>
      <c r="D76" s="39"/>
      <c r="E76" s="38"/>
      <c r="F76" s="19"/>
      <c r="G76" s="19"/>
      <c r="J76" s="19"/>
    </row>
    <row r="77" spans="1:12">
      <c r="A77" t="s">
        <v>165</v>
      </c>
      <c r="B77" s="1">
        <v>1</v>
      </c>
      <c r="C77">
        <v>0.15</v>
      </c>
      <c r="D77" s="37">
        <f t="shared" ref="D77" si="23">IF(I77&gt;0, (E77+G77*H77)/(I77*K77), (E77+G77*H77)/(H77*J77*L77*24*365))</f>
        <v>7.1454549558941802E-2</v>
      </c>
      <c r="E77" s="38">
        <f>$B$2*(1+$B$2)^H77/((1+$B$2)^H77-1)*F77*H77/K77</f>
        <v>0.90923456296275929</v>
      </c>
      <c r="F77" s="3">
        <v>400</v>
      </c>
      <c r="G77">
        <f>F77*0.125</f>
        <v>50</v>
      </c>
      <c r="H77">
        <v>50</v>
      </c>
      <c r="I77">
        <v>50</v>
      </c>
      <c r="J77">
        <v>1</v>
      </c>
      <c r="K77">
        <v>700</v>
      </c>
      <c r="L77">
        <v>1</v>
      </c>
    </row>
    <row r="78" spans="1:12">
      <c r="A78" t="s">
        <v>164</v>
      </c>
      <c r="B78" s="1">
        <v>0.98</v>
      </c>
      <c r="C78">
        <v>0.1</v>
      </c>
      <c r="D78" s="37">
        <f>IF(I78&gt;0, (E78+G78*H78)/(I78*K78), (E78+G78*H78)/(H78*J78*L78*24*365))</f>
        <v>8.1229130280011871E-3</v>
      </c>
      <c r="E78" s="38">
        <f>$B$2*(1+$B$2)^H78/((1+$B$2)^H78-1)*F78*H78/J78</f>
        <v>1223.134362505808</v>
      </c>
      <c r="F78" s="3">
        <v>1000</v>
      </c>
      <c r="G78">
        <f>0.01*F78</f>
        <v>10</v>
      </c>
      <c r="H78">
        <v>20</v>
      </c>
      <c r="J78" s="19">
        <v>1</v>
      </c>
      <c r="L78">
        <v>1</v>
      </c>
    </row>
    <row r="79" spans="1:12">
      <c r="B79" s="1"/>
      <c r="D79" s="39"/>
      <c r="E79" s="38"/>
      <c r="F79" s="19"/>
      <c r="G79" s="19"/>
      <c r="J79" s="19"/>
    </row>
    <row r="80" spans="1:12">
      <c r="A80" s="2" t="s">
        <v>71</v>
      </c>
      <c r="B80" s="12" t="s">
        <v>0</v>
      </c>
      <c r="C80" s="12" t="s">
        <v>1</v>
      </c>
      <c r="D80" s="12" t="s">
        <v>2</v>
      </c>
      <c r="E80" s="12" t="s">
        <v>48</v>
      </c>
      <c r="F80" s="12" t="s">
        <v>57</v>
      </c>
      <c r="G80" s="12" t="s">
        <v>58</v>
      </c>
      <c r="H80" s="12" t="s">
        <v>4</v>
      </c>
      <c r="I80" s="12" t="s">
        <v>56</v>
      </c>
      <c r="J80" s="12" t="s">
        <v>5</v>
      </c>
      <c r="K80" s="12" t="s">
        <v>6</v>
      </c>
      <c r="L80" s="12" t="s">
        <v>59</v>
      </c>
    </row>
    <row r="81" spans="1:13">
      <c r="A81" t="s">
        <v>72</v>
      </c>
      <c r="B81" s="1">
        <v>1</v>
      </c>
      <c r="C81">
        <v>0.01</v>
      </c>
      <c r="D81" s="37">
        <f t="shared" ref="D81:D83" si="24">IF(I81&gt;0, (E81+G81*H81)/(I81*K81), (E81+G81*H81)/(H81*J81*L81*24*365))</f>
        <v>1.6245826056002373E-3</v>
      </c>
      <c r="E81" s="38">
        <f t="shared" ref="E81:E83" si="25">$B$2*(1+$B$2)^H81/((1+$B$2)^H81-1)*F81*H81</f>
        <v>244.62687250116159</v>
      </c>
      <c r="F81">
        <v>200</v>
      </c>
      <c r="G81">
        <f t="shared" ref="G81:G83" si="26">F81*0.01</f>
        <v>2</v>
      </c>
      <c r="H81">
        <v>20</v>
      </c>
      <c r="J81">
        <v>1</v>
      </c>
      <c r="L81">
        <v>1</v>
      </c>
      <c r="M81" s="49" t="s">
        <v>99</v>
      </c>
    </row>
    <row r="82" spans="1:13">
      <c r="A82" t="s">
        <v>173</v>
      </c>
      <c r="B82" s="1">
        <v>0.99</v>
      </c>
      <c r="D82" s="37">
        <f t="shared" si="24"/>
        <v>4.0614565140005936E-3</v>
      </c>
      <c r="E82" s="38">
        <f t="shared" si="25"/>
        <v>611.56718125290399</v>
      </c>
      <c r="F82">
        <v>500</v>
      </c>
      <c r="G82">
        <f t="shared" si="26"/>
        <v>5</v>
      </c>
      <c r="H82">
        <v>20</v>
      </c>
      <c r="J82">
        <v>1</v>
      </c>
      <c r="L82">
        <v>1</v>
      </c>
    </row>
    <row r="83" spans="1:13">
      <c r="A83" t="s">
        <v>174</v>
      </c>
      <c r="B83" s="1">
        <v>0.78300000000000003</v>
      </c>
      <c r="C83">
        <v>0.22</v>
      </c>
      <c r="D83" s="37">
        <f t="shared" si="24"/>
        <v>1.2184369542001777E-2</v>
      </c>
      <c r="E83" s="38">
        <f t="shared" si="25"/>
        <v>1834.7015437587118</v>
      </c>
      <c r="F83">
        <v>1500</v>
      </c>
      <c r="G83">
        <f t="shared" si="26"/>
        <v>15</v>
      </c>
      <c r="H83">
        <v>20</v>
      </c>
      <c r="J83">
        <v>1</v>
      </c>
      <c r="K83">
        <v>1</v>
      </c>
      <c r="L83">
        <v>1</v>
      </c>
      <c r="M83" s="49" t="s">
        <v>100</v>
      </c>
    </row>
    <row r="84" spans="1:13">
      <c r="A84" t="s">
        <v>73</v>
      </c>
      <c r="B84" s="1">
        <v>1</v>
      </c>
      <c r="C84">
        <v>0.2</v>
      </c>
      <c r="D84" s="37">
        <f t="shared" ref="D84:D86" si="27">IF(I84&gt;0, (E84+G84*H84)/(I84*K84), (E84+G84*H84)/(H84*J84*L84*24*365))</f>
        <v>3.87180081870178E-4</v>
      </c>
      <c r="E84" s="38">
        <f>$B$2*(1+$B$2)^H84/((1+$B$2)^H84-1)*F84*H84</f>
        <v>1265.0741802876869</v>
      </c>
      <c r="F84" s="3">
        <f>50000/J84</f>
        <v>1136.3636363636363</v>
      </c>
      <c r="G84">
        <f>F84*0.02</f>
        <v>22.727272727272727</v>
      </c>
      <c r="H84">
        <v>10</v>
      </c>
      <c r="J84">
        <v>44</v>
      </c>
      <c r="L84">
        <v>1</v>
      </c>
    </row>
    <row r="85" spans="1:13">
      <c r="A85" t="s">
        <v>172</v>
      </c>
      <c r="B85" s="1">
        <v>0.99</v>
      </c>
      <c r="C85">
        <v>0</v>
      </c>
      <c r="D85" s="37">
        <f t="shared" si="27"/>
        <v>1.8402883928637278E-4</v>
      </c>
      <c r="E85" s="38">
        <f>$B$2*(1+$B$2)^H85/((1+$B$2)^H85-1)*F85*H85</f>
        <v>61.156718125290396</v>
      </c>
      <c r="F85" s="3">
        <v>50</v>
      </c>
      <c r="G85">
        <f>F85*0.02</f>
        <v>1</v>
      </c>
      <c r="H85">
        <v>20</v>
      </c>
      <c r="I85">
        <v>1000</v>
      </c>
      <c r="K85">
        <v>441</v>
      </c>
      <c r="L85">
        <v>1</v>
      </c>
    </row>
    <row r="86" spans="1:13">
      <c r="A86" t="s">
        <v>74</v>
      </c>
      <c r="B86" s="1">
        <v>1</v>
      </c>
      <c r="C86">
        <v>0</v>
      </c>
      <c r="D86" s="37">
        <f t="shared" si="27"/>
        <v>8.1229130280011881E-5</v>
      </c>
      <c r="E86" s="38">
        <f t="shared" ref="E86:E87" si="28">$B$2*(1+$B$2)^H86/((1+$B$2)^H86-1)*F86*H86</f>
        <v>12.231343625058081</v>
      </c>
      <c r="F86" s="3">
        <v>10</v>
      </c>
      <c r="G86">
        <f>F86*0.01</f>
        <v>0.1</v>
      </c>
      <c r="H86">
        <v>20</v>
      </c>
      <c r="J86">
        <v>1</v>
      </c>
      <c r="K86">
        <v>1</v>
      </c>
      <c r="L86">
        <v>1</v>
      </c>
    </row>
    <row r="87" spans="1:13">
      <c r="A87" t="s">
        <v>75</v>
      </c>
      <c r="B87" s="1">
        <v>0.75</v>
      </c>
      <c r="C87">
        <v>0.25</v>
      </c>
      <c r="D87" s="37">
        <f>IF(I87&gt;0, (E87+G87*H87)/(I87*K87), (E87+G87*H87)/(H87*J87*L87*24*365))</f>
        <v>8.1229130280011871E-3</v>
      </c>
      <c r="E87" s="38">
        <f t="shared" si="28"/>
        <v>1223.134362505808</v>
      </c>
      <c r="F87" s="3">
        <v>1000</v>
      </c>
      <c r="G87">
        <f>F87*0.01</f>
        <v>10</v>
      </c>
      <c r="H87">
        <v>20</v>
      </c>
      <c r="J87">
        <v>1</v>
      </c>
      <c r="L87">
        <v>1</v>
      </c>
    </row>
    <row r="88" spans="1:13">
      <c r="B88" s="1"/>
    </row>
    <row r="89" spans="1:13">
      <c r="A89" s="2" t="s">
        <v>50</v>
      </c>
      <c r="B89" s="12" t="s">
        <v>0</v>
      </c>
      <c r="C89" s="12" t="s">
        <v>1</v>
      </c>
      <c r="D89" s="12" t="s">
        <v>2</v>
      </c>
      <c r="E89" s="12" t="s">
        <v>48</v>
      </c>
      <c r="F89" s="12" t="s">
        <v>57</v>
      </c>
      <c r="G89" s="12" t="s">
        <v>58</v>
      </c>
      <c r="H89" s="12" t="s">
        <v>4</v>
      </c>
      <c r="I89" s="12" t="s">
        <v>56</v>
      </c>
      <c r="J89" s="12" t="s">
        <v>5</v>
      </c>
      <c r="K89" s="12" t="s">
        <v>6</v>
      </c>
      <c r="L89" s="12" t="s">
        <v>59</v>
      </c>
    </row>
    <row r="90" spans="1:13">
      <c r="A90" t="s">
        <v>129</v>
      </c>
      <c r="B90" s="1">
        <v>0.05</v>
      </c>
      <c r="C90">
        <v>0.01</v>
      </c>
      <c r="D90" s="37">
        <f t="shared" ref="D90:D91" si="29">IF(I90&gt;0, (E90+G90*H90)/(I90*K90), (E90+G90*H90)/(H90*J90*L90*24*365))</f>
        <v>0.55292853793487773</v>
      </c>
      <c r="E90" s="38">
        <f t="shared" ref="E90:E91" si="30">$B$2*(1+$B$2)^H90/((1+$B$2)^H90-1)*F90*H90</f>
        <v>10659.615969238115</v>
      </c>
      <c r="F90">
        <v>8715</v>
      </c>
      <c r="G90">
        <f>0.05*F90</f>
        <v>435.75</v>
      </c>
      <c r="H90">
        <v>20</v>
      </c>
      <c r="J90">
        <v>1</v>
      </c>
      <c r="L90">
        <v>0.2</v>
      </c>
      <c r="M90" s="54" t="s">
        <v>101</v>
      </c>
    </row>
    <row r="91" spans="1:13">
      <c r="A91" t="s">
        <v>128</v>
      </c>
      <c r="B91" s="1">
        <v>0.17</v>
      </c>
      <c r="C91">
        <v>0.01</v>
      </c>
      <c r="D91" s="37">
        <f t="shared" si="29"/>
        <v>0.2018839481019829</v>
      </c>
      <c r="E91" s="38">
        <f t="shared" si="30"/>
        <v>3892.0135414934803</v>
      </c>
      <c r="F91">
        <v>3182</v>
      </c>
      <c r="G91">
        <f>0.05*F91</f>
        <v>159.10000000000002</v>
      </c>
      <c r="H91">
        <v>20</v>
      </c>
      <c r="J91">
        <v>1</v>
      </c>
      <c r="L91">
        <v>0.2</v>
      </c>
      <c r="M91" s="49" t="s">
        <v>121</v>
      </c>
    </row>
    <row r="92" spans="1:13">
      <c r="B92" s="1"/>
    </row>
    <row r="93" spans="1:13">
      <c r="A93" s="2" t="s">
        <v>36</v>
      </c>
      <c r="B93" s="12" t="s">
        <v>0</v>
      </c>
      <c r="C93" s="12" t="s">
        <v>1</v>
      </c>
      <c r="D93" s="12" t="s">
        <v>2</v>
      </c>
      <c r="E93" s="12" t="s">
        <v>48</v>
      </c>
      <c r="F93" s="12" t="s">
        <v>57</v>
      </c>
      <c r="G93" s="12" t="s">
        <v>58</v>
      </c>
      <c r="H93" s="12" t="s">
        <v>4</v>
      </c>
      <c r="I93" s="12" t="s">
        <v>56</v>
      </c>
      <c r="J93" s="12" t="s">
        <v>5</v>
      </c>
      <c r="K93" s="12" t="s">
        <v>6</v>
      </c>
      <c r="L93" s="12" t="s">
        <v>59</v>
      </c>
    </row>
    <row r="94" spans="1:13">
      <c r="A94" t="s">
        <v>35</v>
      </c>
      <c r="B94" s="1">
        <v>1</v>
      </c>
      <c r="D94" s="40">
        <v>0.25</v>
      </c>
      <c r="E94" s="40">
        <v>0</v>
      </c>
      <c r="L94">
        <v>1</v>
      </c>
    </row>
    <row r="95" spans="1:13">
      <c r="A95" t="s">
        <v>36</v>
      </c>
      <c r="B95" s="1">
        <v>1</v>
      </c>
      <c r="D95" s="40">
        <v>0.2</v>
      </c>
      <c r="E95" s="40">
        <v>0</v>
      </c>
      <c r="L95">
        <v>1</v>
      </c>
    </row>
    <row r="96" spans="1:13">
      <c r="A96" t="s">
        <v>76</v>
      </c>
      <c r="B96" s="1">
        <v>0.95</v>
      </c>
      <c r="D96" s="37">
        <f t="shared" ref="D96:D98" si="31">IF(I96&gt;0, (E96+G96*H96)/(I96*K96), (E96+G96*H96)/(H96*J96*L96*24*365))</f>
        <v>8.9195092482765941E-4</v>
      </c>
      <c r="E96" s="38">
        <f>$B$2*(1+$B$2)^H96/((1+$B$2)^H96-1)*F96*H96</f>
        <v>134.19042910243377</v>
      </c>
      <c r="F96">
        <f>20000000/300000</f>
        <v>66.666666666666671</v>
      </c>
      <c r="G96">
        <f>F96*0.01</f>
        <v>0.66666666666666674</v>
      </c>
      <c r="H96">
        <v>80</v>
      </c>
      <c r="J96">
        <v>1</v>
      </c>
      <c r="L96">
        <v>0.3</v>
      </c>
      <c r="M96" s="49" t="s">
        <v>98</v>
      </c>
    </row>
    <row r="97" spans="1:13">
      <c r="A97" t="s">
        <v>77</v>
      </c>
      <c r="B97" s="1">
        <v>0.95</v>
      </c>
      <c r="D97" s="37">
        <f t="shared" si="31"/>
        <v>4.4597546241382964E-3</v>
      </c>
      <c r="E97" s="38">
        <f t="shared" ref="E97" si="32">$B$2*(1+$B$2)^H97/((1+$B$2)^H97-1)*F97*H97</f>
        <v>670.95214551216884</v>
      </c>
      <c r="F97">
        <f>200000000/300000/2</f>
        <v>333.33333333333331</v>
      </c>
      <c r="G97">
        <f>F97*0.01</f>
        <v>3.333333333333333</v>
      </c>
      <c r="H97">
        <v>80</v>
      </c>
      <c r="J97">
        <v>1</v>
      </c>
      <c r="L97">
        <v>0.3</v>
      </c>
      <c r="M97" s="49" t="s">
        <v>98</v>
      </c>
    </row>
    <row r="98" spans="1:13">
      <c r="A98" t="s">
        <v>78</v>
      </c>
      <c r="B98" s="1">
        <v>0.8</v>
      </c>
      <c r="D98" s="37">
        <f t="shared" si="31"/>
        <v>8.9195092482765942E-2</v>
      </c>
      <c r="E98" s="38">
        <f>$B$2*(1+$B$2)^H98/((1+$B$2)^H98-1)*F98*H98</f>
        <v>13419.042910243377</v>
      </c>
      <c r="F98">
        <f>2000000000/300000</f>
        <v>6666.666666666667</v>
      </c>
      <c r="G98">
        <f>F98*0.01</f>
        <v>66.666666666666671</v>
      </c>
      <c r="H98">
        <v>80</v>
      </c>
      <c r="J98">
        <v>1</v>
      </c>
      <c r="L98">
        <v>0.3</v>
      </c>
      <c r="M98" s="49" t="s">
        <v>98</v>
      </c>
    </row>
    <row r="100" spans="1:13">
      <c r="A100" s="2" t="s">
        <v>110</v>
      </c>
      <c r="B100" s="12" t="s">
        <v>0</v>
      </c>
      <c r="C100" s="12" t="s">
        <v>1</v>
      </c>
      <c r="D100" s="12" t="s">
        <v>2</v>
      </c>
      <c r="E100" s="12" t="s">
        <v>48</v>
      </c>
      <c r="F100" s="12" t="s">
        <v>57</v>
      </c>
      <c r="G100" s="12" t="s">
        <v>58</v>
      </c>
      <c r="H100" s="12" t="s">
        <v>4</v>
      </c>
      <c r="I100" s="12" t="s">
        <v>56</v>
      </c>
      <c r="J100" s="12" t="s">
        <v>5</v>
      </c>
      <c r="K100" s="12" t="s">
        <v>6</v>
      </c>
      <c r="L100" s="12" t="s">
        <v>59</v>
      </c>
    </row>
    <row r="101" spans="1:13">
      <c r="A101" t="s">
        <v>110</v>
      </c>
      <c r="B101" s="1">
        <v>1</v>
      </c>
      <c r="D101" s="40">
        <v>9.5000000000000001E-2</v>
      </c>
      <c r="E101" s="40">
        <v>0</v>
      </c>
      <c r="M101" s="49" t="s">
        <v>119</v>
      </c>
    </row>
    <row r="102" spans="1:13">
      <c r="A102" t="s">
        <v>166</v>
      </c>
      <c r="B102" s="1">
        <v>1</v>
      </c>
      <c r="D102" s="40">
        <v>0.1</v>
      </c>
      <c r="E102" s="40">
        <v>0</v>
      </c>
      <c r="M102" s="49" t="s">
        <v>150</v>
      </c>
    </row>
    <row r="103" spans="1:13">
      <c r="A103" t="s">
        <v>112</v>
      </c>
      <c r="B103" s="1">
        <v>1</v>
      </c>
      <c r="D103" s="40">
        <v>0.14000000000000001</v>
      </c>
      <c r="E103" s="40">
        <v>0</v>
      </c>
      <c r="M103" s="49" t="s">
        <v>148</v>
      </c>
    </row>
    <row r="104" spans="1:13">
      <c r="A104" t="s">
        <v>113</v>
      </c>
      <c r="B104" s="1">
        <v>1</v>
      </c>
      <c r="D104" s="40">
        <v>6.7000000000000004E-2</v>
      </c>
      <c r="E104" s="40">
        <v>0</v>
      </c>
      <c r="M104" s="49" t="s">
        <v>149</v>
      </c>
    </row>
    <row r="105" spans="1:13">
      <c r="A105" t="s">
        <v>111</v>
      </c>
      <c r="B105" s="1">
        <v>1</v>
      </c>
      <c r="D105" s="40">
        <v>9.5000000000000001E-2</v>
      </c>
      <c r="E105" s="40">
        <v>0</v>
      </c>
    </row>
    <row r="106" spans="1:13">
      <c r="A106" t="s">
        <v>182</v>
      </c>
      <c r="B106" s="1">
        <v>1</v>
      </c>
      <c r="D106" s="40">
        <v>7.0000000000000007E-2</v>
      </c>
      <c r="E106" s="40">
        <v>0</v>
      </c>
    </row>
    <row r="107" spans="1:13">
      <c r="A107" t="s">
        <v>183</v>
      </c>
      <c r="B107" s="1">
        <v>1</v>
      </c>
      <c r="D107" s="40">
        <v>3.5000000000000003E-2</v>
      </c>
      <c r="E107" s="40">
        <v>0</v>
      </c>
    </row>
    <row r="109" spans="1:13">
      <c r="A109" s="2" t="s">
        <v>180</v>
      </c>
      <c r="B109" s="12" t="s">
        <v>0</v>
      </c>
      <c r="C109" s="12" t="s">
        <v>1</v>
      </c>
      <c r="D109" s="12" t="s">
        <v>2</v>
      </c>
      <c r="E109" s="12" t="s">
        <v>48</v>
      </c>
      <c r="F109" s="12" t="s">
        <v>57</v>
      </c>
      <c r="G109" s="12" t="s">
        <v>58</v>
      </c>
      <c r="H109" s="12" t="s">
        <v>4</v>
      </c>
      <c r="I109" s="12" t="s">
        <v>56</v>
      </c>
      <c r="J109" s="12" t="s">
        <v>5</v>
      </c>
      <c r="K109" s="12" t="s">
        <v>6</v>
      </c>
      <c r="L109" s="12" t="s">
        <v>59</v>
      </c>
    </row>
    <row r="110" spans="1:13">
      <c r="A110" t="s">
        <v>181</v>
      </c>
      <c r="B110" s="1">
        <v>1</v>
      </c>
      <c r="C110">
        <f>5.5/1000/4.379</f>
        <v>1.2559945192966431E-3</v>
      </c>
      <c r="D110" s="57">
        <f>IF(I110&gt;0, (E110+G110*H110)/(I110*K110), (E110+G110*H110)/(H110*J110*L110*24*365))</f>
        <v>3.9369329114769966E-2</v>
      </c>
      <c r="E110" s="38">
        <f t="shared" ref="E110" si="33">$B$2*(1+$B$2)^H110/((1+$B$2)^H110-1)*F110*H110</f>
        <v>6886.2464609076978</v>
      </c>
      <c r="F110">
        <v>5630</v>
      </c>
      <c r="G110">
        <f>0.0001*F110</f>
        <v>0.56300000000000006</v>
      </c>
      <c r="H110">
        <v>20</v>
      </c>
      <c r="J110">
        <v>1</v>
      </c>
      <c r="L110">
        <v>1</v>
      </c>
    </row>
    <row r="111" spans="1:13">
      <c r="B111" s="1"/>
      <c r="D111" s="3"/>
      <c r="E111" s="13"/>
    </row>
  </sheetData>
  <hyperlinks>
    <hyperlink ref="M10" r:id="rId1" xr:uid="{EA598504-BECA-9049-8543-819AC6923751}"/>
  </hyperlinks>
  <pageMargins left="0.7" right="0.7" top="0.75" bottom="0.75" header="0.3" footer="0.3"/>
  <pageSetup paperSize="9" scale="77" orientation="landscape" horizontalDpi="0" verticalDpi="0"/>
  <rowBreaks count="2" manualBreakCount="2">
    <brk id="42" max="16383" man="1"/>
    <brk id="79" max="16383" man="1"/>
  </rowBreaks>
  <colBreaks count="1" manualBreakCount="1">
    <brk id="12" max="109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E34F-8CFA-714F-8598-5BC22363E232}">
  <dimension ref="A1:B35"/>
  <sheetViews>
    <sheetView zoomScaleNormal="140" workbookViewId="0">
      <selection activeCell="B24" sqref="B24"/>
    </sheetView>
  </sheetViews>
  <sheetFormatPr baseColWidth="10" defaultColWidth="52.6640625" defaultRowHeight="16"/>
  <cols>
    <col min="1" max="1" width="57.1640625" customWidth="1"/>
  </cols>
  <sheetData>
    <row r="1" spans="1:2">
      <c r="A1" s="60" t="s">
        <v>197</v>
      </c>
    </row>
    <row r="2" spans="1:2">
      <c r="A2" s="58" t="s">
        <v>248</v>
      </c>
    </row>
    <row r="3" spans="1:2">
      <c r="A3" s="58"/>
      <c r="B3" s="60" t="s">
        <v>198</v>
      </c>
    </row>
    <row r="4" spans="1:2">
      <c r="A4" s="58" t="s">
        <v>199</v>
      </c>
      <c r="B4" s="58" t="s">
        <v>200</v>
      </c>
    </row>
    <row r="5" spans="1:2">
      <c r="A5" s="58" t="s">
        <v>201</v>
      </c>
      <c r="B5" s="58" t="s">
        <v>202</v>
      </c>
    </row>
    <row r="6" spans="1:2">
      <c r="A6" s="58" t="s">
        <v>203</v>
      </c>
      <c r="B6" s="58" t="s">
        <v>204</v>
      </c>
    </row>
    <row r="7" spans="1:2">
      <c r="A7" s="58" t="s">
        <v>205</v>
      </c>
      <c r="B7" s="58" t="s">
        <v>206</v>
      </c>
    </row>
    <row r="8" spans="1:2">
      <c r="A8" s="58" t="s">
        <v>207</v>
      </c>
      <c r="B8" s="58" t="s">
        <v>208</v>
      </c>
    </row>
    <row r="9" spans="1:2">
      <c r="A9" s="58" t="s">
        <v>209</v>
      </c>
      <c r="B9" s="58" t="s">
        <v>210</v>
      </c>
    </row>
    <row r="10" spans="1:2">
      <c r="A10" s="58" t="s">
        <v>211</v>
      </c>
      <c r="B10" s="58" t="s">
        <v>212</v>
      </c>
    </row>
    <row r="11" spans="1:2">
      <c r="A11" s="58" t="s">
        <v>213</v>
      </c>
      <c r="B11" s="58" t="s">
        <v>214</v>
      </c>
    </row>
    <row r="12" spans="1:2">
      <c r="A12" s="58" t="s">
        <v>215</v>
      </c>
      <c r="B12" s="58" t="s">
        <v>216</v>
      </c>
    </row>
    <row r="13" spans="1:2">
      <c r="A13" s="58" t="s">
        <v>217</v>
      </c>
      <c r="B13" s="58" t="s">
        <v>218</v>
      </c>
    </row>
    <row r="14" spans="1:2">
      <c r="A14" s="58" t="s">
        <v>219</v>
      </c>
      <c r="B14" s="58" t="s">
        <v>220</v>
      </c>
    </row>
    <row r="15" spans="1:2">
      <c r="A15" s="58" t="s">
        <v>221</v>
      </c>
      <c r="B15" s="58" t="s">
        <v>222</v>
      </c>
    </row>
    <row r="16" spans="1:2">
      <c r="A16" s="58" t="s">
        <v>223</v>
      </c>
      <c r="B16" s="58" t="s">
        <v>224</v>
      </c>
    </row>
    <row r="17" spans="1:2">
      <c r="A17" s="58" t="s">
        <v>225</v>
      </c>
      <c r="B17" s="58" t="s">
        <v>226</v>
      </c>
    </row>
    <row r="18" spans="1:2">
      <c r="A18" s="58" t="s">
        <v>227</v>
      </c>
      <c r="B18" s="58" t="s">
        <v>228</v>
      </c>
    </row>
    <row r="19" spans="1:2">
      <c r="A19" s="58" t="s">
        <v>229</v>
      </c>
      <c r="B19" s="58" t="s">
        <v>230</v>
      </c>
    </row>
    <row r="20" spans="1:2">
      <c r="A20" s="58" t="s">
        <v>231</v>
      </c>
      <c r="B20" s="58" t="s">
        <v>232</v>
      </c>
    </row>
    <row r="21" spans="1:2">
      <c r="A21" s="58" t="s">
        <v>233</v>
      </c>
      <c r="B21" s="58" t="s">
        <v>234</v>
      </c>
    </row>
    <row r="22" spans="1:2">
      <c r="A22" s="58" t="s">
        <v>235</v>
      </c>
      <c r="B22" s="58" t="s">
        <v>236</v>
      </c>
    </row>
    <row r="23" spans="1:2">
      <c r="A23" s="58" t="s">
        <v>237</v>
      </c>
      <c r="B23" s="58" t="s">
        <v>238</v>
      </c>
    </row>
    <row r="24" spans="1:2">
      <c r="A24" s="58" t="s">
        <v>239</v>
      </c>
    </row>
    <row r="25" spans="1:2">
      <c r="A25" s="58" t="s">
        <v>247</v>
      </c>
    </row>
    <row r="26" spans="1:2">
      <c r="A26" s="58" t="s">
        <v>240</v>
      </c>
    </row>
    <row r="27" spans="1:2">
      <c r="A27" s="58" t="s">
        <v>241</v>
      </c>
    </row>
    <row r="29" spans="1:2">
      <c r="A29" s="59" t="s">
        <v>242</v>
      </c>
    </row>
    <row r="30" spans="1:2">
      <c r="A30" s="58" t="s">
        <v>243</v>
      </c>
    </row>
    <row r="31" spans="1:2">
      <c r="A31" s="58" t="s">
        <v>244</v>
      </c>
    </row>
    <row r="32" spans="1:2">
      <c r="A32" s="58" t="s">
        <v>245</v>
      </c>
    </row>
    <row r="33" spans="1:1">
      <c r="A33" s="58" t="s">
        <v>246</v>
      </c>
    </row>
    <row r="35" spans="1:1">
      <c r="A35" t="s">
        <v>250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A3B0-1927-804E-9C29-282AB0B68C2D}">
  <dimension ref="B1:P15"/>
  <sheetViews>
    <sheetView zoomScale="94" zoomScaleNormal="130" workbookViewId="0">
      <selection activeCell="A7" sqref="A7"/>
    </sheetView>
  </sheetViews>
  <sheetFormatPr baseColWidth="10" defaultRowHeight="16"/>
  <cols>
    <col min="1" max="1" width="14.33203125" customWidth="1"/>
    <col min="2" max="2" width="17" customWidth="1"/>
    <col min="3" max="3" width="13.83203125" customWidth="1"/>
    <col min="4" max="4" width="14.1640625" customWidth="1"/>
    <col min="5" max="5" width="12.83203125" customWidth="1"/>
    <col min="6" max="6" width="11.6640625" customWidth="1"/>
    <col min="7" max="7" width="7.83203125" customWidth="1"/>
    <col min="8" max="8" width="8" customWidth="1"/>
    <col min="9" max="9" width="8.33203125" customWidth="1"/>
    <col min="10" max="10" width="12.6640625" customWidth="1"/>
    <col min="11" max="11" width="12" customWidth="1"/>
    <col min="12" max="12" width="12.6640625" customWidth="1"/>
    <col min="13" max="13" width="12.33203125" customWidth="1"/>
    <col min="14" max="14" width="8.33203125" customWidth="1"/>
    <col min="15" max="15" width="8.1640625" customWidth="1"/>
  </cols>
  <sheetData>
    <row r="1" spans="2:16" ht="17" thickBot="1">
      <c r="B1" t="s">
        <v>127</v>
      </c>
      <c r="C1" s="10">
        <v>1100</v>
      </c>
      <c r="F1" t="s">
        <v>86</v>
      </c>
      <c r="G1" s="22">
        <f>C3*C2</f>
        <v>2.0505345110757465</v>
      </c>
    </row>
    <row r="2" spans="2:16" ht="17" thickBot="1">
      <c r="B2" t="s">
        <v>44</v>
      </c>
      <c r="C2" s="11">
        <v>0.2</v>
      </c>
      <c r="D2" t="s">
        <v>81</v>
      </c>
      <c r="E2" s="21">
        <v>1.5</v>
      </c>
      <c r="F2" t="s">
        <v>85</v>
      </c>
      <c r="G2" s="22">
        <f>C1*C2/24/365*C3</f>
        <v>0.25748721029489963</v>
      </c>
    </row>
    <row r="3" spans="2:16" ht="17" thickBot="1">
      <c r="B3" t="s">
        <v>45</v>
      </c>
      <c r="C3" s="8">
        <f>H7/C1/C2</f>
        <v>10.252672555378732</v>
      </c>
      <c r="D3" s="24" t="s">
        <v>103</v>
      </c>
      <c r="E3" s="25">
        <f>C3*E2</f>
        <v>15.379008833068099</v>
      </c>
      <c r="F3" t="s">
        <v>87</v>
      </c>
      <c r="G3" s="22">
        <f>G2*3</f>
        <v>0.77246163088469888</v>
      </c>
    </row>
    <row r="4" spans="2:16">
      <c r="G4" s="6" t="s">
        <v>49</v>
      </c>
    </row>
    <row r="5" spans="2:16">
      <c r="B5" s="2" t="s">
        <v>132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6" s="15" customFormat="1" ht="34">
      <c r="B6" s="16" t="s">
        <v>46</v>
      </c>
      <c r="C6" s="16" t="s">
        <v>39</v>
      </c>
      <c r="D6" s="16" t="s">
        <v>1</v>
      </c>
      <c r="E6" s="16" t="s">
        <v>41</v>
      </c>
      <c r="F6" s="16" t="s">
        <v>48</v>
      </c>
      <c r="G6" s="16" t="s">
        <v>40</v>
      </c>
      <c r="H6" s="16" t="s">
        <v>40</v>
      </c>
      <c r="I6" s="16" t="s">
        <v>82</v>
      </c>
      <c r="J6" s="16" t="s">
        <v>42</v>
      </c>
      <c r="K6" s="16" t="s">
        <v>43</v>
      </c>
      <c r="L6" s="16" t="s">
        <v>79</v>
      </c>
      <c r="M6" s="16" t="s">
        <v>102</v>
      </c>
      <c r="N6" s="15" t="s">
        <v>3</v>
      </c>
      <c r="O6" s="15" t="s">
        <v>131</v>
      </c>
    </row>
    <row r="7" spans="2:16">
      <c r="B7" t="str">
        <f>'Cost table'!A10</f>
        <v>PV</v>
      </c>
      <c r="C7" s="14">
        <f>'Cost table'!B10</f>
        <v>1</v>
      </c>
      <c r="D7">
        <f>'Cost table'!C10</f>
        <v>0</v>
      </c>
      <c r="E7" s="9">
        <f>'Cost table'!D10</f>
        <v>2.3509062652146532E-2</v>
      </c>
      <c r="F7" s="13">
        <f>'Cost table'!E10</f>
        <v>535.79906752083559</v>
      </c>
      <c r="G7" s="13">
        <f t="shared" ref="G7:G12" si="0">G8/C8</f>
        <v>2051.8402275842091</v>
      </c>
      <c r="H7" s="4">
        <f>H8/C8</f>
        <v>2255.587962183321</v>
      </c>
      <c r="I7" s="4">
        <f>H7-G7</f>
        <v>203.74773459911194</v>
      </c>
      <c r="J7" s="3">
        <f>H7*E7</f>
        <v>53.026758720395215</v>
      </c>
      <c r="K7" s="29">
        <f>J7/H7</f>
        <v>2.3509062652146532E-2</v>
      </c>
      <c r="L7" t="s">
        <v>107</v>
      </c>
      <c r="M7" s="3">
        <f>C1*C2*C3</f>
        <v>2255.587962183321</v>
      </c>
      <c r="N7" s="13">
        <f>M7/C1*F7</f>
        <v>1098.6744789536774</v>
      </c>
      <c r="O7" s="32">
        <f>K7/K$14</f>
        <v>7.0038471642571321E-2</v>
      </c>
      <c r="P7" s="4"/>
    </row>
    <row r="8" spans="2:16">
      <c r="B8" t="str">
        <f>'Cost table'!A23</f>
        <v>Converter AC/DC</v>
      </c>
      <c r="C8" s="14">
        <f>'Cost table'!B23</f>
        <v>0.97</v>
      </c>
      <c r="D8">
        <f>'Cost table'!C23</f>
        <v>0</v>
      </c>
      <c r="E8" s="9">
        <f>'Cost table'!D23</f>
        <v>8.1218628117918565E-3</v>
      </c>
      <c r="F8" s="13">
        <f>'Cost table'!E23</f>
        <v>318.23759115648329</v>
      </c>
      <c r="G8" s="13">
        <f t="shared" si="0"/>
        <v>1990.2850207566828</v>
      </c>
      <c r="H8" s="4">
        <f>H9/C9</f>
        <v>2187.9203233178214</v>
      </c>
      <c r="I8" s="4">
        <f t="shared" ref="I8:I13" si="1">H8-G8</f>
        <v>197.63530256113859</v>
      </c>
      <c r="J8" s="3">
        <f t="shared" ref="J8:J13" si="2">J7+H8*E8</f>
        <v>70.796747429513843</v>
      </c>
      <c r="K8" s="29">
        <f t="shared" ref="K8:K13" si="3">J8/H8</f>
        <v>3.2358009875860447E-2</v>
      </c>
      <c r="L8" t="s">
        <v>108</v>
      </c>
      <c r="M8" s="3">
        <f>H7/365/24*3</f>
        <v>0.77246163088469899</v>
      </c>
      <c r="N8" s="13">
        <f>M8*F8</f>
        <v>245.82632867355514</v>
      </c>
      <c r="O8" s="32">
        <f t="shared" ref="O8:O13" si="4">(K8-K7)/K$14</f>
        <v>2.6362886022514749E-2</v>
      </c>
      <c r="P8" s="4"/>
    </row>
    <row r="9" spans="2:16">
      <c r="B9" t="str">
        <f>'Cost table'!A13</f>
        <v>Battery</v>
      </c>
      <c r="C9" s="14">
        <f>'Cost table'!B13</f>
        <v>0.89</v>
      </c>
      <c r="D9">
        <f>'Cost table'!C13</f>
        <v>0</v>
      </c>
      <c r="E9" s="9">
        <f>'Cost table'!D13</f>
        <v>6.5218558378688604E-2</v>
      </c>
      <c r="F9" s="13">
        <f>'Cost table'!E13</f>
        <v>116.6871167573772</v>
      </c>
      <c r="G9" s="13">
        <f t="shared" si="0"/>
        <v>1771.3536684734477</v>
      </c>
      <c r="H9" s="4">
        <f>H10/C10</f>
        <v>1947.249087752861</v>
      </c>
      <c r="I9" s="4">
        <f t="shared" si="1"/>
        <v>175.89541927941332</v>
      </c>
      <c r="J9" s="3">
        <f t="shared" si="2"/>
        <v>197.79352573697193</v>
      </c>
      <c r="K9" s="29">
        <f t="shared" si="3"/>
        <v>0.10157587284594753</v>
      </c>
      <c r="L9" t="s">
        <v>109</v>
      </c>
      <c r="M9" s="3">
        <f>M8*12</f>
        <v>9.2695395706163879</v>
      </c>
      <c r="N9" s="13">
        <f t="shared" ref="N9:N13" si="5">M9*F9</f>
        <v>1081.6358461636426</v>
      </c>
      <c r="O9" s="32">
        <f t="shared" si="4"/>
        <v>0.20621465876893164</v>
      </c>
      <c r="P9" s="4"/>
    </row>
    <row r="10" spans="2:16">
      <c r="B10" t="str">
        <f>'Cost table'!A24</f>
        <v>Inverter DC/AC</v>
      </c>
      <c r="C10" s="14">
        <f>'Cost table'!B24</f>
        <v>0.97</v>
      </c>
      <c r="D10">
        <f>'Cost table'!C24</f>
        <v>0</v>
      </c>
      <c r="E10" s="9">
        <f>'Cost table'!D24</f>
        <v>8.1218628117918565E-3</v>
      </c>
      <c r="F10" s="13">
        <f>'Cost table'!E24</f>
        <v>318.23759115648329</v>
      </c>
      <c r="G10" s="13">
        <f t="shared" si="0"/>
        <v>1718.2130584192441</v>
      </c>
      <c r="H10" s="4">
        <f>H11/C11+D14</f>
        <v>1888.831615120275</v>
      </c>
      <c r="I10" s="4">
        <f t="shared" si="1"/>
        <v>170.61855670103091</v>
      </c>
      <c r="J10" s="3">
        <f t="shared" si="2"/>
        <v>213.13435698955405</v>
      </c>
      <c r="K10" s="29">
        <f t="shared" si="3"/>
        <v>0.11283925749833572</v>
      </c>
      <c r="L10" t="s">
        <v>108</v>
      </c>
      <c r="M10" s="3">
        <f>H9/365/24*3</f>
        <v>0.66686612594276062</v>
      </c>
      <c r="N10" s="13">
        <f>M10*F10</f>
        <v>212.22186954388016</v>
      </c>
      <c r="O10" s="32">
        <f t="shared" si="4"/>
        <v>3.3556005964518285E-2</v>
      </c>
      <c r="P10" s="4"/>
    </row>
    <row r="11" spans="2:16">
      <c r="B11" t="str">
        <f>'Cost table'!A28</f>
        <v>Electrolyzer</v>
      </c>
      <c r="C11" s="14">
        <f>'Cost table'!B28</f>
        <v>0.6</v>
      </c>
      <c r="D11">
        <f>'Cost table'!C28</f>
        <v>0.02</v>
      </c>
      <c r="E11" s="9">
        <f>'Cost table'!D28</f>
        <v>8.0933742419628932E-2</v>
      </c>
      <c r="F11" s="13">
        <f>'Cost table'!E28</f>
        <v>1669.897917979747</v>
      </c>
      <c r="G11" s="13">
        <f t="shared" si="0"/>
        <v>1030.9278350515465</v>
      </c>
      <c r="H11" s="4">
        <f t="shared" ref="H11:H12" si="6">H12/C12</f>
        <v>1030.9278350515465</v>
      </c>
      <c r="I11" s="4">
        <f t="shared" si="1"/>
        <v>0</v>
      </c>
      <c r="J11" s="3">
        <f t="shared" si="2"/>
        <v>296.57120484484165</v>
      </c>
      <c r="K11" s="29">
        <f t="shared" si="3"/>
        <v>0.28767406869949635</v>
      </c>
      <c r="L11" t="s">
        <v>108</v>
      </c>
      <c r="M11" s="3">
        <f>G10/24/365*3</f>
        <v>0.58842912959563154</v>
      </c>
      <c r="N11" s="13">
        <f>M11*F11</f>
        <v>982.6165783903798</v>
      </c>
      <c r="O11" s="32">
        <f t="shared" si="4"/>
        <v>0.52086989377812287</v>
      </c>
      <c r="P11" s="4"/>
    </row>
    <row r="12" spans="2:16">
      <c r="B12" t="str">
        <f>'Cost table'!A30</f>
        <v>Compressor 30-200bar</v>
      </c>
      <c r="C12" s="14">
        <f>'Cost table'!B30</f>
        <v>0.97</v>
      </c>
      <c r="D12">
        <f>'Cost table'!C30</f>
        <v>0.15</v>
      </c>
      <c r="E12" s="9">
        <f>'Cost table'!D30</f>
        <v>1.0625383454639863E-2</v>
      </c>
      <c r="F12" s="13">
        <f>'Cost table'!E30</f>
        <v>611.56718125290399</v>
      </c>
      <c r="G12" s="13">
        <f t="shared" si="0"/>
        <v>1000</v>
      </c>
      <c r="H12" s="4">
        <f t="shared" si="6"/>
        <v>1000</v>
      </c>
      <c r="I12" s="4">
        <f t="shared" si="1"/>
        <v>0</v>
      </c>
      <c r="J12" s="3">
        <f t="shared" si="2"/>
        <v>307.1965882994815</v>
      </c>
      <c r="K12" s="29">
        <f t="shared" si="3"/>
        <v>0.30719658829948149</v>
      </c>
      <c r="L12" t="s">
        <v>108</v>
      </c>
      <c r="M12" s="3">
        <f>H11/24/365*3</f>
        <v>0.35305747775737895</v>
      </c>
      <c r="N12" s="13">
        <f t="shared" si="5"/>
        <v>215.91836649234008</v>
      </c>
      <c r="O12" s="32">
        <f t="shared" si="4"/>
        <v>5.8161716425144484E-2</v>
      </c>
      <c r="P12" s="4"/>
    </row>
    <row r="13" spans="2:16">
      <c r="B13" t="str">
        <f>'Cost table'!A34</f>
        <v>Hydrogen Tank</v>
      </c>
      <c r="C13" s="14">
        <f>'Cost table'!B34</f>
        <v>1</v>
      </c>
      <c r="D13">
        <f>'Cost table'!C34</f>
        <v>0</v>
      </c>
      <c r="E13" s="9">
        <f>'Cost table'!D34</f>
        <v>2.8462687250116157E-2</v>
      </c>
      <c r="F13" s="13">
        <f>'Cost table'!E34</f>
        <v>2.446268725011616</v>
      </c>
      <c r="G13" s="13">
        <v>1000</v>
      </c>
      <c r="H13" s="4">
        <v>1000</v>
      </c>
      <c r="I13" s="4">
        <f t="shared" si="1"/>
        <v>0</v>
      </c>
      <c r="J13" s="3">
        <f t="shared" si="2"/>
        <v>335.65927554959768</v>
      </c>
      <c r="K13" s="29">
        <f t="shared" si="3"/>
        <v>0.33565927554959768</v>
      </c>
      <c r="L13" t="s">
        <v>109</v>
      </c>
      <c r="M13" s="3">
        <f>H13/24/365*3*12</f>
        <v>4.10958904109589</v>
      </c>
      <c r="N13" s="13">
        <f t="shared" si="5"/>
        <v>10.053159143883352</v>
      </c>
      <c r="O13" s="32">
        <f t="shared" si="4"/>
        <v>8.4796367398196598E-2</v>
      </c>
      <c r="P13" s="4"/>
    </row>
    <row r="14" spans="2:16">
      <c r="B14" s="7"/>
      <c r="C14" s="18">
        <f>H13/G7</f>
        <v>0.4873673819999999</v>
      </c>
      <c r="D14" s="20">
        <f>D11*H11+D12*H12+D13*H13</f>
        <v>170.61855670103094</v>
      </c>
      <c r="E14" s="7" t="s">
        <v>80</v>
      </c>
      <c r="F14" s="7"/>
      <c r="G14" s="7"/>
      <c r="H14" s="7"/>
      <c r="I14" s="7"/>
      <c r="J14" s="7"/>
      <c r="K14" s="30">
        <f>K13</f>
        <v>0.33565927554959768</v>
      </c>
      <c r="L14" s="7"/>
      <c r="M14" s="7"/>
      <c r="N14" s="17">
        <f>SUM(N7:N13)</f>
        <v>3846.9466273613589</v>
      </c>
      <c r="O14" s="18"/>
    </row>
    <row r="15" spans="2:16">
      <c r="B15" s="24" t="s">
        <v>106</v>
      </c>
      <c r="C15" s="26">
        <f>H13/H7</f>
        <v>0.44334338397161827</v>
      </c>
      <c r="D15" s="4"/>
      <c r="J15" s="24" t="s">
        <v>130</v>
      </c>
      <c r="K15" s="31">
        <f>39.4*K14</f>
        <v>13.224975456654148</v>
      </c>
      <c r="M15" s="24" t="s">
        <v>105</v>
      </c>
      <c r="N15" s="27">
        <f>N14</f>
        <v>3846.9466273613589</v>
      </c>
    </row>
  </sheetData>
  <conditionalFormatting sqref="O7:O13">
    <cfRule type="dataBar" priority="16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{A96666E2-9349-0649-B93E-EB234A60628B}</x14:id>
        </ext>
      </extLst>
    </cfRule>
    <cfRule type="dataBar" priority="1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{F5B0C0A4-8509-2749-87F1-22F3AFC71214}</x14:id>
        </ext>
      </extLst>
    </cfRule>
    <cfRule type="dataBar" priority="18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{A52CA127-1BFF-434E-919F-DCDF1AECE9F2}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{DCB4AA73-4C27-7844-9021-C03A2D9692AA}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666E2-9349-0649-B93E-EB234A606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B0C0A4-8509-2749-87F1-22F3AFC71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2CA127-1BFF-434E-919F-DCDF1AECE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CB4AA73-4C27-7844-9021-C03A2D969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5D18-3432-8A42-A4EB-A7C8F1988204}">
  <dimension ref="B1:P19"/>
  <sheetViews>
    <sheetView zoomScale="120" zoomScaleNormal="120" workbookViewId="0">
      <selection activeCell="C18" sqref="C18"/>
    </sheetView>
  </sheetViews>
  <sheetFormatPr baseColWidth="10" defaultRowHeight="16"/>
  <cols>
    <col min="1" max="1" width="14.33203125" customWidth="1"/>
    <col min="2" max="2" width="17" customWidth="1"/>
    <col min="3" max="3" width="13.83203125" customWidth="1"/>
    <col min="4" max="4" width="14.1640625" customWidth="1"/>
    <col min="5" max="5" width="12.83203125" customWidth="1"/>
    <col min="6" max="6" width="11.6640625" customWidth="1"/>
    <col min="7" max="7" width="7.83203125" customWidth="1"/>
    <col min="8" max="8" width="9.33203125" customWidth="1"/>
    <col min="9" max="9" width="8.33203125" customWidth="1"/>
    <col min="10" max="10" width="12.6640625" customWidth="1"/>
    <col min="11" max="11" width="12" customWidth="1"/>
    <col min="12" max="12" width="12.6640625" customWidth="1"/>
    <col min="13" max="13" width="12.33203125" customWidth="1"/>
    <col min="14" max="14" width="8.33203125" customWidth="1"/>
    <col min="15" max="15" width="8.1640625" customWidth="1"/>
  </cols>
  <sheetData>
    <row r="1" spans="2:16" ht="17" thickBot="1">
      <c r="B1" t="s">
        <v>127</v>
      </c>
      <c r="C1" s="10">
        <f>'Cost table'!B3</f>
        <v>1100</v>
      </c>
      <c r="F1" t="s">
        <v>86</v>
      </c>
      <c r="G1" s="22">
        <f>C3*C2</f>
        <v>4.9043122008653111</v>
      </c>
    </row>
    <row r="2" spans="2:16" ht="17" thickBot="1">
      <c r="B2" t="s">
        <v>44</v>
      </c>
      <c r="C2" s="11">
        <v>0.2</v>
      </c>
      <c r="D2" t="s">
        <v>81</v>
      </c>
      <c r="E2" s="21">
        <v>2.5</v>
      </c>
      <c r="F2" t="s">
        <v>85</v>
      </c>
      <c r="G2" s="22">
        <f>C1*C2/24/365*C3</f>
        <v>0.61583829006299562</v>
      </c>
    </row>
    <row r="3" spans="2:16" ht="17" thickBot="1">
      <c r="B3" t="s">
        <v>45</v>
      </c>
      <c r="C3" s="8">
        <f>H7/C1/C2</f>
        <v>24.521561004326554</v>
      </c>
      <c r="D3" s="24" t="s">
        <v>103</v>
      </c>
      <c r="E3" s="25">
        <f>C3*E2</f>
        <v>61.303902510816386</v>
      </c>
      <c r="F3" t="s">
        <v>87</v>
      </c>
      <c r="G3" s="22">
        <f>G2*3</f>
        <v>1.847514870188987</v>
      </c>
    </row>
    <row r="4" spans="2:16">
      <c r="G4" s="6" t="s">
        <v>49</v>
      </c>
    </row>
    <row r="5" spans="2:16">
      <c r="B5" s="2" t="s">
        <v>153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6" s="15" customFormat="1" ht="34">
      <c r="B6" s="16" t="s">
        <v>46</v>
      </c>
      <c r="C6" s="16" t="s">
        <v>39</v>
      </c>
      <c r="D6" s="16" t="s">
        <v>1</v>
      </c>
      <c r="E6" s="16" t="s">
        <v>41</v>
      </c>
      <c r="F6" s="16" t="s">
        <v>48</v>
      </c>
      <c r="G6" s="16" t="s">
        <v>40</v>
      </c>
      <c r="H6" s="16" t="s">
        <v>40</v>
      </c>
      <c r="I6" s="16" t="s">
        <v>82</v>
      </c>
      <c r="J6" s="16" t="s">
        <v>42</v>
      </c>
      <c r="K6" s="16" t="s">
        <v>43</v>
      </c>
      <c r="L6" s="16" t="s">
        <v>79</v>
      </c>
      <c r="M6" s="16" t="s">
        <v>102</v>
      </c>
      <c r="N6" s="15" t="s">
        <v>3</v>
      </c>
      <c r="O6" s="15" t="s">
        <v>136</v>
      </c>
    </row>
    <row r="7" spans="2:16">
      <c r="B7" t="str">
        <f>'Cost table'!A10</f>
        <v>PV</v>
      </c>
      <c r="C7" s="14">
        <f>'Cost table'!B10</f>
        <v>1</v>
      </c>
      <c r="D7">
        <f>'Cost table'!C10</f>
        <v>0</v>
      </c>
      <c r="E7" s="9">
        <f>'Cost table'!D10</f>
        <v>2.3509062652146532E-2</v>
      </c>
      <c r="F7" s="13">
        <f>'Cost table'!E10</f>
        <v>535.79906752083559</v>
      </c>
      <c r="G7" s="13">
        <f t="shared" ref="G7:G15" si="0">G8/C8</f>
        <v>4147.6203451044548</v>
      </c>
      <c r="H7" s="13">
        <f t="shared" ref="H7:H8" si="1">H8/C8</f>
        <v>5394.7434209518424</v>
      </c>
      <c r="I7" s="13">
        <f>H7-G7</f>
        <v>1247.1230758473876</v>
      </c>
      <c r="J7" s="13">
        <f>H7*E7</f>
        <v>126.82536107541218</v>
      </c>
      <c r="K7" s="29">
        <f>J7/H7</f>
        <v>2.3509062652146532E-2</v>
      </c>
      <c r="L7" t="s">
        <v>107</v>
      </c>
      <c r="M7" s="3">
        <f>C1*C2*C3</f>
        <v>5394.7434209518415</v>
      </c>
      <c r="N7" s="13">
        <f>M7/C1*F7</f>
        <v>2627.7259040546901</v>
      </c>
      <c r="O7" s="23">
        <f>K7</f>
        <v>2.3509062652146532E-2</v>
      </c>
      <c r="P7" s="4"/>
    </row>
    <row r="8" spans="2:16">
      <c r="B8" t="str">
        <f>'Cost table'!A23</f>
        <v>Converter AC/DC</v>
      </c>
      <c r="C8" s="14">
        <f>'Cost table'!B23</f>
        <v>0.97</v>
      </c>
      <c r="D8">
        <f>'Cost table'!C23</f>
        <v>0</v>
      </c>
      <c r="E8" s="9">
        <f>'Cost table'!D23</f>
        <v>8.1218628117918565E-3</v>
      </c>
      <c r="F8" s="13">
        <f>'Cost table'!E23</f>
        <v>318.23759115648329</v>
      </c>
      <c r="G8" s="13">
        <f t="shared" si="0"/>
        <v>4023.1917347513208</v>
      </c>
      <c r="H8" s="13">
        <f t="shared" si="1"/>
        <v>5232.9011183232869</v>
      </c>
      <c r="I8" s="13">
        <f t="shared" ref="I8:I10" si="2">H8-G8</f>
        <v>1209.7093835719661</v>
      </c>
      <c r="J8" s="13">
        <f t="shared" ref="J8:J17" si="3">J7+H8*E8</f>
        <v>169.32626606610609</v>
      </c>
      <c r="K8" s="29">
        <f t="shared" ref="K8:K17" si="4">J8/H8</f>
        <v>3.2358009875860447E-2</v>
      </c>
      <c r="L8" t="s">
        <v>108</v>
      </c>
      <c r="M8" s="3">
        <f>G1</f>
        <v>4.9043122008653111</v>
      </c>
      <c r="N8" s="13">
        <f>M8*F8</f>
        <v>1560.7365010827277</v>
      </c>
      <c r="O8" s="23">
        <f>K8-K7</f>
        <v>8.8489472237139148E-3</v>
      </c>
      <c r="P8" s="4"/>
    </row>
    <row r="9" spans="2:16">
      <c r="B9" t="str">
        <f>'Cost table'!A13</f>
        <v>Battery</v>
      </c>
      <c r="C9" s="14">
        <f>'Cost table'!B13</f>
        <v>0.89</v>
      </c>
      <c r="D9">
        <f>'Cost table'!C13</f>
        <v>0</v>
      </c>
      <c r="E9" s="9">
        <f>'Cost table'!D13</f>
        <v>6.5218558378688604E-2</v>
      </c>
      <c r="F9" s="13">
        <f>'Cost table'!E13</f>
        <v>116.6871167573772</v>
      </c>
      <c r="G9" s="13">
        <f t="shared" si="0"/>
        <v>3580.6406439286757</v>
      </c>
      <c r="H9" s="13">
        <f>H10/C10</f>
        <v>4657.2819953077251</v>
      </c>
      <c r="I9" s="13">
        <f t="shared" si="2"/>
        <v>1076.6413513790494</v>
      </c>
      <c r="J9" s="13">
        <f t="shared" si="3"/>
        <v>473.06748376309832</v>
      </c>
      <c r="K9" s="29">
        <f t="shared" si="4"/>
        <v>0.10157587284594753</v>
      </c>
      <c r="L9" t="s">
        <v>109</v>
      </c>
      <c r="M9" s="3">
        <f>G3*12</f>
        <v>22.170178442267844</v>
      </c>
      <c r="N9" s="13">
        <f t="shared" ref="N9:N12" si="5">M9*F9</f>
        <v>2586.9742004247946</v>
      </c>
      <c r="O9" s="23">
        <f t="shared" ref="O9:O17" si="6">K9-K8</f>
        <v>6.9217862970087085E-2</v>
      </c>
      <c r="P9" s="4"/>
    </row>
    <row r="10" spans="2:16">
      <c r="B10" t="str">
        <f>'Cost table'!A24</f>
        <v>Inverter DC/AC</v>
      </c>
      <c r="C10" s="14">
        <f>'Cost table'!B24</f>
        <v>0.97</v>
      </c>
      <c r="D10">
        <f>'Cost table'!C24</f>
        <v>0</v>
      </c>
      <c r="E10" s="9">
        <f>'Cost table'!D24</f>
        <v>8.1218628117918565E-3</v>
      </c>
      <c r="F10" s="13">
        <f>'Cost table'!E24</f>
        <v>318.23759115648329</v>
      </c>
      <c r="G10" s="13">
        <f t="shared" si="0"/>
        <v>3473.2214246108151</v>
      </c>
      <c r="H10" s="13">
        <f>G10+I18</f>
        <v>4517.563535448493</v>
      </c>
      <c r="I10" s="13">
        <f t="shared" si="2"/>
        <v>1044.3421108376779</v>
      </c>
      <c r="J10" s="13">
        <f t="shared" si="3"/>
        <v>509.75851504156435</v>
      </c>
      <c r="K10" s="29">
        <f t="shared" si="4"/>
        <v>0.11283925749833572</v>
      </c>
      <c r="L10" t="s">
        <v>108</v>
      </c>
      <c r="M10" s="3">
        <f>G3*C9</f>
        <v>1.6442882344681984</v>
      </c>
      <c r="N10" s="13">
        <f>M10*F10</f>
        <v>523.27432690410626</v>
      </c>
      <c r="O10" s="23">
        <f t="shared" si="6"/>
        <v>1.1263384652388186E-2</v>
      </c>
      <c r="P10" s="4"/>
    </row>
    <row r="11" spans="2:16">
      <c r="B11" t="str">
        <f>'Cost table'!A28</f>
        <v>Electrolyzer</v>
      </c>
      <c r="C11" s="14">
        <f>'Cost table'!B28</f>
        <v>0.6</v>
      </c>
      <c r="D11">
        <f>'Cost table'!C28</f>
        <v>0.02</v>
      </c>
      <c r="E11" s="9">
        <f>'Cost table'!D28</f>
        <v>8.0933742419628932E-2</v>
      </c>
      <c r="F11" s="13">
        <f>'Cost table'!E28</f>
        <v>1669.897917979747</v>
      </c>
      <c r="G11" s="13">
        <f t="shared" si="0"/>
        <v>2083.9328547664891</v>
      </c>
      <c r="H11" s="13">
        <f t="shared" ref="H11:H16" si="7">G11</f>
        <v>2083.9328547664891</v>
      </c>
      <c r="I11" s="13">
        <f t="shared" ref="I11:I16" si="8">G11*D11</f>
        <v>41.678657095329783</v>
      </c>
      <c r="J11" s="13">
        <f t="shared" si="3"/>
        <v>678.41899992903734</v>
      </c>
      <c r="K11" s="47">
        <f t="shared" si="4"/>
        <v>0.32554743708623768</v>
      </c>
      <c r="L11" t="s">
        <v>108</v>
      </c>
      <c r="M11" s="3">
        <f>M10*C10</f>
        <v>1.5949595874341524</v>
      </c>
      <c r="N11" s="13">
        <f>M11*F11</f>
        <v>2663.4196943181273</v>
      </c>
      <c r="O11" s="23">
        <f t="shared" si="6"/>
        <v>0.21270817958790195</v>
      </c>
      <c r="P11" s="4"/>
    </row>
    <row r="12" spans="2:16">
      <c r="B12" t="str">
        <f>'Cost table'!A41</f>
        <v>Pipeline</v>
      </c>
      <c r="C12" s="14">
        <f>'Cost table'!B41</f>
        <v>0.99</v>
      </c>
      <c r="D12">
        <f>'Cost table'!C41</f>
        <v>1E-3</v>
      </c>
      <c r="E12" s="9">
        <f>'Cost table'!D41</f>
        <v>9.3405490529333991E-3</v>
      </c>
      <c r="F12" s="13">
        <f>'Cost table'!E41</f>
        <v>1591.1604851848285</v>
      </c>
      <c r="G12" s="13">
        <f t="shared" si="0"/>
        <v>2063.0935262188241</v>
      </c>
      <c r="H12" s="13">
        <f t="shared" si="7"/>
        <v>2063.0935262188241</v>
      </c>
      <c r="I12" s="13">
        <f t="shared" si="8"/>
        <v>2.0630935262188239</v>
      </c>
      <c r="J12" s="13">
        <f t="shared" si="3"/>
        <v>697.68942621147357</v>
      </c>
      <c r="K12" s="29">
        <f t="shared" si="4"/>
        <v>0.33817634408953712</v>
      </c>
      <c r="L12" t="s">
        <v>108</v>
      </c>
      <c r="M12" s="3">
        <f>M11*C11</f>
        <v>0.95697575246049138</v>
      </c>
      <c r="N12" s="13">
        <f t="shared" si="5"/>
        <v>1522.7020025951517</v>
      </c>
      <c r="O12" s="23">
        <f t="shared" si="6"/>
        <v>1.2628907003299439E-2</v>
      </c>
      <c r="P12" s="4"/>
    </row>
    <row r="13" spans="2:16">
      <c r="B13" t="str">
        <f>'Cost table'!A30</f>
        <v>Compressor 30-200bar</v>
      </c>
      <c r="C13" s="14">
        <f>'Cost table'!B30</f>
        <v>0.97</v>
      </c>
      <c r="D13">
        <f>'Cost table'!C30</f>
        <v>0.15</v>
      </c>
      <c r="E13" s="9">
        <f>'Cost table'!D30</f>
        <v>1.0625383454639863E-2</v>
      </c>
      <c r="F13" s="13">
        <f>'Cost table'!E30</f>
        <v>611.56718125290399</v>
      </c>
      <c r="G13" s="13">
        <f t="shared" si="0"/>
        <v>2001.2007204322595</v>
      </c>
      <c r="H13" s="13">
        <f t="shared" si="7"/>
        <v>2001.2007204322595</v>
      </c>
      <c r="I13" s="13">
        <f t="shared" si="8"/>
        <v>300.18010806483892</v>
      </c>
      <c r="J13" s="13">
        <f t="shared" si="3"/>
        <v>718.95295123576784</v>
      </c>
      <c r="K13" s="29">
        <f t="shared" si="4"/>
        <v>0.35926078973251319</v>
      </c>
      <c r="L13" t="s">
        <v>108</v>
      </c>
      <c r="M13" s="3">
        <f t="shared" ref="M13" si="9">M12*C12</f>
        <v>0.94740599493588651</v>
      </c>
      <c r="N13" s="13">
        <f t="shared" ref="N13:N17" si="10">M13*F13</f>
        <v>579.40241382504314</v>
      </c>
      <c r="O13" s="23">
        <f t="shared" si="6"/>
        <v>2.1084445642976068E-2</v>
      </c>
      <c r="P13" s="4"/>
    </row>
    <row r="14" spans="2:16">
      <c r="B14" t="str">
        <f>'Cost table'!A29</f>
        <v>H2 Storage UG 200bar</v>
      </c>
      <c r="C14" s="14">
        <f>'Cost table'!B29</f>
        <v>1</v>
      </c>
      <c r="D14">
        <f>'Cost table'!C29</f>
        <v>0.15</v>
      </c>
      <c r="E14" s="9">
        <f>'Cost table'!D29</f>
        <v>7.1454549558941802E-2</v>
      </c>
      <c r="F14" s="13">
        <f>'Cost table'!E29</f>
        <v>0.90923456296275929</v>
      </c>
      <c r="G14" s="13">
        <f t="shared" si="0"/>
        <v>2001.2007204322595</v>
      </c>
      <c r="H14" s="13">
        <f t="shared" si="7"/>
        <v>2001.2007204322595</v>
      </c>
      <c r="I14" s="13">
        <f t="shared" si="8"/>
        <v>300.18010806483892</v>
      </c>
      <c r="J14" s="13">
        <f t="shared" si="3"/>
        <v>861.9478472912848</v>
      </c>
      <c r="K14" s="29">
        <f t="shared" si="4"/>
        <v>0.430715339291455</v>
      </c>
      <c r="L14" t="s">
        <v>109</v>
      </c>
      <c r="M14" s="3">
        <f>G14</f>
        <v>2001.2007204322595</v>
      </c>
      <c r="N14" s="13">
        <f t="shared" si="10"/>
        <v>1819.5608624429844</v>
      </c>
      <c r="O14" s="23">
        <f t="shared" si="6"/>
        <v>7.1454549558941816E-2</v>
      </c>
      <c r="P14" s="4"/>
    </row>
    <row r="15" spans="2:16">
      <c r="B15" t="str">
        <f>'Cost table'!A41</f>
        <v>Pipeline</v>
      </c>
      <c r="C15" s="14">
        <f>'Cost table'!B33</f>
        <v>1</v>
      </c>
      <c r="D15">
        <f>'Cost table'!C33</f>
        <v>0.2</v>
      </c>
      <c r="E15" s="9">
        <f>'Cost table'!D33</f>
        <v>4.3773292939846709E-7</v>
      </c>
      <c r="F15" s="13">
        <f>'Cost table'!E33</f>
        <v>155.22009676469642</v>
      </c>
      <c r="G15" s="13">
        <f t="shared" si="0"/>
        <v>2001.2007204322595</v>
      </c>
      <c r="H15" s="13">
        <f t="shared" si="7"/>
        <v>2001.2007204322595</v>
      </c>
      <c r="I15" s="13">
        <f t="shared" si="8"/>
        <v>400.24014408645189</v>
      </c>
      <c r="J15" s="13">
        <f t="shared" si="3"/>
        <v>861.94872328273846</v>
      </c>
      <c r="K15" s="29">
        <f t="shared" si="4"/>
        <v>0.43071577702438441</v>
      </c>
      <c r="L15" t="s">
        <v>108</v>
      </c>
      <c r="M15" s="3">
        <f>M13/3</f>
        <v>0.31580199831196215</v>
      </c>
      <c r="N15" s="13">
        <f t="shared" si="10"/>
        <v>49.018816736467258</v>
      </c>
      <c r="O15" s="23">
        <f t="shared" si="6"/>
        <v>4.3773292940363362E-7</v>
      </c>
      <c r="P15" s="4"/>
    </row>
    <row r="16" spans="2:16">
      <c r="B16" t="str">
        <f>'Cost table'!A40</f>
        <v>Combined cycle power plant</v>
      </c>
      <c r="C16" s="14">
        <f>'Cost table'!B40</f>
        <v>0.5</v>
      </c>
      <c r="D16">
        <f>'Cost table'!C40</f>
        <v>0</v>
      </c>
      <c r="E16" s="9">
        <f>'Cost table'!D40</f>
        <v>2.3109689136391491E-2</v>
      </c>
      <c r="F16" s="13">
        <f>'Cost table'!E40</f>
        <v>2561.0219208697367</v>
      </c>
      <c r="G16" s="13">
        <f>G17/C17</f>
        <v>1000.6003602161297</v>
      </c>
      <c r="H16" s="13">
        <f t="shared" si="7"/>
        <v>1000.6003602161297</v>
      </c>
      <c r="I16" s="13">
        <f t="shared" si="8"/>
        <v>0</v>
      </c>
      <c r="J16" s="13">
        <f t="shared" si="3"/>
        <v>885.07228655709457</v>
      </c>
      <c r="K16" s="29">
        <f t="shared" si="4"/>
        <v>0.88454124318516025</v>
      </c>
      <c r="L16" t="s">
        <v>108</v>
      </c>
      <c r="M16" s="3">
        <f>M15*C16</f>
        <v>0.15790099915598108</v>
      </c>
      <c r="N16" s="13">
        <f t="shared" si="10"/>
        <v>404.38792016570136</v>
      </c>
      <c r="O16" s="23">
        <f t="shared" si="6"/>
        <v>0.45382546616077585</v>
      </c>
      <c r="P16" s="4"/>
    </row>
    <row r="17" spans="2:16">
      <c r="B17" t="str">
        <f>'Cost table'!A15</f>
        <v>Grid surface (100 km)</v>
      </c>
      <c r="C17" s="14">
        <f>'Cost table'!B15</f>
        <v>0.99939999999999996</v>
      </c>
      <c r="D17">
        <f>'Cost table'!C15</f>
        <v>0</v>
      </c>
      <c r="E17" s="9">
        <f>'Cost table'!D15</f>
        <v>1.5269621143594012E-2</v>
      </c>
      <c r="F17" s="13">
        <f>'Cost table'!E15</f>
        <v>1341.9042910243377</v>
      </c>
      <c r="G17" s="13">
        <v>1000</v>
      </c>
      <c r="H17" s="13">
        <f>G17</f>
        <v>1000</v>
      </c>
      <c r="I17" s="13">
        <f>G17*D17</f>
        <v>0</v>
      </c>
      <c r="J17" s="13">
        <f t="shared" si="3"/>
        <v>900.34190770068858</v>
      </c>
      <c r="K17" s="29">
        <f t="shared" si="4"/>
        <v>0.90034190770068856</v>
      </c>
      <c r="L17" t="s">
        <v>108</v>
      </c>
      <c r="M17" s="3">
        <f>M16</f>
        <v>0.15790099915598108</v>
      </c>
      <c r="N17" s="13">
        <f t="shared" si="10"/>
        <v>211.88802832444134</v>
      </c>
      <c r="O17" s="23">
        <f t="shared" si="6"/>
        <v>1.5800664515528307E-2</v>
      </c>
      <c r="P17" s="4"/>
    </row>
    <row r="18" spans="2:16">
      <c r="B18" s="7"/>
      <c r="C18" s="18">
        <f>H17/H7</f>
        <v>0.18536562760635633</v>
      </c>
      <c r="D18" s="20">
        <f>D11*H11+D12*H12+D17*H17</f>
        <v>43.741750621548604</v>
      </c>
      <c r="E18" s="7"/>
      <c r="F18" s="7"/>
      <c r="G18" s="7"/>
      <c r="H18" s="7" t="s">
        <v>163</v>
      </c>
      <c r="I18" s="17">
        <f>SUM(I11:I17)</f>
        <v>1044.3421108376783</v>
      </c>
      <c r="J18" s="7"/>
      <c r="K18" s="30">
        <f>K17</f>
        <v>0.90034190770068856</v>
      </c>
      <c r="L18" s="7"/>
      <c r="M18" s="7"/>
      <c r="N18" s="17">
        <f>SUM(N7:N17)</f>
        <v>14549.090670874235</v>
      </c>
      <c r="O18" s="46">
        <f>SUM(O7:O17)</f>
        <v>0.90034190770068856</v>
      </c>
    </row>
    <row r="19" spans="2:16">
      <c r="B19" s="24" t="s">
        <v>106</v>
      </c>
      <c r="C19" s="26">
        <f>C18</f>
        <v>0.18536562760635633</v>
      </c>
      <c r="D19" s="4"/>
      <c r="J19" s="24" t="s">
        <v>133</v>
      </c>
      <c r="K19" s="31">
        <f>39.4*K11</f>
        <v>12.826569021197765</v>
      </c>
      <c r="M19" s="24" t="s">
        <v>105</v>
      </c>
      <c r="N19" s="41">
        <f>N18</f>
        <v>14549.090670874235</v>
      </c>
    </row>
  </sheetData>
  <conditionalFormatting sqref="O7:O12">
    <cfRule type="dataBar" priority="11">
      <dataBar>
        <cfvo type="num" val="0"/>
        <cfvo type="num" val="$O$18"/>
        <color theme="0" tint="-0.14999847407452621"/>
      </dataBar>
      <extLst>
        <ext xmlns:x14="http://schemas.microsoft.com/office/spreadsheetml/2009/9/main" uri="{B025F937-C7B1-47D3-B67F-A62EFF666E3E}">
          <x14:id>{145550C8-4001-6C45-87D7-E10018556AD4}</x14:id>
        </ext>
      </extLst>
    </cfRule>
    <cfRule type="dataBar" priority="31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{AC13833A-D596-7048-BCC9-0C0588F48FED}</x14:id>
        </ext>
      </extLst>
    </cfRule>
    <cfRule type="dataBar" priority="3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{1115985A-8759-0743-9E9B-21E640758D93}</x14:id>
        </ext>
      </extLst>
    </cfRule>
    <cfRule type="dataBar" priority="33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{9EB89029-4B36-0140-AB2B-EAF66854E298}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{7DDB1DC0-7E7A-824B-BF4B-3BA1C2157BA7}</x14:id>
        </ext>
      </extLst>
    </cfRule>
  </conditionalFormatting>
  <conditionalFormatting sqref="O13:O17">
    <cfRule type="dataBar" priority="1">
      <dataBar>
        <cfvo type="num" val="0"/>
        <cfvo type="num" val="$O$18"/>
        <color theme="0" tint="-0.14999847407452621"/>
      </dataBar>
      <extLst>
        <ext xmlns:x14="http://schemas.microsoft.com/office/spreadsheetml/2009/9/main" uri="{B025F937-C7B1-47D3-B67F-A62EFF666E3E}">
          <x14:id>{3B454FFF-BA02-6849-A66F-DE5336B4C4EE}</x14:id>
        </ext>
      </extLst>
    </cfRule>
    <cfRule type="dataBar" priority="2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{9EAB29EF-83FF-D040-A935-8AEDA13D6BC0}</x14:id>
        </ext>
      </extLst>
    </cfRule>
    <cfRule type="dataBar" priority="3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{1FCEEF8B-FCFF-5847-90DE-DB6466A98DA2}</x14:id>
        </ext>
      </extLst>
    </cfRule>
    <cfRule type="dataBar" priority="4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{BC07F2FF-7BC1-6244-AE28-ACF08FA69323}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{678F4987-1531-804A-B149-79ED6D1DE37A}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550C8-4001-6C45-87D7-E10018556AD4}">
            <x14:dataBar minLength="0" maxLength="100" gradient="0">
              <x14:cfvo type="num">
                <xm:f>0</xm:f>
              </x14:cfvo>
              <x14:cfvo type="num">
                <xm:f>$O$18</xm:f>
              </x14:cfvo>
              <x14:negativeFillColor rgb="FFFF0000"/>
              <x14:axisColor rgb="FF000000"/>
            </x14:dataBar>
          </x14:cfRule>
          <x14:cfRule type="dataBar" id="{AC13833A-D596-7048-BCC9-0C0588F48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15985A-8759-0743-9E9B-21E640758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B89029-4B36-0140-AB2B-EAF66854E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DDB1DC0-7E7A-824B-BF4B-3BA1C2157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O7:O12</xm:sqref>
        </x14:conditionalFormatting>
        <x14:conditionalFormatting xmlns:xm="http://schemas.microsoft.com/office/excel/2006/main">
          <x14:cfRule type="dataBar" id="{3B454FFF-BA02-6849-A66F-DE5336B4C4EE}">
            <x14:dataBar minLength="0" maxLength="100" gradient="0">
              <x14:cfvo type="num">
                <xm:f>0</xm:f>
              </x14:cfvo>
              <x14:cfvo type="num">
                <xm:f>$O$18</xm:f>
              </x14:cfvo>
              <x14:negativeFillColor rgb="FFFF0000"/>
              <x14:axisColor rgb="FF000000"/>
            </x14:dataBar>
          </x14:cfRule>
          <x14:cfRule type="dataBar" id="{9EAB29EF-83FF-D040-A935-8AEDA13D6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CEEF8B-FCFF-5847-90DE-DB6466A98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07F2FF-7BC1-6244-AE28-ACF08FA69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8F4987-1531-804A-B149-79ED6D1DE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O13:O17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45DC-52F2-C049-AE37-3A90D915FD1D}">
  <dimension ref="A2:D25"/>
  <sheetViews>
    <sheetView zoomScale="138" zoomScaleNormal="160" workbookViewId="0">
      <selection sqref="A1:C25"/>
    </sheetView>
  </sheetViews>
  <sheetFormatPr baseColWidth="10" defaultRowHeight="16"/>
  <cols>
    <col min="1" max="1" width="28" customWidth="1"/>
  </cols>
  <sheetData>
    <row r="2" spans="1:4">
      <c r="A2" t="s">
        <v>7</v>
      </c>
      <c r="B2">
        <v>1.1754531326073266E-2</v>
      </c>
      <c r="C2">
        <v>4875.103815671735</v>
      </c>
    </row>
    <row r="3" spans="1:4">
      <c r="A3" t="s">
        <v>37</v>
      </c>
      <c r="B3">
        <v>2.0239936343826152E-2</v>
      </c>
      <c r="C3">
        <v>4728.8507012015825</v>
      </c>
    </row>
    <row r="4" spans="1:4">
      <c r="A4" t="s">
        <v>8</v>
      </c>
      <c r="B4">
        <v>8.7960059888605627E-2</v>
      </c>
      <c r="C4">
        <v>4208.6771240694088</v>
      </c>
    </row>
    <row r="5" spans="1:4">
      <c r="A5" t="s">
        <v>38</v>
      </c>
      <c r="B5">
        <v>9.8802336923756437E-2</v>
      </c>
      <c r="C5">
        <v>4082.4168103473266</v>
      </c>
    </row>
    <row r="6" spans="1:4">
      <c r="A6" t="s">
        <v>17</v>
      </c>
      <c r="B6">
        <v>0.27949350552407148</v>
      </c>
      <c r="C6">
        <v>2449.450086208396</v>
      </c>
    </row>
    <row r="7" spans="1:4">
      <c r="A7" t="s">
        <v>19</v>
      </c>
      <c r="B7">
        <v>0.30375236803988098</v>
      </c>
      <c r="C7">
        <v>2326.9775818979761</v>
      </c>
    </row>
    <row r="8" spans="1:4">
      <c r="A8" t="s">
        <v>22</v>
      </c>
      <c r="B8">
        <v>0.30491390828549153</v>
      </c>
      <c r="C8">
        <v>2326.9775818979761</v>
      </c>
    </row>
    <row r="9" spans="1:4">
      <c r="A9" t="s">
        <v>23</v>
      </c>
      <c r="B9">
        <v>0.35487494690306437</v>
      </c>
      <c r="C9">
        <v>2001.2007204322595</v>
      </c>
    </row>
    <row r="10" spans="1:4">
      <c r="A10" t="s">
        <v>152</v>
      </c>
      <c r="B10">
        <v>0.35511863429390439</v>
      </c>
      <c r="C10">
        <v>2001.2007204322595</v>
      </c>
      <c r="D10">
        <f>B10*39.4</f>
        <v>13.991674191179833</v>
      </c>
    </row>
    <row r="11" spans="1:4">
      <c r="A11" t="s">
        <v>171</v>
      </c>
      <c r="B11">
        <v>0.73334695772420022</v>
      </c>
      <c r="C11">
        <v>1000.6003602161297</v>
      </c>
    </row>
    <row r="12" spans="1:4">
      <c r="A12" t="s">
        <v>88</v>
      </c>
      <c r="B12">
        <v>0.74905685120583165</v>
      </c>
      <c r="C12">
        <v>1000</v>
      </c>
    </row>
    <row r="15" spans="1:4">
      <c r="A15" t="s">
        <v>7</v>
      </c>
      <c r="B15">
        <v>2.3509062652146532E-2</v>
      </c>
      <c r="C15">
        <v>5394.7434209518424</v>
      </c>
    </row>
    <row r="16" spans="1:4">
      <c r="A16" t="s">
        <v>37</v>
      </c>
      <c r="B16">
        <v>3.2358009875860447E-2</v>
      </c>
      <c r="C16">
        <v>5232.9011183232869</v>
      </c>
    </row>
    <row r="17" spans="1:4">
      <c r="A17" t="s">
        <v>8</v>
      </c>
      <c r="B17">
        <v>0.10157587284594753</v>
      </c>
      <c r="C17">
        <v>4657.2819953077251</v>
      </c>
    </row>
    <row r="18" spans="1:4">
      <c r="A18" t="s">
        <v>38</v>
      </c>
      <c r="B18">
        <v>0.11283925749833572</v>
      </c>
      <c r="C18">
        <v>4517.563535448493</v>
      </c>
    </row>
    <row r="19" spans="1:4">
      <c r="A19" t="s">
        <v>17</v>
      </c>
      <c r="B19">
        <v>0.32554743708623768</v>
      </c>
      <c r="C19">
        <v>2083.9328547664891</v>
      </c>
    </row>
    <row r="20" spans="1:4">
      <c r="A20" t="s">
        <v>161</v>
      </c>
      <c r="B20">
        <v>0.33817634408953712</v>
      </c>
      <c r="C20">
        <v>2063.0935262188241</v>
      </c>
    </row>
    <row r="21" spans="1:4">
      <c r="A21" t="s">
        <v>160</v>
      </c>
      <c r="B21">
        <v>0.35926078973251319</v>
      </c>
      <c r="C21">
        <v>2001.2007204322595</v>
      </c>
    </row>
    <row r="22" spans="1:4">
      <c r="A22" t="s">
        <v>162</v>
      </c>
      <c r="B22">
        <v>0.430715339291455</v>
      </c>
      <c r="C22">
        <v>2001.2007204322595</v>
      </c>
      <c r="D22">
        <f>B22*39.4</f>
        <v>16.970184368083327</v>
      </c>
    </row>
    <row r="23" spans="1:4">
      <c r="A23" t="s">
        <v>161</v>
      </c>
      <c r="B23">
        <v>0.43071577702438441</v>
      </c>
      <c r="C23">
        <v>2001.2007204322595</v>
      </c>
    </row>
    <row r="24" spans="1:4">
      <c r="A24" t="s">
        <v>171</v>
      </c>
      <c r="B24">
        <v>0.88454124318516025</v>
      </c>
      <c r="C24">
        <v>1000.6003602161297</v>
      </c>
    </row>
    <row r="25" spans="1:4">
      <c r="A25" t="s">
        <v>88</v>
      </c>
      <c r="B25">
        <v>0.90034190770068856</v>
      </c>
      <c r="C25">
        <v>1000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898E-D75D-614A-9A8F-A4989DC39236}">
  <dimension ref="B1:P21"/>
  <sheetViews>
    <sheetView topLeftCell="A8" zoomScaleNormal="130" workbookViewId="0">
      <selection activeCell="G3" sqref="G3"/>
    </sheetView>
  </sheetViews>
  <sheetFormatPr baseColWidth="10" defaultRowHeight="16"/>
  <cols>
    <col min="1" max="1" width="14.33203125" customWidth="1"/>
    <col min="2" max="2" width="17" customWidth="1"/>
    <col min="3" max="3" width="13.83203125" customWidth="1"/>
    <col min="4" max="4" width="14.1640625" customWidth="1"/>
    <col min="5" max="5" width="12.83203125" customWidth="1"/>
    <col min="6" max="6" width="11.6640625" customWidth="1"/>
    <col min="7" max="7" width="7.83203125" customWidth="1"/>
    <col min="8" max="8" width="10" customWidth="1"/>
    <col min="9" max="9" width="8.33203125" customWidth="1"/>
    <col min="10" max="10" width="12.6640625" customWidth="1"/>
    <col min="11" max="11" width="12" customWidth="1"/>
    <col min="12" max="12" width="12.6640625" customWidth="1"/>
    <col min="13" max="13" width="12.33203125" customWidth="1"/>
    <col min="14" max="14" width="9.1640625" customWidth="1"/>
    <col min="15" max="15" width="8.1640625" customWidth="1"/>
  </cols>
  <sheetData>
    <row r="1" spans="2:16" ht="17" thickBot="1">
      <c r="B1" t="s">
        <v>127</v>
      </c>
      <c r="C1" s="10">
        <f>'Cost table'!B3</f>
        <v>1100</v>
      </c>
      <c r="F1" t="s">
        <v>86</v>
      </c>
      <c r="G1" s="22">
        <f>C3*C2</f>
        <v>5.344000164488163</v>
      </c>
    </row>
    <row r="2" spans="2:16" ht="17" thickBot="1">
      <c r="B2" t="s">
        <v>44</v>
      </c>
      <c r="C2" s="11">
        <v>0.2</v>
      </c>
      <c r="D2" t="s">
        <v>81</v>
      </c>
      <c r="E2" s="21">
        <v>2</v>
      </c>
      <c r="F2" t="s">
        <v>85</v>
      </c>
      <c r="G2" s="22">
        <f>C1*C2/24/365*C3</f>
        <v>0.67105024896540855</v>
      </c>
    </row>
    <row r="3" spans="2:16" ht="17" thickBot="1">
      <c r="B3" t="s">
        <v>45</v>
      </c>
      <c r="C3" s="8">
        <f>H7/C1/C2</f>
        <v>26.720000822440813</v>
      </c>
      <c r="D3" s="24" t="s">
        <v>103</v>
      </c>
      <c r="E3" s="25">
        <f>C3*E2</f>
        <v>53.440001644881626</v>
      </c>
      <c r="F3" t="s">
        <v>87</v>
      </c>
      <c r="G3" s="22">
        <f>G2*2</f>
        <v>1.3421004979308171</v>
      </c>
    </row>
    <row r="4" spans="2:16">
      <c r="G4" s="6" t="s">
        <v>49</v>
      </c>
    </row>
    <row r="5" spans="2:16">
      <c r="B5" s="2" t="s">
        <v>154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6" s="15" customFormat="1" ht="34">
      <c r="B6" s="16" t="s">
        <v>46</v>
      </c>
      <c r="C6" s="16" t="s">
        <v>39</v>
      </c>
      <c r="D6" s="16" t="s">
        <v>1</v>
      </c>
      <c r="E6" s="16" t="s">
        <v>41</v>
      </c>
      <c r="F6" s="16" t="s">
        <v>48</v>
      </c>
      <c r="G6" s="16" t="s">
        <v>40</v>
      </c>
      <c r="H6" s="16" t="s">
        <v>40</v>
      </c>
      <c r="I6" s="16" t="s">
        <v>82</v>
      </c>
      <c r="J6" s="16" t="s">
        <v>42</v>
      </c>
      <c r="K6" s="16" t="s">
        <v>43</v>
      </c>
      <c r="L6" s="16" t="s">
        <v>79</v>
      </c>
      <c r="M6" s="16" t="s">
        <v>102</v>
      </c>
      <c r="N6" s="15" t="s">
        <v>3</v>
      </c>
      <c r="O6" s="15" t="s">
        <v>136</v>
      </c>
    </row>
    <row r="7" spans="2:16">
      <c r="B7" t="str">
        <f>'Cost table'!A10</f>
        <v>PV</v>
      </c>
      <c r="C7" s="14">
        <f>'Cost table'!B10</f>
        <v>1</v>
      </c>
      <c r="D7">
        <f>'Cost table'!C10</f>
        <v>0</v>
      </c>
      <c r="E7" s="9">
        <f>'Cost table'!D10</f>
        <v>2.3509062652146532E-2</v>
      </c>
      <c r="F7" s="13">
        <f>'Cost table'!E10</f>
        <v>535.79906752083559</v>
      </c>
      <c r="G7" s="13">
        <f t="shared" ref="G7:G11" si="0">G8/C8</f>
        <v>4875.103815671735</v>
      </c>
      <c r="H7" s="13">
        <f>H8/C8</f>
        <v>5878.4001809369793</v>
      </c>
      <c r="I7" s="13">
        <f>H7-G7</f>
        <v>1003.2963652652443</v>
      </c>
      <c r="J7" s="13">
        <f>H7*E7</f>
        <v>138.19567814803696</v>
      </c>
      <c r="K7" s="29">
        <f>J7/H7</f>
        <v>2.3509062652146532E-2</v>
      </c>
      <c r="L7" t="s">
        <v>107</v>
      </c>
      <c r="M7" s="3">
        <f>C1*C2*C3</f>
        <v>5878.4001809369793</v>
      </c>
      <c r="N7" s="13">
        <f>M7/C1*F7</f>
        <v>2863.3103049639499</v>
      </c>
      <c r="O7" s="23">
        <f>K7</f>
        <v>2.3509062652146532E-2</v>
      </c>
      <c r="P7" s="4"/>
    </row>
    <row r="8" spans="2:16">
      <c r="B8" t="str">
        <f>'Cost table'!A23</f>
        <v>Converter AC/DC</v>
      </c>
      <c r="C8" s="14">
        <f>'Cost table'!B23</f>
        <v>0.97</v>
      </c>
      <c r="D8">
        <f>'Cost table'!C23</f>
        <v>0</v>
      </c>
      <c r="E8" s="9">
        <f>'Cost table'!D23</f>
        <v>8.1218628117918565E-3</v>
      </c>
      <c r="F8" s="13">
        <f>'Cost table'!E23</f>
        <v>318.23759115648329</v>
      </c>
      <c r="G8" s="13">
        <f t="shared" si="0"/>
        <v>4728.8507012015825</v>
      </c>
      <c r="H8" s="13">
        <f>H9/C9</f>
        <v>5702.0481755088695</v>
      </c>
      <c r="I8" s="13">
        <f t="shared" ref="I8:I10" si="1">H8-G8</f>
        <v>973.19747430728694</v>
      </c>
      <c r="J8" s="13">
        <f t="shared" ref="J8:J18" si="2">J7+H8*E8</f>
        <v>184.50693117574804</v>
      </c>
      <c r="K8" s="29">
        <f t="shared" ref="K8:K18" si="3">J8/H8</f>
        <v>3.2358009875860447E-2</v>
      </c>
      <c r="L8" t="s">
        <v>108</v>
      </c>
      <c r="M8" s="3">
        <f>G1</f>
        <v>5.344000164488163</v>
      </c>
      <c r="N8" s="13">
        <f>M8*F8</f>
        <v>1700.6617394865634</v>
      </c>
      <c r="O8" s="23">
        <f>K8-K7</f>
        <v>8.8489472237139148E-3</v>
      </c>
      <c r="P8" s="4"/>
    </row>
    <row r="9" spans="2:16">
      <c r="B9" t="str">
        <f>'Cost table'!A13</f>
        <v>Battery</v>
      </c>
      <c r="C9" s="14">
        <f>'Cost table'!B13</f>
        <v>0.89</v>
      </c>
      <c r="D9">
        <f>'Cost table'!C13</f>
        <v>0</v>
      </c>
      <c r="E9" s="9">
        <f>'Cost table'!D13</f>
        <v>6.5218558378688604E-2</v>
      </c>
      <c r="F9" s="13">
        <f>'Cost table'!E13</f>
        <v>116.6871167573772</v>
      </c>
      <c r="G9" s="13">
        <f t="shared" si="0"/>
        <v>4208.6771240694088</v>
      </c>
      <c r="H9" s="13">
        <f>H10/C10</f>
        <v>5074.8228762028939</v>
      </c>
      <c r="I9" s="13">
        <f t="shared" si="1"/>
        <v>866.14575213348508</v>
      </c>
      <c r="J9" s="13">
        <f t="shared" si="2"/>
        <v>515.47956318889089</v>
      </c>
      <c r="K9" s="29">
        <f t="shared" si="3"/>
        <v>0.10157587284594753</v>
      </c>
      <c r="L9" t="s">
        <v>109</v>
      </c>
      <c r="M9" s="3">
        <f>G3*12</f>
        <v>16.105205975169806</v>
      </c>
      <c r="N9" s="13">
        <f t="shared" ref="N9:N18" si="4">M9*F9</f>
        <v>1879.2700500262481</v>
      </c>
      <c r="O9" s="23">
        <f t="shared" ref="O9:O18" si="5">K9-K8</f>
        <v>6.9217862970087085E-2</v>
      </c>
      <c r="P9" s="4"/>
    </row>
    <row r="10" spans="2:16">
      <c r="B10" t="str">
        <f>'Cost table'!A24</f>
        <v>Inverter DC/AC</v>
      </c>
      <c r="C10" s="14">
        <f>'Cost table'!B24</f>
        <v>0.97</v>
      </c>
      <c r="D10">
        <f>'Cost table'!C24</f>
        <v>0</v>
      </c>
      <c r="E10" s="9">
        <f>'Cost table'!D24</f>
        <v>8.1218628117918565E-3</v>
      </c>
      <c r="F10" s="13">
        <f>'Cost table'!E24</f>
        <v>318.23759115648329</v>
      </c>
      <c r="G10" s="13">
        <f t="shared" si="0"/>
        <v>4082.4168103473266</v>
      </c>
      <c r="H10" s="13">
        <f>G10+I19</f>
        <v>4922.5781899168069</v>
      </c>
      <c r="I10" s="13">
        <f t="shared" si="1"/>
        <v>840.16137956948023</v>
      </c>
      <c r="J10" s="13">
        <f t="shared" si="2"/>
        <v>555.46006792771391</v>
      </c>
      <c r="K10" s="29">
        <f t="shared" si="3"/>
        <v>0.11283925749833572</v>
      </c>
      <c r="L10" t="s">
        <v>108</v>
      </c>
      <c r="M10" s="3">
        <f>G3*C9</f>
        <v>1.1944694431584273</v>
      </c>
      <c r="N10" s="13">
        <f t="shared" si="4"/>
        <v>380.12507830076385</v>
      </c>
      <c r="O10" s="23">
        <f t="shared" si="5"/>
        <v>1.1263384652388186E-2</v>
      </c>
      <c r="P10" s="4"/>
    </row>
    <row r="11" spans="2:16">
      <c r="B11" t="str">
        <f>'Cost table'!A28</f>
        <v>Electrolyzer</v>
      </c>
      <c r="C11" s="14">
        <f>'Cost table'!B28</f>
        <v>0.6</v>
      </c>
      <c r="D11">
        <f>'Cost table'!C28</f>
        <v>0.02</v>
      </c>
      <c r="E11" s="9">
        <f>'Cost table'!D28</f>
        <v>8.0933742419628932E-2</v>
      </c>
      <c r="F11" s="13">
        <f>'Cost table'!E28</f>
        <v>1669.897917979747</v>
      </c>
      <c r="G11" s="13">
        <f t="shared" si="0"/>
        <v>2449.450086208396</v>
      </c>
      <c r="H11" s="13">
        <f t="shared" ref="H11:H17" si="6">G11</f>
        <v>2449.450086208396</v>
      </c>
      <c r="I11" s="13">
        <f>G11*D11</f>
        <v>48.98900172416792</v>
      </c>
      <c r="J11" s="13">
        <f t="shared" si="2"/>
        <v>753.70323027464212</v>
      </c>
      <c r="K11" s="29">
        <f t="shared" si="3"/>
        <v>0.30770303690545098</v>
      </c>
      <c r="L11" t="s">
        <v>108</v>
      </c>
      <c r="M11" s="3">
        <f>M10</f>
        <v>1.1944694431584273</v>
      </c>
      <c r="N11" s="13">
        <f t="shared" si="4"/>
        <v>1994.6420362206854</v>
      </c>
      <c r="O11" s="23">
        <f t="shared" si="5"/>
        <v>0.19486377940711525</v>
      </c>
      <c r="P11" s="4"/>
    </row>
    <row r="12" spans="2:16">
      <c r="B12" t="str">
        <f>'Cost table'!A32</f>
        <v>Hydrogen Transport</v>
      </c>
      <c r="C12" s="14">
        <f>'Cost table'!B32</f>
        <v>0.95</v>
      </c>
      <c r="D12">
        <f>'Cost table'!C32</f>
        <v>0.04</v>
      </c>
      <c r="E12" s="9">
        <f>'Cost table'!D32</f>
        <v>9.5486780145425977E-3</v>
      </c>
      <c r="F12" s="13">
        <f>'Cost table'!E32</f>
        <v>3182.3209703696571</v>
      </c>
      <c r="G12" s="13">
        <f t="shared" ref="G12:G13" si="7">G13/C13</f>
        <v>2326.9775818979761</v>
      </c>
      <c r="H12" s="13">
        <f t="shared" si="6"/>
        <v>2326.9775818979761</v>
      </c>
      <c r="I12" s="13">
        <f t="shared" ref="I12:I18" si="8">G12*D12</f>
        <v>93.079103275919039</v>
      </c>
      <c r="J12" s="13">
        <f t="shared" si="2"/>
        <v>775.92278995124479</v>
      </c>
      <c r="K12" s="29">
        <f t="shared" si="3"/>
        <v>0.33344661159922784</v>
      </c>
      <c r="L12" t="s">
        <v>108</v>
      </c>
      <c r="M12" s="3">
        <f>M11*C11</f>
        <v>0.71668166589505633</v>
      </c>
      <c r="N12" s="13">
        <f t="shared" si="4"/>
        <v>2280.7110944572978</v>
      </c>
      <c r="O12" s="23">
        <f t="shared" si="5"/>
        <v>2.5743574693776861E-2</v>
      </c>
      <c r="P12" s="4"/>
    </row>
    <row r="13" spans="2:16">
      <c r="B13" t="str">
        <f>'Cost table'!A35</f>
        <v>Liquifaction</v>
      </c>
      <c r="C13" s="14">
        <f>'Cost table'!B35</f>
        <v>1</v>
      </c>
      <c r="D13">
        <f>'Cost table'!C35</f>
        <v>0.3</v>
      </c>
      <c r="E13" s="9">
        <f>'Cost table'!D35</f>
        <v>1.1615402456105343E-3</v>
      </c>
      <c r="F13" s="13">
        <f>'Cost table'!E35</f>
        <v>3795.2225408630611</v>
      </c>
      <c r="G13" s="13">
        <f t="shared" si="7"/>
        <v>2326.9775818979761</v>
      </c>
      <c r="H13" s="13">
        <f t="shared" si="6"/>
        <v>2326.9775818979761</v>
      </c>
      <c r="I13" s="13">
        <f t="shared" si="8"/>
        <v>698.09327456939275</v>
      </c>
      <c r="J13" s="13">
        <f t="shared" si="2"/>
        <v>778.62566806325276</v>
      </c>
      <c r="K13" s="29">
        <f t="shared" si="3"/>
        <v>0.33460815184483839</v>
      </c>
      <c r="L13" t="s">
        <v>108</v>
      </c>
      <c r="M13" s="3">
        <f>M12*C12</f>
        <v>0.68084758260030354</v>
      </c>
      <c r="N13" s="13">
        <f t="shared" si="4"/>
        <v>2583.9680923767969</v>
      </c>
      <c r="O13" s="23">
        <f t="shared" si="5"/>
        <v>1.1615402456105484E-3</v>
      </c>
      <c r="P13" s="4"/>
    </row>
    <row r="14" spans="2:16">
      <c r="B14" t="str">
        <f>'Cost table'!A36</f>
        <v>Ship transport</v>
      </c>
      <c r="C14" s="14">
        <f>'Cost table'!B36</f>
        <v>0.86</v>
      </c>
      <c r="D14">
        <f>'Cost table'!C36</f>
        <v>0</v>
      </c>
      <c r="E14" s="9">
        <f>'Cost table'!D36</f>
        <v>3.2389075714401612E-4</v>
      </c>
      <c r="F14" s="13">
        <f>'Cost table'!E36</f>
        <v>107.6358239005111</v>
      </c>
      <c r="G14" s="13">
        <f>G15/C15</f>
        <v>2001.2007204322595</v>
      </c>
      <c r="H14" s="13">
        <f t="shared" si="6"/>
        <v>2001.2007204322595</v>
      </c>
      <c r="I14" s="13">
        <f t="shared" si="8"/>
        <v>0</v>
      </c>
      <c r="J14" s="13">
        <f t="shared" si="2"/>
        <v>779.2738384797907</v>
      </c>
      <c r="K14" s="29">
        <f t="shared" si="3"/>
        <v>0.38940313708835139</v>
      </c>
      <c r="L14" t="s">
        <v>108</v>
      </c>
      <c r="M14" s="3">
        <f>M13</f>
        <v>0.68084758260030354</v>
      </c>
      <c r="N14" s="13">
        <f t="shared" si="4"/>
        <v>73.283590503854953</v>
      </c>
      <c r="O14" s="23">
        <f t="shared" si="5"/>
        <v>5.4794985243513006E-2</v>
      </c>
      <c r="P14" s="4"/>
    </row>
    <row r="15" spans="2:16">
      <c r="B15" t="str">
        <f>'Cost table'!A38</f>
        <v>Liquid to gas</v>
      </c>
      <c r="C15" s="14">
        <f>'Cost table'!B38</f>
        <v>1</v>
      </c>
      <c r="D15">
        <f>'Cost table'!C38</f>
        <v>0</v>
      </c>
      <c r="E15" s="9">
        <f>'Cost table'!D38</f>
        <v>1.6245826056002376E-4</v>
      </c>
      <c r="F15" s="13">
        <f>'Cost table'!E38</f>
        <v>24.462687250116161</v>
      </c>
      <c r="G15" s="13">
        <f>G16/C16</f>
        <v>2001.2007204322595</v>
      </c>
      <c r="H15" s="13">
        <f t="shared" si="6"/>
        <v>2001.2007204322595</v>
      </c>
      <c r="I15" s="13">
        <f t="shared" si="8"/>
        <v>0</v>
      </c>
      <c r="J15" s="13">
        <f t="shared" si="2"/>
        <v>779.5989500678636</v>
      </c>
      <c r="K15" s="29">
        <f t="shared" si="3"/>
        <v>0.38956559534891144</v>
      </c>
      <c r="L15" t="s">
        <v>108</v>
      </c>
      <c r="M15" s="3">
        <f>M14*C14</f>
        <v>0.58552892103626109</v>
      </c>
      <c r="N15" s="13">
        <f t="shared" si="4"/>
        <v>14.323610871208016</v>
      </c>
      <c r="O15" s="23">
        <f t="shared" si="5"/>
        <v>1.6245826056004997E-4</v>
      </c>
      <c r="P15" s="4"/>
    </row>
    <row r="16" spans="2:16">
      <c r="B16" t="str">
        <f>'Cost table'!A37</f>
        <v>Liquid storage</v>
      </c>
      <c r="C16" s="14">
        <f>'Cost table'!B37</f>
        <v>1</v>
      </c>
      <c r="D16">
        <f>'Cost table'!C37</f>
        <v>0</v>
      </c>
      <c r="E16" s="9">
        <f>'Cost table'!D37</f>
        <v>8.1229130280011881E-5</v>
      </c>
      <c r="F16" s="13">
        <f>'Cost table'!E37</f>
        <v>12.231343625058081</v>
      </c>
      <c r="G16" s="13">
        <f>G17/C17</f>
        <v>2001.2007204322595</v>
      </c>
      <c r="H16" s="13">
        <f t="shared" si="6"/>
        <v>2001.2007204322595</v>
      </c>
      <c r="I16" s="13">
        <f t="shared" si="8"/>
        <v>0</v>
      </c>
      <c r="J16" s="13">
        <f t="shared" si="2"/>
        <v>779.76150586189999</v>
      </c>
      <c r="K16" s="47">
        <f t="shared" si="3"/>
        <v>0.38964682447919141</v>
      </c>
      <c r="L16" t="s">
        <v>109</v>
      </c>
      <c r="M16" s="3">
        <f>M15*24*7</f>
        <v>98.368858734091859</v>
      </c>
      <c r="N16" s="13">
        <f t="shared" si="4"/>
        <v>1203.1833131814733</v>
      </c>
      <c r="O16" s="23">
        <f t="shared" si="5"/>
        <v>8.1229130279969475E-5</v>
      </c>
      <c r="P16" s="4"/>
    </row>
    <row r="17" spans="2:16">
      <c r="B17" t="str">
        <f>'Cost table'!A40</f>
        <v>Combined cycle power plant</v>
      </c>
      <c r="C17" s="14">
        <f>'Cost table'!B40</f>
        <v>0.5</v>
      </c>
      <c r="D17">
        <f>'Cost table'!C40</f>
        <v>0</v>
      </c>
      <c r="E17" s="9">
        <f>'Cost table'!D40</f>
        <v>2.3109689136391491E-2</v>
      </c>
      <c r="F17" s="13">
        <f>'Cost table'!E40</f>
        <v>2561.0219208697367</v>
      </c>
      <c r="G17" s="13">
        <f>G18/C18</f>
        <v>1000.6003602161297</v>
      </c>
      <c r="H17" s="13">
        <f t="shared" si="6"/>
        <v>1000.6003602161297</v>
      </c>
      <c r="I17" s="13">
        <f t="shared" si="8"/>
        <v>0</v>
      </c>
      <c r="J17" s="13">
        <f t="shared" si="2"/>
        <v>802.88506913625611</v>
      </c>
      <c r="K17" s="29">
        <f t="shared" si="3"/>
        <v>0.80240333809477427</v>
      </c>
      <c r="L17" t="s">
        <v>108</v>
      </c>
      <c r="M17" s="3">
        <f>M15*C17</f>
        <v>0.29276446051813054</v>
      </c>
      <c r="N17" s="13">
        <f t="shared" si="4"/>
        <v>749.77620103853485</v>
      </c>
      <c r="O17" s="23">
        <f t="shared" si="5"/>
        <v>0.41275651361558285</v>
      </c>
      <c r="P17" s="4"/>
    </row>
    <row r="18" spans="2:16">
      <c r="B18" t="str">
        <f>'Cost table'!A15</f>
        <v>Grid surface (100 km)</v>
      </c>
      <c r="C18" s="14">
        <f>'Cost table'!B15</f>
        <v>0.99939999999999996</v>
      </c>
      <c r="D18">
        <f>'Cost table'!C15</f>
        <v>0</v>
      </c>
      <c r="E18" s="9">
        <f>'Cost table'!D15</f>
        <v>1.5269621143594012E-2</v>
      </c>
      <c r="F18" s="13">
        <f>'Cost table'!E15</f>
        <v>1341.9042910243377</v>
      </c>
      <c r="G18" s="13">
        <v>1000</v>
      </c>
      <c r="H18" s="13">
        <f>G18</f>
        <v>1000</v>
      </c>
      <c r="I18" s="13">
        <f t="shared" si="8"/>
        <v>0</v>
      </c>
      <c r="J18" s="13">
        <f t="shared" si="2"/>
        <v>818.15469027985012</v>
      </c>
      <c r="K18" s="29">
        <f t="shared" si="3"/>
        <v>0.81815469027985011</v>
      </c>
      <c r="L18" t="s">
        <v>108</v>
      </c>
      <c r="M18" s="3">
        <f t="shared" ref="M18" si="9">M17*C18</f>
        <v>0.29258880184181962</v>
      </c>
      <c r="N18" s="13">
        <f t="shared" si="4"/>
        <v>392.62616869720739</v>
      </c>
      <c r="O18" s="23">
        <f t="shared" si="5"/>
        <v>1.575135218507584E-2</v>
      </c>
      <c r="P18" s="4"/>
    </row>
    <row r="19" spans="2:16">
      <c r="B19" s="7"/>
      <c r="C19" s="18">
        <f>H18/H7</f>
        <v>0.17011431158479012</v>
      </c>
      <c r="D19" s="20"/>
      <c r="E19" s="20"/>
      <c r="F19" s="7"/>
      <c r="G19" s="7"/>
      <c r="H19" s="7" t="s">
        <v>163</v>
      </c>
      <c r="I19" s="17">
        <f>SUM(I11:I18)</f>
        <v>840.16137956947978</v>
      </c>
      <c r="J19" s="7"/>
      <c r="K19" s="30">
        <f>K18</f>
        <v>0.81815469027985011</v>
      </c>
      <c r="L19" s="7"/>
      <c r="M19" s="7"/>
      <c r="N19" s="44">
        <f>SUM(N7:N18)</f>
        <v>16115.881280124582</v>
      </c>
      <c r="O19" s="43">
        <f>SUM(O7:O18)</f>
        <v>0.81815469027985011</v>
      </c>
    </row>
    <row r="20" spans="2:16">
      <c r="B20" s="24" t="s">
        <v>106</v>
      </c>
      <c r="C20" s="26">
        <f>C19</f>
        <v>0.17011431158479012</v>
      </c>
      <c r="D20" s="4"/>
      <c r="G20">
        <f>G14/39.4</f>
        <v>50.791896457671562</v>
      </c>
      <c r="H20" s="13"/>
      <c r="J20" s="24" t="s">
        <v>133</v>
      </c>
      <c r="K20" s="31">
        <f>39.4*K16</f>
        <v>15.35208488448014</v>
      </c>
      <c r="M20" s="24" t="s">
        <v>105</v>
      </c>
      <c r="N20" s="41">
        <f>N19</f>
        <v>16115.881280124582</v>
      </c>
    </row>
    <row r="21" spans="2:16">
      <c r="N21" s="13"/>
    </row>
  </sheetData>
  <conditionalFormatting sqref="N7:N18">
    <cfRule type="dataBar" priority="1">
      <dataBar>
        <cfvo type="num" val="0"/>
        <cfvo type="num" val="$N$19"/>
        <color theme="0" tint="-0.14999847407452621"/>
      </dataBar>
      <extLst>
        <ext xmlns:x14="http://schemas.microsoft.com/office/spreadsheetml/2009/9/main" uri="{B025F937-C7B1-47D3-B67F-A62EFF666E3E}">
          <x14:id>{B749833F-9138-B34E-BC9F-551887E24F50}</x14:id>
        </ext>
      </extLst>
    </cfRule>
  </conditionalFormatting>
  <conditionalFormatting sqref="O7:O18">
    <cfRule type="dataBar" priority="2">
      <dataBar>
        <cfvo type="num" val="0"/>
        <cfvo type="num" val="$O$19"/>
        <color theme="0" tint="-0.14999847407452621"/>
      </dataBar>
      <extLst>
        <ext xmlns:x14="http://schemas.microsoft.com/office/spreadsheetml/2009/9/main" uri="{B025F937-C7B1-47D3-B67F-A62EFF666E3E}">
          <x14:id>{149CDBAB-12B2-1D43-AE32-1799533E22FC}</x14:id>
        </ext>
      </extLst>
    </cfRule>
    <cfRule type="dataBar" priority="3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{F20CFF17-142E-444B-87CC-E92CC3061918}</x14:id>
        </ext>
      </extLst>
    </cfRule>
    <cfRule type="dataBar" priority="4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{AFF13AC0-B902-7B42-B8B8-118EEF79EC5B}</x14:id>
        </ext>
      </extLst>
    </cfRule>
    <cfRule type="dataBar" priority="5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{CEEEF019-534C-7D4D-93B5-93455F9A1795}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{B973529F-E051-8343-B563-058958A91C60}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49833F-9138-B34E-BC9F-551887E24F50}">
            <x14:dataBar minLength="0" maxLength="100" gradient="0">
              <x14:cfvo type="num">
                <xm:f>0</xm:f>
              </x14:cfvo>
              <x14:cfvo type="num">
                <xm:f>$N$19</xm:f>
              </x14:cfvo>
              <x14:negativeFillColor rgb="FFFF0000"/>
              <x14:axisColor rgb="FF000000"/>
            </x14:dataBar>
          </x14:cfRule>
          <xm:sqref>N7:N18</xm:sqref>
        </x14:conditionalFormatting>
        <x14:conditionalFormatting xmlns:xm="http://schemas.microsoft.com/office/excel/2006/main">
          <x14:cfRule type="dataBar" id="{149CDBAB-12B2-1D43-AE32-1799533E22FC}">
            <x14:dataBar minLength="0" maxLength="100" gradient="0">
              <x14:cfvo type="num">
                <xm:f>0</xm:f>
              </x14:cfvo>
              <x14:cfvo type="num">
                <xm:f>$O$19</xm:f>
              </x14:cfvo>
              <x14:negativeFillColor rgb="FFFF0000"/>
              <x14:axisColor rgb="FF000000"/>
            </x14:dataBar>
          </x14:cfRule>
          <x14:cfRule type="dataBar" id="{F20CFF17-142E-444B-87CC-E92CC3061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F13AC0-B902-7B42-B8B8-118EEF79E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EEF019-534C-7D4D-93B5-93455F9A1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73529F-E051-8343-B563-058958A91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BF26-B7F3-A041-9B93-F61599E7201E}">
  <dimension ref="B1:P22"/>
  <sheetViews>
    <sheetView zoomScaleNormal="120" workbookViewId="0">
      <selection activeCell="H28" sqref="H28"/>
    </sheetView>
  </sheetViews>
  <sheetFormatPr baseColWidth="10" defaultRowHeight="16"/>
  <cols>
    <col min="1" max="1" width="14.33203125" customWidth="1"/>
    <col min="2" max="2" width="17" customWidth="1"/>
    <col min="3" max="3" width="13.83203125" customWidth="1"/>
    <col min="4" max="4" width="14.1640625" customWidth="1"/>
    <col min="5" max="5" width="12.83203125" customWidth="1"/>
    <col min="6" max="6" width="11.6640625" customWidth="1"/>
    <col min="7" max="7" width="7.83203125" customWidth="1"/>
    <col min="8" max="8" width="9.33203125" customWidth="1"/>
    <col min="9" max="9" width="8.33203125" customWidth="1"/>
    <col min="10" max="10" width="12.6640625" customWidth="1"/>
    <col min="11" max="11" width="12" customWidth="1"/>
    <col min="12" max="12" width="12.6640625" customWidth="1"/>
    <col min="13" max="13" width="12.33203125" customWidth="1"/>
    <col min="14" max="14" width="8.33203125" customWidth="1"/>
    <col min="15" max="15" width="9.1640625" customWidth="1"/>
  </cols>
  <sheetData>
    <row r="1" spans="2:16" ht="17" thickBot="1">
      <c r="B1" t="s">
        <v>127</v>
      </c>
      <c r="C1" s="10">
        <f>'Cost table'!B3</f>
        <v>1100</v>
      </c>
      <c r="F1" t="s">
        <v>86</v>
      </c>
      <c r="G1" s="22">
        <f>C3*C2</f>
        <v>6.1304480495327907</v>
      </c>
      <c r="I1" s="36"/>
      <c r="J1" s="6"/>
      <c r="M1" s="45"/>
    </row>
    <row r="2" spans="2:16" ht="17" thickBot="1">
      <c r="B2" t="s">
        <v>44</v>
      </c>
      <c r="C2" s="11">
        <v>0.2</v>
      </c>
      <c r="D2" t="s">
        <v>81</v>
      </c>
      <c r="E2" s="21">
        <v>2.5</v>
      </c>
      <c r="F2" t="s">
        <v>85</v>
      </c>
      <c r="G2" s="22">
        <f>C1*C2/24/365*C3</f>
        <v>0.76980512037512205</v>
      </c>
      <c r="I2" t="s">
        <v>168</v>
      </c>
      <c r="J2" s="48">
        <f>G14/39.4/8*44</f>
        <v>376.75992830060585</v>
      </c>
      <c r="K2" t="s">
        <v>170</v>
      </c>
      <c r="M2" s="45"/>
    </row>
    <row r="3" spans="2:16" ht="17" thickBot="1">
      <c r="B3" t="s">
        <v>45</v>
      </c>
      <c r="C3" s="8">
        <f>H7/C1/C2</f>
        <v>30.652240247663951</v>
      </c>
      <c r="D3" s="24" t="s">
        <v>103</v>
      </c>
      <c r="E3" s="25">
        <f>C3*E2</f>
        <v>76.630600619159878</v>
      </c>
      <c r="F3" t="s">
        <v>87</v>
      </c>
      <c r="G3" s="22">
        <f>G2*3</f>
        <v>2.3094153611253661</v>
      </c>
      <c r="I3" s="36" t="s">
        <v>169</v>
      </c>
      <c r="J3" s="48">
        <f>G16/15.4</f>
        <v>132.60010074425256</v>
      </c>
      <c r="K3" t="s">
        <v>170</v>
      </c>
    </row>
    <row r="4" spans="2:16">
      <c r="G4" s="6" t="s">
        <v>49</v>
      </c>
    </row>
    <row r="5" spans="2:16">
      <c r="B5" s="2" t="s">
        <v>175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6" s="15" customFormat="1" ht="34">
      <c r="B6" s="16" t="s">
        <v>46</v>
      </c>
      <c r="C6" s="16" t="s">
        <v>39</v>
      </c>
      <c r="D6" s="16" t="s">
        <v>1</v>
      </c>
      <c r="E6" s="16" t="s">
        <v>41</v>
      </c>
      <c r="F6" s="16" t="s">
        <v>48</v>
      </c>
      <c r="G6" s="16" t="s">
        <v>40</v>
      </c>
      <c r="H6" s="16" t="s">
        <v>40</v>
      </c>
      <c r="I6" s="16" t="s">
        <v>82</v>
      </c>
      <c r="J6" s="16" t="s">
        <v>42</v>
      </c>
      <c r="K6" s="16" t="s">
        <v>43</v>
      </c>
      <c r="L6" s="16" t="s">
        <v>79</v>
      </c>
      <c r="M6" s="16" t="s">
        <v>102</v>
      </c>
      <c r="N6" s="15" t="s">
        <v>3</v>
      </c>
      <c r="O6" s="15" t="s">
        <v>136</v>
      </c>
    </row>
    <row r="7" spans="2:16">
      <c r="B7" t="str">
        <f>'Cost table'!A10</f>
        <v>PV</v>
      </c>
      <c r="C7" s="14">
        <f>'Cost table'!B10</f>
        <v>1</v>
      </c>
      <c r="D7">
        <f>'Cost table'!C10</f>
        <v>0</v>
      </c>
      <c r="E7" s="9">
        <f>'Cost table'!D10</f>
        <v>2.3509062652146532E-2</v>
      </c>
      <c r="F7" s="13">
        <f>'Cost table'!E10</f>
        <v>535.79906752083559</v>
      </c>
      <c r="G7" s="13">
        <f t="shared" ref="G7:G14" si="0">G8/C8</f>
        <v>5537.857522716301</v>
      </c>
      <c r="H7" s="13">
        <f>H8/C8</f>
        <v>6743.4928544860695</v>
      </c>
      <c r="I7" s="13">
        <f>H7-G7</f>
        <v>1205.6353317697685</v>
      </c>
      <c r="J7" s="3">
        <f>H7*E7</f>
        <v>158.53319601041545</v>
      </c>
      <c r="K7" s="29">
        <f>J7/H7</f>
        <v>2.3509062652146528E-2</v>
      </c>
      <c r="L7" t="s">
        <v>107</v>
      </c>
      <c r="M7" s="3">
        <f>C1*C2*C3</f>
        <v>6743.4928544860695</v>
      </c>
      <c r="N7" s="13">
        <f>M7/C1*F7</f>
        <v>3284.6883484245946</v>
      </c>
      <c r="O7" s="23">
        <f>K7</f>
        <v>2.3509062652146528E-2</v>
      </c>
      <c r="P7" s="4"/>
    </row>
    <row r="8" spans="2:16">
      <c r="B8" t="str">
        <f>'Cost table'!A23</f>
        <v>Converter AC/DC</v>
      </c>
      <c r="C8" s="14">
        <f>'Cost table'!B23</f>
        <v>0.97</v>
      </c>
      <c r="D8">
        <f>'Cost table'!C23</f>
        <v>0</v>
      </c>
      <c r="E8" s="9">
        <f>'Cost table'!D23</f>
        <v>8.1218628117918565E-3</v>
      </c>
      <c r="F8" s="13">
        <f>'Cost table'!E23</f>
        <v>318.23759115648329</v>
      </c>
      <c r="G8" s="13">
        <f t="shared" si="0"/>
        <v>5371.721797034812</v>
      </c>
      <c r="H8" s="13">
        <f>H9/C9</f>
        <v>6541.1880688514875</v>
      </c>
      <c r="I8" s="13">
        <f t="shared" ref="I8:I9" si="1">H8-G8</f>
        <v>1169.4662718166755</v>
      </c>
      <c r="J8" s="3">
        <f t="shared" ref="J8:J20" si="2">J7+H8*E8</f>
        <v>211.65982813175694</v>
      </c>
      <c r="K8" s="29">
        <f t="shared" ref="K8:K20" si="3">J8/H8</f>
        <v>3.2358009875860447E-2</v>
      </c>
      <c r="L8" t="s">
        <v>108</v>
      </c>
      <c r="M8" s="3">
        <f>G1</f>
        <v>6.1304480495327907</v>
      </c>
      <c r="N8" s="13">
        <f>M8*F8</f>
        <v>1950.9390199932766</v>
      </c>
      <c r="O8" s="23">
        <f>K8-K7</f>
        <v>8.8489472237139183E-3</v>
      </c>
      <c r="P8" s="4"/>
    </row>
    <row r="9" spans="2:16">
      <c r="B9" t="str">
        <f>'Cost table'!A13</f>
        <v>Battery</v>
      </c>
      <c r="C9" s="14">
        <f>'Cost table'!B13</f>
        <v>0.89</v>
      </c>
      <c r="D9">
        <f>'Cost table'!C13</f>
        <v>0</v>
      </c>
      <c r="E9" s="9">
        <f>'Cost table'!D13</f>
        <v>6.5218558378688604E-2</v>
      </c>
      <c r="F9" s="13">
        <f>'Cost table'!E13</f>
        <v>116.6871167573772</v>
      </c>
      <c r="G9" s="13">
        <f t="shared" si="0"/>
        <v>4780.8323993609829</v>
      </c>
      <c r="H9" s="13">
        <f>H10/C10</f>
        <v>5821.6573812778242</v>
      </c>
      <c r="I9" s="13">
        <f t="shared" si="1"/>
        <v>1040.8249819168414</v>
      </c>
      <c r="J9" s="3">
        <f t="shared" si="2"/>
        <v>591.3399299133481</v>
      </c>
      <c r="K9" s="29">
        <f t="shared" si="3"/>
        <v>0.10157587284594752</v>
      </c>
      <c r="L9" t="s">
        <v>109</v>
      </c>
      <c r="M9" s="3">
        <f>M8*12</f>
        <v>73.565376594393484</v>
      </c>
      <c r="N9" s="13">
        <f t="shared" ref="N9:N20" si="4">M9*F9</f>
        <v>8584.1316879704154</v>
      </c>
      <c r="O9" s="23">
        <f t="shared" ref="O9:O20" si="5">K9-K8</f>
        <v>6.9217862970087071E-2</v>
      </c>
      <c r="P9" s="4"/>
    </row>
    <row r="10" spans="2:16">
      <c r="B10" t="str">
        <f>'Cost table'!A24</f>
        <v>Inverter DC/AC</v>
      </c>
      <c r="C10" s="14">
        <f>'Cost table'!B24</f>
        <v>0.97</v>
      </c>
      <c r="D10">
        <f>'Cost table'!C24</f>
        <v>0</v>
      </c>
      <c r="E10" s="9">
        <f>'Cost table'!D24</f>
        <v>8.1218628117918565E-3</v>
      </c>
      <c r="F10" s="13">
        <f>'Cost table'!E24</f>
        <v>318.23759115648329</v>
      </c>
      <c r="G10" s="13">
        <f t="shared" si="0"/>
        <v>4637.4074273801534</v>
      </c>
      <c r="H10" s="13">
        <f>G10+I21</f>
        <v>5647.007659839489</v>
      </c>
      <c r="I10" s="13">
        <f>H10-G10</f>
        <v>1009.6002324593355</v>
      </c>
      <c r="J10" s="3">
        <f t="shared" si="2"/>
        <v>637.20415142370223</v>
      </c>
      <c r="K10" s="42">
        <f t="shared" si="3"/>
        <v>0.1128392574983357</v>
      </c>
      <c r="L10" t="s">
        <v>108</v>
      </c>
      <c r="M10" s="3">
        <f>G3</f>
        <v>2.3094153611253661</v>
      </c>
      <c r="N10" s="13">
        <f t="shared" si="4"/>
        <v>734.94278150431649</v>
      </c>
      <c r="O10" s="23">
        <f t="shared" si="5"/>
        <v>1.1263384652388186E-2</v>
      </c>
      <c r="P10" s="4"/>
    </row>
    <row r="11" spans="2:16">
      <c r="B11" t="str">
        <f>'Cost table'!A28</f>
        <v>Electrolyzer</v>
      </c>
      <c r="C11" s="14">
        <f>'Cost table'!B28</f>
        <v>0.6</v>
      </c>
      <c r="D11">
        <f>'Cost table'!C28</f>
        <v>0.02</v>
      </c>
      <c r="E11" s="9">
        <f>'Cost table'!D28</f>
        <v>8.0933742419628932E-2</v>
      </c>
      <c r="F11" s="13">
        <f>'Cost table'!E28</f>
        <v>1669.897917979747</v>
      </c>
      <c r="G11" s="13">
        <f t="shared" si="0"/>
        <v>2782.4444564280921</v>
      </c>
      <c r="H11" s="13">
        <f t="shared" ref="H11:H16" si="6">G11</f>
        <v>2782.4444564280921</v>
      </c>
      <c r="I11" s="13">
        <f t="shared" ref="I11:I19" si="7">G11*D11</f>
        <v>55.648889128561841</v>
      </c>
      <c r="J11" s="3">
        <f t="shared" si="2"/>
        <v>862.39779435717787</v>
      </c>
      <c r="K11" s="29">
        <f t="shared" si="3"/>
        <v>0.30994250122939165</v>
      </c>
      <c r="L11" t="s">
        <v>108</v>
      </c>
      <c r="M11" s="3">
        <f>M10*C10</f>
        <v>2.2401329002916048</v>
      </c>
      <c r="N11" s="13">
        <f t="shared" si="4"/>
        <v>3740.793266194883</v>
      </c>
      <c r="O11" s="23">
        <f t="shared" si="5"/>
        <v>0.19710324373105595</v>
      </c>
      <c r="P11" s="4"/>
    </row>
    <row r="12" spans="2:16">
      <c r="B12" t="str">
        <f>'Cost table'!A30</f>
        <v>Compressor 30-200bar</v>
      </c>
      <c r="C12" s="14">
        <f>'Cost table'!B30</f>
        <v>0.97</v>
      </c>
      <c r="D12">
        <f>'Cost table'!C30</f>
        <v>0.15</v>
      </c>
      <c r="E12" s="9">
        <f>'Cost table'!D30</f>
        <v>1.0625383454639863E-2</v>
      </c>
      <c r="F12" s="13">
        <f>'Cost table'!E30</f>
        <v>611.56718125290399</v>
      </c>
      <c r="G12" s="13">
        <f t="shared" si="0"/>
        <v>2698.9711227352491</v>
      </c>
      <c r="H12" s="13">
        <f t="shared" si="6"/>
        <v>2698.9711227352491</v>
      </c>
      <c r="I12" s="13">
        <f t="shared" si="7"/>
        <v>404.84566841028737</v>
      </c>
      <c r="J12" s="3">
        <f t="shared" si="2"/>
        <v>891.07539746923976</v>
      </c>
      <c r="K12" s="29">
        <f t="shared" si="3"/>
        <v>0.33015373523751784</v>
      </c>
      <c r="L12" t="s">
        <v>108</v>
      </c>
      <c r="M12" s="3">
        <f>M11*C11</f>
        <v>1.3440797401749629</v>
      </c>
      <c r="N12" s="13">
        <f t="shared" si="4"/>
        <v>821.99505807793764</v>
      </c>
      <c r="O12" s="23">
        <f t="shared" si="5"/>
        <v>2.0211234008126189E-2</v>
      </c>
      <c r="P12" s="4"/>
    </row>
    <row r="13" spans="2:16">
      <c r="B13" t="str">
        <f>'Cost table'!A34</f>
        <v>Hydrogen Tank</v>
      </c>
      <c r="C13" s="14">
        <f>'Cost table'!B34</f>
        <v>1</v>
      </c>
      <c r="D13">
        <f>'Cost table'!C34</f>
        <v>0</v>
      </c>
      <c r="E13" s="9">
        <f>'Cost table'!D34</f>
        <v>2.8462687250116157E-2</v>
      </c>
      <c r="F13" s="13">
        <f>'Cost table'!E34</f>
        <v>2.446268725011616</v>
      </c>
      <c r="G13" s="13">
        <f t="shared" si="0"/>
        <v>2698.9711227352491</v>
      </c>
      <c r="H13" s="13">
        <f t="shared" si="6"/>
        <v>2698.9711227352491</v>
      </c>
      <c r="I13" s="13">
        <f t="shared" si="7"/>
        <v>0</v>
      </c>
      <c r="J13" s="3">
        <f t="shared" si="2"/>
        <v>967.895368432748</v>
      </c>
      <c r="K13" s="29">
        <f t="shared" si="3"/>
        <v>0.35861642248763403</v>
      </c>
      <c r="L13" t="s">
        <v>109</v>
      </c>
      <c r="M13" s="3">
        <f>M12*24*7</f>
        <v>225.80539634939376</v>
      </c>
      <c r="N13" s="13">
        <f t="shared" si="4"/>
        <v>552.38067902837406</v>
      </c>
      <c r="O13" s="23">
        <f t="shared" si="5"/>
        <v>2.8462687250116192E-2</v>
      </c>
      <c r="P13" s="4"/>
    </row>
    <row r="14" spans="2:16">
      <c r="B14" t="str">
        <f>'Cost table'!A45</f>
        <v>CO2 Capture &gt;10%</v>
      </c>
      <c r="C14" s="14">
        <f>'Cost table'!B45</f>
        <v>1</v>
      </c>
      <c r="D14">
        <f>'Cost table'!C45</f>
        <v>1.43E-2</v>
      </c>
      <c r="E14" s="9">
        <f>'Cost table'!D45</f>
        <v>6.6358157238715812E-2</v>
      </c>
      <c r="F14" s="13">
        <f>'Cost table'!E45</f>
        <v>907.77212758033443</v>
      </c>
      <c r="G14" s="13">
        <f t="shared" si="0"/>
        <v>2698.9711227352491</v>
      </c>
      <c r="H14" s="13">
        <f>G14</f>
        <v>2698.9711227352491</v>
      </c>
      <c r="I14" s="13">
        <f t="shared" si="7"/>
        <v>38.595287055114063</v>
      </c>
      <c r="J14" s="3">
        <f t="shared" si="2"/>
        <v>1146.9941185779671</v>
      </c>
      <c r="K14" s="29">
        <f t="shared" si="3"/>
        <v>0.42497457972634989</v>
      </c>
      <c r="L14" t="s">
        <v>108</v>
      </c>
      <c r="M14" s="3">
        <f>M12</f>
        <v>1.3440797401749629</v>
      </c>
      <c r="N14" s="13">
        <f t="shared" si="4"/>
        <v>1220.1181253762493</v>
      </c>
      <c r="O14" s="23">
        <f t="shared" si="5"/>
        <v>6.6358157238715854E-2</v>
      </c>
      <c r="P14" s="4"/>
    </row>
    <row r="15" spans="2:16">
      <c r="B15" t="str">
        <f>'Cost table'!A73</f>
        <v>Sabatier reaction</v>
      </c>
      <c r="C15" s="14">
        <f>'Cost table'!B73</f>
        <v>0.78</v>
      </c>
      <c r="D15" s="3">
        <f>'Cost table'!C73</f>
        <v>0</v>
      </c>
      <c r="E15">
        <f>'Cost table'!D73</f>
        <v>1.4999999999999999E-2</v>
      </c>
      <c r="F15" s="13">
        <f>'Cost table'!E73</f>
        <v>733.8806175034847</v>
      </c>
      <c r="G15" s="13">
        <f>G16/C16</f>
        <v>2105.1974757334942</v>
      </c>
      <c r="H15" s="13">
        <f t="shared" si="6"/>
        <v>2105.1974757334942</v>
      </c>
      <c r="I15" s="13">
        <f t="shared" si="7"/>
        <v>0</v>
      </c>
      <c r="J15" s="3">
        <f t="shared" si="2"/>
        <v>1178.5720807139696</v>
      </c>
      <c r="K15" s="29">
        <f t="shared" si="3"/>
        <v>0.5598392047773717</v>
      </c>
      <c r="L15" t="s">
        <v>108</v>
      </c>
      <c r="M15" s="3">
        <f>M14</f>
        <v>1.3440797401749629</v>
      </c>
      <c r="N15" s="13">
        <f t="shared" si="4"/>
        <v>986.39406969352501</v>
      </c>
      <c r="O15" s="23">
        <f t="shared" si="5"/>
        <v>0.13486462505102181</v>
      </c>
      <c r="P15" s="4"/>
    </row>
    <row r="16" spans="2:16">
      <c r="B16" t="str">
        <f>'Cost table'!A74</f>
        <v>Methane compression</v>
      </c>
      <c r="C16" s="14">
        <f>'Cost table'!B74</f>
        <v>0.97</v>
      </c>
      <c r="D16">
        <f>'Cost table'!C74</f>
        <v>0.1</v>
      </c>
      <c r="E16" s="9">
        <f>'Cost table'!D74</f>
        <v>6.3752300727839177E-3</v>
      </c>
      <c r="F16" s="13">
        <f>'Cost table'!E74</f>
        <v>366.94030875174235</v>
      </c>
      <c r="G16" s="13">
        <f>G17/C17</f>
        <v>2042.0415514614892</v>
      </c>
      <c r="H16" s="13">
        <f t="shared" si="6"/>
        <v>2042.0415514614892</v>
      </c>
      <c r="I16" s="13">
        <f t="shared" si="7"/>
        <v>204.20415514614893</v>
      </c>
      <c r="J16" s="3">
        <f t="shared" si="2"/>
        <v>1191.5905654227213</v>
      </c>
      <c r="K16" s="29">
        <f t="shared" si="3"/>
        <v>0.58352904943089912</v>
      </c>
      <c r="L16" t="s">
        <v>108</v>
      </c>
      <c r="M16" s="3">
        <f>M15*C16</f>
        <v>1.303757347969714</v>
      </c>
      <c r="N16" s="13">
        <f t="shared" si="4"/>
        <v>478.40112380135963</v>
      </c>
      <c r="O16" s="23">
        <f t="shared" si="5"/>
        <v>2.3689844653527414E-2</v>
      </c>
      <c r="P16" s="4"/>
    </row>
    <row r="17" spans="2:16">
      <c r="B17" t="str">
        <f>'Cost table'!A77</f>
        <v>CH4 storage 200bar</v>
      </c>
      <c r="C17" s="14">
        <f>'Cost table'!B77</f>
        <v>1</v>
      </c>
      <c r="D17">
        <f>'Cost table'!C77</f>
        <v>0.15</v>
      </c>
      <c r="E17" s="9">
        <f>'Cost table'!D77</f>
        <v>7.1454549558941802E-2</v>
      </c>
      <c r="F17" s="13">
        <f>'Cost table'!E77</f>
        <v>0.90923456296275929</v>
      </c>
      <c r="G17" s="13">
        <f>G18/C18</f>
        <v>2042.0415514614892</v>
      </c>
      <c r="H17" s="13">
        <f>G17</f>
        <v>2042.0415514614892</v>
      </c>
      <c r="I17" s="13">
        <f t="shared" si="7"/>
        <v>306.30623271922337</v>
      </c>
      <c r="J17" s="3">
        <f t="shared" si="2"/>
        <v>1337.5037246630447</v>
      </c>
      <c r="K17" s="29">
        <f t="shared" si="3"/>
        <v>0.65498359898984093</v>
      </c>
      <c r="L17" t="s">
        <v>109</v>
      </c>
      <c r="M17" s="3">
        <f>M16*24*30</f>
        <v>938.70529053819405</v>
      </c>
      <c r="N17" s="13">
        <f t="shared" si="4"/>
        <v>853.50329459332488</v>
      </c>
      <c r="O17" s="23">
        <f t="shared" si="5"/>
        <v>7.1454549558941816E-2</v>
      </c>
      <c r="P17" s="4"/>
    </row>
    <row r="18" spans="2:16">
      <c r="B18" t="str">
        <f>'Cost table'!A76</f>
        <v>Methane transport</v>
      </c>
      <c r="C18" s="14">
        <f>'Cost table'!B76</f>
        <v>0.98</v>
      </c>
      <c r="D18">
        <f>'Cost table'!C76</f>
        <v>0</v>
      </c>
      <c r="E18" s="9">
        <f>'Cost table'!D76</f>
        <v>0</v>
      </c>
      <c r="F18" s="13">
        <f>'Cost table'!E76</f>
        <v>0</v>
      </c>
      <c r="G18" s="13">
        <f t="shared" ref="G18:G19" si="8">G19/C19</f>
        <v>2001.2007204322595</v>
      </c>
      <c r="H18" s="13">
        <f>G18</f>
        <v>2001.2007204322595</v>
      </c>
      <c r="I18" s="13">
        <f t="shared" si="7"/>
        <v>0</v>
      </c>
      <c r="J18" s="3">
        <f t="shared" si="2"/>
        <v>1337.5037246630447</v>
      </c>
      <c r="K18" s="29">
        <f t="shared" si="3"/>
        <v>0.66835061121412342</v>
      </c>
      <c r="L18" t="s">
        <v>108</v>
      </c>
      <c r="M18" s="3">
        <f>M16</f>
        <v>1.303757347969714</v>
      </c>
      <c r="N18" s="13">
        <f t="shared" si="4"/>
        <v>0</v>
      </c>
      <c r="O18" s="23">
        <f t="shared" si="5"/>
        <v>1.3367012224282493E-2</v>
      </c>
      <c r="P18" s="4"/>
    </row>
    <row r="19" spans="2:16">
      <c r="B19" t="str">
        <f>'Cost table'!A40</f>
        <v>Combined cycle power plant</v>
      </c>
      <c r="C19" s="14">
        <f>'Cost table'!B40</f>
        <v>0.5</v>
      </c>
      <c r="D19">
        <f>'Cost table'!C40</f>
        <v>0</v>
      </c>
      <c r="E19" s="9">
        <f>'Cost table'!D40</f>
        <v>2.3109689136391491E-2</v>
      </c>
      <c r="F19" s="13">
        <f>'Cost table'!E40</f>
        <v>2561.0219208697367</v>
      </c>
      <c r="G19" s="13">
        <f t="shared" si="8"/>
        <v>1000.6003602161297</v>
      </c>
      <c r="H19" s="13">
        <f t="shared" ref="H19:H20" si="9">G19</f>
        <v>1000.6003602161297</v>
      </c>
      <c r="I19" s="13">
        <f t="shared" si="7"/>
        <v>0</v>
      </c>
      <c r="J19" s="3">
        <f t="shared" si="2"/>
        <v>1360.6272879374008</v>
      </c>
      <c r="K19" s="29">
        <f t="shared" si="3"/>
        <v>1.3598109115646382</v>
      </c>
      <c r="L19" t="s">
        <v>108</v>
      </c>
      <c r="M19" s="3">
        <f>M18*C19</f>
        <v>0.65187867398485699</v>
      </c>
      <c r="N19" s="13">
        <f t="shared" si="4"/>
        <v>1669.4755738227154</v>
      </c>
      <c r="O19" s="23">
        <f t="shared" si="5"/>
        <v>0.69146030035051476</v>
      </c>
      <c r="P19" s="4"/>
    </row>
    <row r="20" spans="2:16">
      <c r="B20" t="str">
        <f>'Cost table'!A15</f>
        <v>Grid surface (100 km)</v>
      </c>
      <c r="C20" s="14">
        <f>'Cost table'!B15</f>
        <v>0.99939999999999996</v>
      </c>
      <c r="D20">
        <f>'Cost table'!C15</f>
        <v>0</v>
      </c>
      <c r="E20" s="9">
        <f>'Cost table'!D15</f>
        <v>1.5269621143594012E-2</v>
      </c>
      <c r="F20" s="13">
        <f>'Cost table'!E15</f>
        <v>1341.9042910243377</v>
      </c>
      <c r="G20" s="13">
        <v>1000</v>
      </c>
      <c r="H20" s="13">
        <f t="shared" si="9"/>
        <v>1000</v>
      </c>
      <c r="I20" s="13">
        <f>G20*D20</f>
        <v>0</v>
      </c>
      <c r="J20" s="3">
        <f t="shared" si="2"/>
        <v>1375.8969090809949</v>
      </c>
      <c r="K20" s="29">
        <f t="shared" si="3"/>
        <v>1.3758969090809949</v>
      </c>
      <c r="L20" t="s">
        <v>108</v>
      </c>
      <c r="M20" s="3">
        <f>M19</f>
        <v>0.65187867398485699</v>
      </c>
      <c r="N20" s="13">
        <f t="shared" si="4"/>
        <v>874.7587898475349</v>
      </c>
      <c r="O20" s="23">
        <f t="shared" si="5"/>
        <v>1.6085997516356754E-2</v>
      </c>
      <c r="P20" s="4"/>
    </row>
    <row r="21" spans="2:16">
      <c r="B21" s="7"/>
      <c r="C21" s="18">
        <f>H20/H7</f>
        <v>0.14829110396917761</v>
      </c>
      <c r="D21" s="20"/>
      <c r="E21" s="7"/>
      <c r="F21" s="7"/>
      <c r="G21" s="7"/>
      <c r="H21" s="17" t="s">
        <v>163</v>
      </c>
      <c r="I21" s="17">
        <f>SUM(I11:I20)</f>
        <v>1009.6002324593355</v>
      </c>
      <c r="J21" s="7"/>
      <c r="K21" s="30">
        <f>K20</f>
        <v>1.3758969090809949</v>
      </c>
      <c r="L21" s="7"/>
      <c r="M21" s="7"/>
      <c r="N21" s="44">
        <f>SUM(N7:N20)</f>
        <v>25752.521818328503</v>
      </c>
      <c r="O21" s="46">
        <f>K20</f>
        <v>1.3758969090809949</v>
      </c>
    </row>
    <row r="22" spans="2:16">
      <c r="B22" s="24" t="s">
        <v>106</v>
      </c>
      <c r="C22" s="26">
        <f>C21</f>
        <v>0.14829110396917761</v>
      </c>
      <c r="D22" s="4"/>
      <c r="H22" s="13"/>
      <c r="I22" s="13"/>
      <c r="J22" s="24" t="s">
        <v>167</v>
      </c>
      <c r="K22" s="31">
        <f>15.4*K16</f>
        <v>8.9863473612358469</v>
      </c>
      <c r="M22" s="24" t="s">
        <v>105</v>
      </c>
      <c r="N22" s="41">
        <f>N21</f>
        <v>25752.521818328503</v>
      </c>
    </row>
  </sheetData>
  <conditionalFormatting sqref="N7:N20">
    <cfRule type="dataBar" priority="107">
      <dataBar>
        <cfvo type="num" val="0"/>
        <cfvo type="num" val="$N$21"/>
        <color theme="0" tint="-0.14999847407452621"/>
      </dataBar>
      <extLst>
        <ext xmlns:x14="http://schemas.microsoft.com/office/spreadsheetml/2009/9/main" uri="{B025F937-C7B1-47D3-B67F-A62EFF666E3E}">
          <x14:id>{81A8F6B1-6B09-274E-A7D3-9120859276D6}</x14:id>
        </ext>
      </extLst>
    </cfRule>
  </conditionalFormatting>
  <conditionalFormatting sqref="O7:O20">
    <cfRule type="dataBar" priority="2">
      <dataBar>
        <cfvo type="num" val="0"/>
        <cfvo type="max"/>
        <color theme="0" tint="-0.14999847407452621"/>
      </dataBar>
      <extLst>
        <ext xmlns:x14="http://schemas.microsoft.com/office/spreadsheetml/2009/9/main" uri="{B025F937-C7B1-47D3-B67F-A62EFF666E3E}">
          <x14:id>{CCDA7307-9279-8D4E-B33F-2E99CB29223F}</x14:id>
        </ext>
      </extLst>
    </cfRule>
    <cfRule type="dataBar" priority="81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{13B92134-6CCA-6944-83B1-0545F056641D}</x14:id>
        </ext>
      </extLst>
    </cfRule>
    <cfRule type="dataBar" priority="8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{C7CCE445-55AF-6742-92FD-C8F46A32C5B1}</x14:id>
        </ext>
      </extLst>
    </cfRule>
    <cfRule type="dataBar" priority="83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{5F4A3CCF-3FD0-BA4A-B78D-2AA582770D0A}</x14:id>
        </ext>
      </extLst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{838AA4F7-C335-9149-9262-E60AAEB0392A}</x14:id>
        </ext>
      </extLst>
    </cfRule>
    <cfRule type="dataBar" priority="97">
      <dataBar>
        <cfvo type="num" val="0"/>
        <cfvo type="num" val="$O$21"/>
        <color theme="0" tint="-0.14999847407452621"/>
      </dataBar>
      <extLst>
        <ext xmlns:x14="http://schemas.microsoft.com/office/spreadsheetml/2009/9/main" uri="{B025F937-C7B1-47D3-B67F-A62EFF666E3E}">
          <x14:id>{F79960C8-ECD4-A141-935C-F96BD02FEECE}</x14:id>
        </ext>
      </extLst>
    </cfRule>
    <cfRule type="dataBar" priority="9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{2A61803A-D14C-D142-8F40-01CEAA23C1EF}</x14:id>
        </ext>
      </extLst>
    </cfRule>
    <cfRule type="dataBar" priority="99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{7DBFA128-9F08-C144-AAB2-39A843187A10}</x14:id>
        </ext>
      </extLst>
    </cfRule>
    <cfRule type="dataBar" priority="100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{5E404346-6DB2-E245-B687-8AB7CEA21F9A}</x14:id>
        </ext>
      </extLst>
    </cfRule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{FD9776EA-F30F-0F47-AE0D-A34E7DECE89D}</x14:id>
        </ext>
      </extLst>
    </cfRule>
  </conditionalFormatting>
  <conditionalFormatting sqref="O7:O21">
    <cfRule type="dataBar" priority="1">
      <dataBar>
        <cfvo type="num" val="0"/>
        <cfvo type="max"/>
        <color theme="0" tint="-0.14999847407452621"/>
      </dataBar>
      <extLst>
        <ext xmlns:x14="http://schemas.microsoft.com/office/spreadsheetml/2009/9/main" uri="{B025F937-C7B1-47D3-B67F-A62EFF666E3E}">
          <x14:id>{019FEFB0-4116-8A4A-9F9D-C0939EFEBC23}</x14:id>
        </ext>
      </extLst>
    </cfRule>
  </conditionalFormatting>
  <conditionalFormatting sqref="O14:O15">
    <cfRule type="dataBar" priority="89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{C85972AA-648E-5446-8D43-C7ADB3111A07}</x14:id>
        </ext>
      </extLst>
    </cfRule>
    <cfRule type="dataBar" priority="90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{D3A9D90A-F9BF-EB4B-80AB-CDD37524D32A}</x14:id>
        </ext>
      </extLst>
    </cfRule>
    <cfRule type="dataBar" priority="9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{D93CA0E0-55BC-2248-86F3-BCDF9C268199}</x14:id>
        </ext>
      </extLst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{92832844-C368-F647-9802-2EC09B47B299}</x14:id>
        </ext>
      </extLst>
    </cfRule>
  </conditionalFormatting>
  <conditionalFormatting sqref="O15:O16">
    <cfRule type="dataBar" priority="6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{9CA7C754-CEC8-E649-B0E1-D881F8F586FE}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8F6B1-6B09-274E-A7D3-9120859276D6}">
            <x14:dataBar minLength="0" maxLength="100" gradient="0">
              <x14:cfvo type="num">
                <xm:f>0</xm:f>
              </x14:cfvo>
              <x14:cfvo type="num">
                <xm:f>$N$21</xm:f>
              </x14:cfvo>
              <x14:negativeFillColor rgb="FFFF0000"/>
              <x14:axisColor rgb="FF000000"/>
            </x14:dataBar>
          </x14:cfRule>
          <xm:sqref>N7:N20</xm:sqref>
        </x14:conditionalFormatting>
        <x14:conditionalFormatting xmlns:xm="http://schemas.microsoft.com/office/excel/2006/main">
          <x14:cfRule type="dataBar" id="{CCDA7307-9279-8D4E-B33F-2E99CB29223F}">
            <x14:dataBar minLength="0" maxLength="100" gradient="0">
              <x14:cfvo type="num">
                <xm:f>0</xm:f>
              </x14:cfvo>
              <x14:cfvo type="max"/>
              <x14:negativeFillColor theme="0"/>
              <x14:axisColor rgb="FF000000"/>
            </x14:dataBar>
          </x14:cfRule>
          <x14:cfRule type="dataBar" id="{13B92134-6CCA-6944-83B1-0545F0566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CCE445-55AF-6742-92FD-C8F46A32C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4A3CCF-3FD0-BA4A-B78D-2AA582770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8AA4F7-C335-9149-9262-E60AAEB03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9960C8-ECD4-A141-935C-F96BD02FEECE}">
            <x14:dataBar minLength="0" maxLength="100" gradient="0">
              <x14:cfvo type="num">
                <xm:f>0</xm:f>
              </x14:cfvo>
              <x14:cfvo type="num">
                <xm:f>$O$21</xm:f>
              </x14:cfvo>
              <x14:negativeFillColor rgb="FFFF0000"/>
              <x14:axisColor rgb="FF000000"/>
            </x14:dataBar>
          </x14:cfRule>
          <x14:cfRule type="dataBar" id="{2A61803A-D14C-D142-8F40-01CEAA23C1EF}">
            <x14:dataBar minLength="0" maxLength="100" gradient="0">
              <x14:cfvo type="autoMin"/>
              <x14:cfvo type="autoMax"/>
              <x14:negativeFillColor theme="0" tint="-0.14999847407452621"/>
              <x14:axisColor rgb="FF000000"/>
            </x14:dataBar>
          </x14:cfRule>
          <x14:cfRule type="dataBar" id="{7DBFA128-9F08-C144-AAB2-39A84318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404346-6DB2-E245-B687-8AB7CEA21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9776EA-F30F-0F47-AE0D-A34E7DECE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O7:O20</xm:sqref>
        </x14:conditionalFormatting>
        <x14:conditionalFormatting xmlns:xm="http://schemas.microsoft.com/office/excel/2006/main">
          <x14:cfRule type="dataBar" id="{019FEFB0-4116-8A4A-9F9D-C0939EFEBC23}">
            <x14:dataBar minLength="0" maxLength="100" gradient="0">
              <x14:cfvo type="num">
                <xm:f>0</xm:f>
              </x14:cfvo>
              <x14:cfvo type="max"/>
              <x14:negativeFillColor theme="0"/>
              <x14:axisColor rgb="FF000000"/>
            </x14:dataBar>
          </x14:cfRule>
          <xm:sqref>O7:O21</xm:sqref>
        </x14:conditionalFormatting>
        <x14:conditionalFormatting xmlns:xm="http://schemas.microsoft.com/office/excel/2006/main">
          <x14:cfRule type="dataBar" id="{C85972AA-648E-5446-8D43-C7ADB3111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A9D90A-F9BF-EB4B-80AB-CDD37524D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3CA0E0-55BC-2248-86F3-BCDF9C268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832844-C368-F647-9802-2EC09B47B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O14:O15</xm:sqref>
        </x14:conditionalFormatting>
        <x14:conditionalFormatting xmlns:xm="http://schemas.microsoft.com/office/excel/2006/main">
          <x14:cfRule type="dataBar" id="{9CA7C754-CEC8-E649-B0E1-D881F8F586FE}">
            <x14:dataBar minLength="0" maxLength="100" gradient="0">
              <x14:cfvo type="autoMin"/>
              <x14:cfvo type="autoMax"/>
              <x14:negativeFillColor theme="0" tint="-4.9989318521683403E-2"/>
              <x14:axisColor rgb="FF000000"/>
            </x14:dataBar>
          </x14:cfRule>
          <xm:sqref>O15:O16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50BC-9D73-744A-B00B-63B8ABB44A95}">
  <dimension ref="B1:P21"/>
  <sheetViews>
    <sheetView zoomScale="116" zoomScaleNormal="120" workbookViewId="0">
      <selection activeCell="B5" sqref="B5:O21"/>
    </sheetView>
  </sheetViews>
  <sheetFormatPr baseColWidth="10" defaultRowHeight="16"/>
  <cols>
    <col min="1" max="1" width="14.33203125" customWidth="1"/>
    <col min="2" max="2" width="17" customWidth="1"/>
    <col min="3" max="3" width="13.83203125" customWidth="1"/>
    <col min="4" max="4" width="14.1640625" customWidth="1"/>
    <col min="5" max="5" width="12.83203125" customWidth="1"/>
    <col min="6" max="6" width="11.6640625" customWidth="1"/>
    <col min="7" max="7" width="7.83203125" customWidth="1"/>
    <col min="8" max="8" width="9.33203125" customWidth="1"/>
    <col min="9" max="9" width="8.33203125" customWidth="1"/>
    <col min="10" max="10" width="12.6640625" customWidth="1"/>
    <col min="11" max="11" width="12" customWidth="1"/>
    <col min="12" max="12" width="12.6640625" customWidth="1"/>
    <col min="13" max="13" width="12.33203125" customWidth="1"/>
    <col min="14" max="14" width="8.33203125" customWidth="1"/>
    <col min="15" max="15" width="9.1640625" customWidth="1"/>
  </cols>
  <sheetData>
    <row r="1" spans="2:16" ht="17" thickBot="1">
      <c r="B1" t="s">
        <v>127</v>
      </c>
      <c r="C1" s="10">
        <f>'Cost table'!B3</f>
        <v>1100</v>
      </c>
      <c r="F1" t="s">
        <v>86</v>
      </c>
      <c r="G1" s="22">
        <f>C3*C2</f>
        <v>0.65076518147364171</v>
      </c>
      <c r="I1" s="36" t="s">
        <v>251</v>
      </c>
      <c r="J1" s="6"/>
      <c r="M1" s="45"/>
    </row>
    <row r="2" spans="2:16" ht="17" thickBot="1">
      <c r="B2" t="s">
        <v>44</v>
      </c>
      <c r="C2" s="11">
        <v>0.2</v>
      </c>
      <c r="D2" t="s">
        <v>81</v>
      </c>
      <c r="E2" s="21">
        <v>2.5</v>
      </c>
      <c r="F2" t="s">
        <v>85</v>
      </c>
      <c r="G2" s="22">
        <f>C1*C2/24/365*C3</f>
        <v>8.1717088997831713E-2</v>
      </c>
      <c r="I2" t="s">
        <v>168</v>
      </c>
      <c r="J2" s="48">
        <f>G14/39.4/8*44</f>
        <v>43.96915430159514</v>
      </c>
      <c r="K2" t="s">
        <v>170</v>
      </c>
      <c r="M2" s="45"/>
    </row>
    <row r="3" spans="2:16" ht="17" thickBot="1">
      <c r="B3" t="s">
        <v>45</v>
      </c>
      <c r="C3" s="8">
        <f>H7/C1/C2</f>
        <v>3.2538259073682085</v>
      </c>
      <c r="D3" s="24" t="s">
        <v>103</v>
      </c>
      <c r="E3" s="25">
        <f>C3*E2</f>
        <v>8.1345647684205211</v>
      </c>
      <c r="F3" t="s">
        <v>87</v>
      </c>
      <c r="G3" s="22">
        <f>G2*3</f>
        <v>0.24515126699349515</v>
      </c>
      <c r="I3" s="36" t="s">
        <v>249</v>
      </c>
      <c r="J3" s="48">
        <f>G19/6.3</f>
        <v>34.285714285714285</v>
      </c>
      <c r="K3" t="s">
        <v>170</v>
      </c>
    </row>
    <row r="4" spans="2:16">
      <c r="G4" s="6" t="s">
        <v>49</v>
      </c>
    </row>
    <row r="5" spans="2:16">
      <c r="B5" s="2" t="s">
        <v>196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6" s="15" customFormat="1" ht="34">
      <c r="B6" s="16" t="s">
        <v>46</v>
      </c>
      <c r="C6" s="16" t="s">
        <v>39</v>
      </c>
      <c r="D6" s="16" t="s">
        <v>1</v>
      </c>
      <c r="E6" s="16" t="s">
        <v>41</v>
      </c>
      <c r="F6" s="16" t="s">
        <v>48</v>
      </c>
      <c r="G6" s="16" t="s">
        <v>40</v>
      </c>
      <c r="H6" s="16" t="s">
        <v>40</v>
      </c>
      <c r="I6" s="16" t="s">
        <v>82</v>
      </c>
      <c r="J6" s="16" t="s">
        <v>42</v>
      </c>
      <c r="K6" s="16" t="s">
        <v>43</v>
      </c>
      <c r="L6" s="16" t="s">
        <v>79</v>
      </c>
      <c r="M6" s="16" t="s">
        <v>102</v>
      </c>
      <c r="N6" s="15" t="s">
        <v>3</v>
      </c>
      <c r="O6" s="15" t="s">
        <v>136</v>
      </c>
    </row>
    <row r="7" spans="2:16">
      <c r="B7" t="str">
        <f>'Cost table'!A10</f>
        <v>PV</v>
      </c>
      <c r="C7" s="32">
        <f>'Cost table'!B10</f>
        <v>1</v>
      </c>
      <c r="D7">
        <f>'Cost table'!C10</f>
        <v>0</v>
      </c>
      <c r="E7" s="9">
        <f>'Cost table'!D10</f>
        <v>2.3509062652146532E-2</v>
      </c>
      <c r="F7" s="13">
        <f>'Cost table'!E10</f>
        <v>535.79906752083559</v>
      </c>
      <c r="G7" s="13">
        <f t="shared" ref="G7:G13" si="0">G8/C8</f>
        <v>646.28665000245189</v>
      </c>
      <c r="H7" s="13">
        <f>H8/C8</f>
        <v>715.84169962100589</v>
      </c>
      <c r="I7" s="13">
        <f>H7-G7</f>
        <v>69.555049618553994</v>
      </c>
      <c r="J7" s="3">
        <f>H7*E7</f>
        <v>16.828767365409284</v>
      </c>
      <c r="K7" s="29">
        <f>J7/H7</f>
        <v>2.3509062652146528E-2</v>
      </c>
      <c r="L7" t="s">
        <v>107</v>
      </c>
      <c r="M7" s="3">
        <f>C1*C2*C3</f>
        <v>715.84169962100589</v>
      </c>
      <c r="N7" s="13">
        <f>M7/C1*F7</f>
        <v>348.67937740860458</v>
      </c>
      <c r="O7" s="32">
        <f>J7/$J$19</f>
        <v>0.12177439749411083</v>
      </c>
      <c r="P7" s="4"/>
    </row>
    <row r="8" spans="2:16">
      <c r="B8" t="str">
        <f>'Cost table'!A23</f>
        <v>Converter AC/DC</v>
      </c>
      <c r="C8" s="32">
        <f>'Cost table'!B23</f>
        <v>0.97</v>
      </c>
      <c r="D8">
        <f>'Cost table'!C23</f>
        <v>0</v>
      </c>
      <c r="E8" s="9">
        <f>'Cost table'!D23</f>
        <v>8.1218628117918565E-3</v>
      </c>
      <c r="F8" s="13">
        <f>'Cost table'!E23</f>
        <v>318.23759115648329</v>
      </c>
      <c r="G8" s="13">
        <f t="shared" si="0"/>
        <v>626.89805050237828</v>
      </c>
      <c r="H8" s="13">
        <f>H9/C9</f>
        <v>694.36644863237564</v>
      </c>
      <c r="I8" s="13">
        <f t="shared" ref="I8:I9" si="1">H8-G8</f>
        <v>67.468398129997354</v>
      </c>
      <c r="J8" s="3">
        <f t="shared" ref="J8:J19" si="2">J7+H8*E8</f>
        <v>22.468316402312556</v>
      </c>
      <c r="K8" s="29">
        <f t="shared" ref="K8:K19" si="3">J8/H8</f>
        <v>3.2358009875860447E-2</v>
      </c>
      <c r="L8" t="s">
        <v>108</v>
      </c>
      <c r="M8" s="3">
        <f>G1</f>
        <v>0.65076518147364171</v>
      </c>
      <c r="N8" s="13">
        <f>M8*F8</f>
        <v>207.09794376068345</v>
      </c>
      <c r="O8" s="32">
        <f t="shared" ref="O8:O14" si="4">(J8-J7)/$J$19</f>
        <v>4.0808258335008889E-2</v>
      </c>
      <c r="P8" s="4"/>
    </row>
    <row r="9" spans="2:16">
      <c r="B9" t="str">
        <f>'Cost table'!A13</f>
        <v>Battery</v>
      </c>
      <c r="C9" s="32">
        <f>'Cost table'!B13</f>
        <v>0.89</v>
      </c>
      <c r="D9">
        <f>'Cost table'!C13</f>
        <v>0</v>
      </c>
      <c r="E9" s="9">
        <f>'Cost table'!D13</f>
        <v>6.5218558378688604E-2</v>
      </c>
      <c r="F9" s="13">
        <f>'Cost table'!E13</f>
        <v>116.6871167573772</v>
      </c>
      <c r="G9" s="13">
        <f t="shared" si="0"/>
        <v>557.93926494711673</v>
      </c>
      <c r="H9" s="13">
        <f>H10/C10</f>
        <v>617.98613928281429</v>
      </c>
      <c r="I9" s="13">
        <f t="shared" si="1"/>
        <v>60.046874335697566</v>
      </c>
      <c r="J9" s="3">
        <f t="shared" si="2"/>
        <v>62.772481504349173</v>
      </c>
      <c r="K9" s="29">
        <f t="shared" si="3"/>
        <v>0.10157587284594755</v>
      </c>
      <c r="L9" t="s">
        <v>109</v>
      </c>
      <c r="M9" s="3">
        <f>M8*12</f>
        <v>7.8091821776837005</v>
      </c>
      <c r="N9" s="13">
        <f t="shared" ref="N9:N19" si="5">M9*F9</f>
        <v>911.23095254700706</v>
      </c>
      <c r="O9" s="32">
        <f t="shared" si="4"/>
        <v>0.29164437984280805</v>
      </c>
      <c r="P9" s="4"/>
    </row>
    <row r="10" spans="2:16">
      <c r="B10" t="str">
        <f>'Cost table'!A24</f>
        <v>Inverter DC/AC</v>
      </c>
      <c r="C10" s="32">
        <f>'Cost table'!B24</f>
        <v>0.97</v>
      </c>
      <c r="D10">
        <f>'Cost table'!C24</f>
        <v>0</v>
      </c>
      <c r="E10" s="9">
        <f>'Cost table'!D24</f>
        <v>8.1218628117918565E-3</v>
      </c>
      <c r="F10" s="13">
        <f>'Cost table'!E24</f>
        <v>318.23759115648329</v>
      </c>
      <c r="G10" s="13">
        <f t="shared" si="0"/>
        <v>541.2010869987032</v>
      </c>
      <c r="H10" s="13">
        <f>G10+I20</f>
        <v>599.44655510432983</v>
      </c>
      <c r="I10" s="13">
        <f>H10-G10</f>
        <v>58.245468105626628</v>
      </c>
      <c r="J10" s="3">
        <f t="shared" si="2"/>
        <v>67.641104187907771</v>
      </c>
      <c r="K10" s="42">
        <f t="shared" si="3"/>
        <v>0.11283925749833573</v>
      </c>
      <c r="L10" t="s">
        <v>108</v>
      </c>
      <c r="M10" s="3">
        <f>G3</f>
        <v>0.24515126699349515</v>
      </c>
      <c r="N10" s="13">
        <f t="shared" si="5"/>
        <v>78.016348676969784</v>
      </c>
      <c r="O10" s="32">
        <f t="shared" si="4"/>
        <v>3.5229769420613198E-2</v>
      </c>
      <c r="P10" s="4"/>
    </row>
    <row r="11" spans="2:16">
      <c r="B11" t="str">
        <f>'Cost table'!A28</f>
        <v>Electrolyzer</v>
      </c>
      <c r="C11" s="32">
        <f>'Cost table'!B28</f>
        <v>0.6</v>
      </c>
      <c r="D11">
        <f>'Cost table'!C28</f>
        <v>0.02</v>
      </c>
      <c r="E11" s="9">
        <f>'Cost table'!D28</f>
        <v>8.0933742419628932E-2</v>
      </c>
      <c r="F11" s="13">
        <f>'Cost table'!E28</f>
        <v>1669.897917979747</v>
      </c>
      <c r="G11" s="13">
        <f t="shared" si="0"/>
        <v>324.72065219922189</v>
      </c>
      <c r="H11" s="13">
        <f t="shared" ref="H11:H13" si="6">G11</f>
        <v>324.72065219922189</v>
      </c>
      <c r="I11" s="13">
        <f t="shared" ref="I11:I13" si="7">G11*D11</f>
        <v>6.4944130439844381</v>
      </c>
      <c r="J11" s="3">
        <f t="shared" si="2"/>
        <v>93.921961811333517</v>
      </c>
      <c r="K11" s="29">
        <f t="shared" si="3"/>
        <v>0.28923926204025585</v>
      </c>
      <c r="L11" t="s">
        <v>108</v>
      </c>
      <c r="M11" s="3">
        <f>M10*C10</f>
        <v>0.23779672898369028</v>
      </c>
      <c r="N11" s="13">
        <f t="shared" si="5"/>
        <v>397.09626263225857</v>
      </c>
      <c r="O11" s="32">
        <f t="shared" si="4"/>
        <v>0.1901705296193775</v>
      </c>
      <c r="P11" s="4"/>
    </row>
    <row r="12" spans="2:16">
      <c r="B12" t="str">
        <f>'Cost table'!A30</f>
        <v>Compressor 30-200bar</v>
      </c>
      <c r="C12" s="32">
        <f>'Cost table'!B30</f>
        <v>0.97</v>
      </c>
      <c r="D12">
        <f>'Cost table'!C30</f>
        <v>0.15</v>
      </c>
      <c r="E12" s="9">
        <f>'Cost table'!D30</f>
        <v>1.0625383454639863E-2</v>
      </c>
      <c r="F12" s="13">
        <f>'Cost table'!E30</f>
        <v>611.56718125290399</v>
      </c>
      <c r="G12" s="13">
        <f t="shared" si="0"/>
        <v>314.9790326332452</v>
      </c>
      <c r="H12" s="13">
        <f t="shared" si="6"/>
        <v>314.9790326332452</v>
      </c>
      <c r="I12" s="13">
        <f t="shared" si="7"/>
        <v>47.246854894986775</v>
      </c>
      <c r="J12" s="3">
        <f t="shared" si="2"/>
        <v>97.268734813233266</v>
      </c>
      <c r="K12" s="29">
        <f t="shared" si="3"/>
        <v>0.30881018968170776</v>
      </c>
      <c r="L12" t="s">
        <v>108</v>
      </c>
      <c r="M12" s="3">
        <f>M11*C11</f>
        <v>0.14267803739021417</v>
      </c>
      <c r="N12" s="13">
        <f t="shared" si="5"/>
        <v>87.257205153429723</v>
      </c>
      <c r="O12" s="32">
        <f t="shared" si="4"/>
        <v>2.4217535188798225E-2</v>
      </c>
      <c r="P12" s="4"/>
    </row>
    <row r="13" spans="2:16">
      <c r="B13" t="str">
        <f>'Cost table'!A34</f>
        <v>Hydrogen Tank</v>
      </c>
      <c r="C13" s="32">
        <f>'Cost table'!B34</f>
        <v>1</v>
      </c>
      <c r="D13">
        <f>'Cost table'!C34</f>
        <v>0</v>
      </c>
      <c r="E13" s="9">
        <f>'Cost table'!D34</f>
        <v>2.8462687250116157E-2</v>
      </c>
      <c r="F13" s="13">
        <f>'Cost table'!E34</f>
        <v>2.446268725011616</v>
      </c>
      <c r="G13" s="13">
        <f t="shared" si="0"/>
        <v>314.9790326332452</v>
      </c>
      <c r="H13" s="13">
        <f t="shared" si="6"/>
        <v>314.9790326332452</v>
      </c>
      <c r="I13" s="13">
        <f t="shared" si="7"/>
        <v>0</v>
      </c>
      <c r="J13" s="3">
        <f t="shared" si="2"/>
        <v>106.23388450941745</v>
      </c>
      <c r="K13" s="29">
        <f t="shared" si="3"/>
        <v>0.3372728769318239</v>
      </c>
      <c r="L13" t="s">
        <v>109</v>
      </c>
      <c r="M13" s="3">
        <f>M12*24*7</f>
        <v>23.969910281555983</v>
      </c>
      <c r="N13" s="13">
        <f t="shared" si="5"/>
        <v>58.636841863104777</v>
      </c>
      <c r="O13" s="32">
        <f t="shared" si="4"/>
        <v>6.4872588644925303E-2</v>
      </c>
      <c r="P13" s="4"/>
    </row>
    <row r="14" spans="2:16">
      <c r="B14" t="str">
        <f>'Cost table'!A45</f>
        <v>CO2 Capture &gt;10%</v>
      </c>
      <c r="C14" s="32">
        <f>'Cost table'!B45</f>
        <v>1</v>
      </c>
      <c r="D14">
        <f>'Cost table'!C45</f>
        <v>1.43E-2</v>
      </c>
      <c r="E14" s="9">
        <f>'Cost table'!D45</f>
        <v>6.6358157238715812E-2</v>
      </c>
      <c r="F14" s="13">
        <f>'Cost table'!E45</f>
        <v>907.77212758033443</v>
      </c>
      <c r="G14" s="13">
        <f>G15/C15</f>
        <v>314.9790326332452</v>
      </c>
      <c r="H14" s="13">
        <f>G14</f>
        <v>314.9790326332452</v>
      </c>
      <c r="I14" s="13">
        <f>G14*D14</f>
        <v>4.5042001666554068</v>
      </c>
      <c r="J14" s="3">
        <f t="shared" si="2"/>
        <v>127.13531268379293</v>
      </c>
      <c r="K14" s="29">
        <f t="shared" si="3"/>
        <v>0.40363103417053969</v>
      </c>
      <c r="L14" t="s">
        <v>108</v>
      </c>
      <c r="M14" s="3">
        <f>M12</f>
        <v>0.14267803739021417</v>
      </c>
      <c r="N14" s="13">
        <f t="shared" si="5"/>
        <v>129.51914556070122</v>
      </c>
      <c r="O14" s="32">
        <f t="shared" si="4"/>
        <v>0.15124451883105017</v>
      </c>
      <c r="P14" s="4"/>
    </row>
    <row r="15" spans="2:16">
      <c r="B15" t="str">
        <f>'Cost table'!A66</f>
        <v>Methanol reactor</v>
      </c>
      <c r="C15" s="32">
        <f>'Cost table'!B66</f>
        <v>0.8528</v>
      </c>
      <c r="D15">
        <f>'Cost table'!C66</f>
        <v>0</v>
      </c>
      <c r="E15" s="9">
        <f>'Cost table'!D66</f>
        <v>2.7962785262023615E-2</v>
      </c>
      <c r="F15" s="13">
        <f>'Cost table'!E66</f>
        <v>3466.6199668598065</v>
      </c>
      <c r="G15" s="13">
        <f t="shared" ref="G15:G18" si="8">G16/C16</f>
        <v>268.61411902963152</v>
      </c>
      <c r="H15" s="13">
        <f>G15</f>
        <v>268.61411902963152</v>
      </c>
      <c r="I15" s="13">
        <f t="shared" ref="I15:I19" si="9">G15*D15</f>
        <v>0</v>
      </c>
      <c r="J15" s="3">
        <f t="shared" si="2"/>
        <v>134.64651161256617</v>
      </c>
      <c r="K15" s="29">
        <f t="shared" si="3"/>
        <v>0.50126371651265644</v>
      </c>
      <c r="L15" t="s">
        <v>108</v>
      </c>
      <c r="M15" s="3">
        <f>M12</f>
        <v>0.14267803739021417</v>
      </c>
      <c r="N15" s="13">
        <f t="shared" si="5"/>
        <v>494.6105332492865</v>
      </c>
      <c r="O15" s="32">
        <f t="shared" ref="O15:O19" si="10">(J15-J14)/$J$19</f>
        <v>5.4351676753808802E-2</v>
      </c>
      <c r="P15" s="4"/>
    </row>
    <row r="16" spans="2:16">
      <c r="B16" t="str">
        <f>'Cost table'!A67</f>
        <v>Water condensation</v>
      </c>
      <c r="C16" s="32">
        <f>'Cost table'!B67</f>
        <v>0.95</v>
      </c>
      <c r="D16">
        <f>'Cost table'!C67</f>
        <v>0</v>
      </c>
      <c r="E16" s="9">
        <f>'Cost table'!D67</f>
        <v>2.5378246147326573E-3</v>
      </c>
      <c r="F16" s="13">
        <f>'Cost table'!E67</f>
        <v>244.62687250116159</v>
      </c>
      <c r="G16" s="13">
        <f t="shared" si="8"/>
        <v>255.18341307814993</v>
      </c>
      <c r="H16" s="13">
        <f t="shared" ref="H16:H19" si="11">G16</f>
        <v>255.18341307814993</v>
      </c>
      <c r="I16" s="13">
        <f t="shared" si="9"/>
        <v>0</v>
      </c>
      <c r="J16" s="3">
        <f t="shared" si="2"/>
        <v>135.2941223595474</v>
      </c>
      <c r="K16" s="29">
        <f t="shared" si="3"/>
        <v>0.53018384199647639</v>
      </c>
      <c r="L16" t="s">
        <v>108</v>
      </c>
      <c r="M16" s="3">
        <f>M15</f>
        <v>0.14267803739021417</v>
      </c>
      <c r="N16" s="13">
        <f t="shared" si="5"/>
        <v>34.902882061371891</v>
      </c>
      <c r="O16" s="32">
        <f t="shared" si="10"/>
        <v>4.686166658079075E-3</v>
      </c>
      <c r="P16" s="4"/>
    </row>
    <row r="17" spans="2:16">
      <c r="B17" t="str">
        <f>'Cost table'!A68</f>
        <v>Methanol condensation</v>
      </c>
      <c r="C17" s="32">
        <f>'Cost table'!B68</f>
        <v>0.9</v>
      </c>
      <c r="D17">
        <f>'Cost table'!C68</f>
        <v>0</v>
      </c>
      <c r="E17" s="9">
        <f>'Cost table'!D68</f>
        <v>2.5378246147326573E-3</v>
      </c>
      <c r="F17" s="13">
        <f>'Cost table'!E68</f>
        <v>244.62687250116159</v>
      </c>
      <c r="G17" s="13">
        <f t="shared" si="8"/>
        <v>229.66507177033495</v>
      </c>
      <c r="H17" s="13">
        <f t="shared" si="11"/>
        <v>229.66507177033495</v>
      </c>
      <c r="I17" s="13">
        <f t="shared" si="9"/>
        <v>0</v>
      </c>
      <c r="J17" s="3">
        <f t="shared" si="2"/>
        <v>135.87697203183049</v>
      </c>
      <c r="K17" s="29">
        <f t="shared" si="3"/>
        <v>0.59163098238859524</v>
      </c>
      <c r="L17" t="s">
        <v>108</v>
      </c>
      <c r="M17" s="3">
        <f>M16</f>
        <v>0.14267803739021417</v>
      </c>
      <c r="N17" s="13">
        <f t="shared" si="5"/>
        <v>34.902882061371891</v>
      </c>
      <c r="O17" s="32">
        <f t="shared" si="10"/>
        <v>4.2175499922710441E-3</v>
      </c>
      <c r="P17" s="4"/>
    </row>
    <row r="18" spans="2:16">
      <c r="B18" t="str">
        <f>'Cost table'!A69</f>
        <v>H2, CO2 compression</v>
      </c>
      <c r="C18" s="32">
        <f>'Cost table'!B69</f>
        <v>0.95</v>
      </c>
      <c r="D18">
        <f>'Cost table'!C69</f>
        <v>0</v>
      </c>
      <c r="E18" s="9">
        <f>'Cost table'!D69</f>
        <v>1.0625383454639863E-2</v>
      </c>
      <c r="F18" s="13">
        <f>'Cost table'!E69</f>
        <v>611.56718125290399</v>
      </c>
      <c r="G18" s="13">
        <f t="shared" si="8"/>
        <v>218.18181818181819</v>
      </c>
      <c r="H18" s="13">
        <f t="shared" si="11"/>
        <v>218.18181818181819</v>
      </c>
      <c r="I18" s="13">
        <f t="shared" si="9"/>
        <v>0</v>
      </c>
      <c r="J18" s="3">
        <f t="shared" si="2"/>
        <v>138.19523751284282</v>
      </c>
      <c r="K18" s="29">
        <f t="shared" si="3"/>
        <v>0.63339483860052959</v>
      </c>
      <c r="L18" t="s">
        <v>108</v>
      </c>
      <c r="M18" s="3">
        <f>M17</f>
        <v>0.14267803739021417</v>
      </c>
      <c r="N18" s="13">
        <f t="shared" si="5"/>
        <v>87.257205153429723</v>
      </c>
      <c r="O18" s="32">
        <f t="shared" si="10"/>
        <v>1.6775166953816052E-2</v>
      </c>
      <c r="P18" s="4"/>
    </row>
    <row r="19" spans="2:16">
      <c r="B19" t="str">
        <f>'Cost table'!A70</f>
        <v>Methanol Tank</v>
      </c>
      <c r="C19" s="32">
        <f>'Cost table'!B70</f>
        <v>0.99</v>
      </c>
      <c r="D19">
        <f>'Cost table'!C70</f>
        <v>0</v>
      </c>
      <c r="E19" s="9">
        <f>'Cost table'!D70</f>
        <v>4.7743390072712986E-6</v>
      </c>
      <c r="F19" s="13">
        <f>'Cost table'!E70</f>
        <v>1.5911604851848287</v>
      </c>
      <c r="G19" s="13">
        <v>216</v>
      </c>
      <c r="H19" s="13">
        <f t="shared" si="11"/>
        <v>216</v>
      </c>
      <c r="I19" s="13">
        <f t="shared" si="9"/>
        <v>0</v>
      </c>
      <c r="J19" s="3">
        <f t="shared" si="2"/>
        <v>138.1962687700684</v>
      </c>
      <c r="K19" s="29">
        <f t="shared" si="3"/>
        <v>0.63979754060216854</v>
      </c>
      <c r="L19" t="s">
        <v>109</v>
      </c>
      <c r="M19" s="3">
        <f>M13</f>
        <v>23.969910281555983</v>
      </c>
      <c r="N19" s="13">
        <f t="shared" si="5"/>
        <v>38.139974073437429</v>
      </c>
      <c r="O19" s="32">
        <f t="shared" si="10"/>
        <v>7.4622653328859064E-6</v>
      </c>
      <c r="P19" s="4"/>
    </row>
    <row r="20" spans="2:16">
      <c r="B20" s="7"/>
      <c r="C20" s="18">
        <f>H19/H7</f>
        <v>0.30174268991923592</v>
      </c>
      <c r="D20" s="20"/>
      <c r="E20" s="7"/>
      <c r="F20" s="7"/>
      <c r="G20" s="7"/>
      <c r="H20" s="17" t="s">
        <v>163</v>
      </c>
      <c r="I20" s="17">
        <f>SUM(I11:I19)</f>
        <v>58.245468105626621</v>
      </c>
      <c r="J20" s="7"/>
      <c r="K20" s="30">
        <f>K19</f>
        <v>0.63979754060216854</v>
      </c>
      <c r="L20" s="7"/>
      <c r="M20" s="7"/>
      <c r="N20" s="44">
        <f>SUM(N7:N19)</f>
        <v>2907.3475542016572</v>
      </c>
      <c r="O20" s="62">
        <f>SUM(O7:O19)</f>
        <v>1.0000000000000002</v>
      </c>
    </row>
    <row r="21" spans="2:16">
      <c r="B21" s="24" t="s">
        <v>106</v>
      </c>
      <c r="C21" s="26">
        <f>C20</f>
        <v>0.30174268991923592</v>
      </c>
      <c r="D21" s="4"/>
      <c r="H21" s="13"/>
      <c r="I21" s="13"/>
      <c r="J21" s="24" t="s">
        <v>195</v>
      </c>
      <c r="K21" s="31">
        <f>K20*6.3</f>
        <v>4.0307245057936614</v>
      </c>
      <c r="M21" s="24" t="s">
        <v>105</v>
      </c>
      <c r="N21" s="41">
        <f>N20</f>
        <v>2907.3475542016572</v>
      </c>
    </row>
  </sheetData>
  <conditionalFormatting sqref="N7:N19">
    <cfRule type="dataBar" priority="19">
      <dataBar>
        <cfvo type="num" val="0"/>
        <cfvo type="num" val="$N$20"/>
        <color theme="0" tint="-0.14999847407452621"/>
      </dataBar>
      <extLst>
        <ext xmlns:x14="http://schemas.microsoft.com/office/spreadsheetml/2009/9/main" uri="{B025F937-C7B1-47D3-B67F-A62EFF666E3E}">
          <x14:id>{07841D43-9877-374B-9863-93826C5C4039}</x14:id>
        </ext>
      </extLst>
    </cfRule>
  </conditionalFormatting>
  <conditionalFormatting sqref="O7:O19">
    <cfRule type="dataBar" priority="1">
      <dataBar>
        <cfvo type="num" val="0"/>
        <cfvo type="num" val="$O$20"/>
        <color theme="0" tint="-0.249977111117893"/>
      </dataBar>
      <extLst>
        <ext xmlns:x14="http://schemas.microsoft.com/office/spreadsheetml/2009/9/main" uri="{B025F937-C7B1-47D3-B67F-A62EFF666E3E}">
          <x14:id>{0C5A63AC-2416-AD48-AB37-E230915F2D46}</x14:id>
        </ext>
      </extLst>
    </cfRule>
    <cfRule type="dataBar" priority="144">
      <dataBar>
        <cfvo type="num" val="0"/>
        <cfvo type="num" val="$O$20"/>
        <color theme="0" tint="-0.249977111117893"/>
      </dataBar>
      <extLst>
        <ext xmlns:x14="http://schemas.microsoft.com/office/spreadsheetml/2009/9/main" uri="{B025F937-C7B1-47D3-B67F-A62EFF666E3E}">
          <x14:id>{9F466EE0-30B1-2C4F-B669-E413C2C57346}</x14:id>
        </ext>
      </extLst>
    </cfRule>
    <cfRule type="dataBar" priority="145">
      <dataBar>
        <cfvo type="num" val="0"/>
        <cfvo type="max"/>
        <color theme="0" tint="-0.14999847407452621"/>
      </dataBar>
      <extLst>
        <ext xmlns:x14="http://schemas.microsoft.com/office/spreadsheetml/2009/9/main" uri="{B025F937-C7B1-47D3-B67F-A62EFF666E3E}">
          <x14:id>{3D10158F-6268-174E-AA5E-2822302DCFA6}</x14:id>
        </ext>
      </extLst>
    </cfRule>
    <cfRule type="dataBar" priority="146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{BA6971FF-3085-C14C-8371-D46123323021}</x14:id>
        </ext>
      </extLst>
    </cfRule>
    <cfRule type="dataBar" priority="14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{D1FC45E6-E38E-0945-9650-5B8F817EF1A2}</x14:id>
        </ext>
      </extLst>
    </cfRule>
    <cfRule type="dataBar" priority="148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{98E5E574-0C86-B847-9930-E0E313875BF4}</x14:id>
        </ext>
      </extLst>
    </cfRule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{3E9843C9-B9F3-DA46-BDB1-F4E69E30E0DD}</x14:id>
        </ext>
      </extLst>
    </cfRule>
    <cfRule type="dataBar" priority="150">
      <dataBar>
        <cfvo type="num" val="0"/>
        <cfvo type="num" val="$O$20"/>
        <color theme="0" tint="-0.14999847407452621"/>
      </dataBar>
      <extLst>
        <ext xmlns:x14="http://schemas.microsoft.com/office/spreadsheetml/2009/9/main" uri="{B025F937-C7B1-47D3-B67F-A62EFF666E3E}">
          <x14:id>{D5247CA3-DE99-B94C-8232-A32CAA653845}</x14:id>
        </ext>
      </extLst>
    </cfRule>
    <cfRule type="dataBar" priority="15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{301F68C2-A20D-D945-A287-C832A391CBBE}</x14:id>
        </ext>
      </extLst>
    </cfRule>
    <cfRule type="dataBar" priority="15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{D8E54316-1A9E-AC43-BD89-D8417A7986B4}</x14:id>
        </ext>
      </extLst>
    </cfRule>
    <cfRule type="dataBar" priority="153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{3143B84A-1CD2-194D-A522-18028BD30406}</x14:id>
        </ext>
      </extLst>
    </cfRule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{1A3E5A5A-5E60-DC41-87C9-988177C0E539}</x14:id>
        </ext>
      </extLst>
    </cfRule>
  </conditionalFormatting>
  <conditionalFormatting sqref="O7:O20">
    <cfRule type="dataBar" priority="155">
      <dataBar>
        <cfvo type="num" val="0"/>
        <cfvo type="max"/>
        <color theme="0" tint="-0.14999847407452621"/>
      </dataBar>
      <extLst>
        <ext xmlns:x14="http://schemas.microsoft.com/office/spreadsheetml/2009/9/main" uri="{B025F937-C7B1-47D3-B67F-A62EFF666E3E}">
          <x14:id>{B487D5BB-7738-0C4B-BABF-4577C1287D3F}</x14:id>
        </ext>
      </extLst>
    </cfRule>
  </conditionalFormatting>
  <conditionalFormatting sqref="O14:O19">
    <cfRule type="dataBar" priority="10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{3507C63F-C520-8C40-AD6E-F794DF68395A}</x14:id>
        </ext>
      </extLst>
    </cfRule>
    <cfRule type="dataBar" priority="1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{C506F1A0-DA7B-2745-BDA4-43B404CFBAE5}</x14:id>
        </ext>
      </extLst>
    </cfRule>
    <cfRule type="dataBar" priority="1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{1267D11B-3672-DE4F-B035-EEB2401EC69E}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{E11AF893-423A-444F-9865-5A7822CCE6C4}</x14:id>
        </ext>
      </extLst>
    </cfRule>
  </conditionalFormatting>
  <conditionalFormatting sqref="O19">
    <cfRule type="dataBar" priority="143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{F77E2EB7-B945-DA42-8343-092CA24C169D}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41D43-9877-374B-9863-93826C5C4039}">
            <x14:dataBar minLength="0" maxLength="100" gradient="0">
              <x14:cfvo type="num">
                <xm:f>0</xm:f>
              </x14:cfvo>
              <x14:cfvo type="num">
                <xm:f>$N$20</xm:f>
              </x14:cfvo>
              <x14:negativeFillColor rgb="FFFF0000"/>
              <x14:axisColor rgb="FF000000"/>
            </x14:dataBar>
          </x14:cfRule>
          <xm:sqref>N7:N19</xm:sqref>
        </x14:conditionalFormatting>
        <x14:conditionalFormatting xmlns:xm="http://schemas.microsoft.com/office/excel/2006/main">
          <x14:cfRule type="dataBar" id="{0C5A63AC-2416-AD48-AB37-E230915F2D46}">
            <x14:dataBar minLength="0" maxLength="100" gradient="0">
              <x14:cfvo type="num">
                <xm:f>0</xm:f>
              </x14:cfvo>
              <x14:cfvo type="num">
                <xm:f>$O$20</xm:f>
              </x14:cfvo>
              <x14:negativeFillColor rgb="FFFF0000"/>
              <x14:axisColor rgb="FF000000"/>
            </x14:dataBar>
          </x14:cfRule>
          <x14:cfRule type="dataBar" id="{9F466EE0-30B1-2C4F-B669-E413C2C57346}">
            <x14:dataBar minLength="0" maxLength="100" gradient="0">
              <x14:cfvo type="num">
                <xm:f>0</xm:f>
              </x14:cfvo>
              <x14:cfvo type="num">
                <xm:f>$O$20</xm:f>
              </x14:cfvo>
              <x14:negativeFillColor rgb="FFFF0000"/>
              <x14:axisColor rgb="FF000000"/>
            </x14:dataBar>
          </x14:cfRule>
          <x14:cfRule type="dataBar" id="{3D10158F-6268-174E-AA5E-2822302DCFA6}">
            <x14:dataBar minLength="0" maxLength="100" gradient="0">
              <x14:cfvo type="num">
                <xm:f>0</xm:f>
              </x14:cfvo>
              <x14:cfvo type="max"/>
              <x14:negativeFillColor theme="0"/>
              <x14:axisColor rgb="FF000000"/>
            </x14:dataBar>
          </x14:cfRule>
          <x14:cfRule type="dataBar" id="{BA6971FF-3085-C14C-8371-D46123323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FC45E6-E38E-0945-9650-5B8F817EF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E5E574-0C86-B847-9930-E0E313875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9843C9-B9F3-DA46-BDB1-F4E69E30E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247CA3-DE99-B94C-8232-A32CAA653845}">
            <x14:dataBar minLength="0" maxLength="100" gradient="0">
              <x14:cfvo type="num">
                <xm:f>0</xm:f>
              </x14:cfvo>
              <x14:cfvo type="num">
                <xm:f>$O$20</xm:f>
              </x14:cfvo>
              <x14:negativeFillColor rgb="FFFF0000"/>
              <x14:axisColor rgb="FF000000"/>
            </x14:dataBar>
          </x14:cfRule>
          <x14:cfRule type="dataBar" id="{301F68C2-A20D-D945-A287-C832A391CBBE}">
            <x14:dataBar minLength="0" maxLength="100" gradient="0">
              <x14:cfvo type="autoMin"/>
              <x14:cfvo type="autoMax"/>
              <x14:negativeFillColor theme="0" tint="-0.14999847407452621"/>
              <x14:axisColor rgb="FF000000"/>
            </x14:dataBar>
          </x14:cfRule>
          <x14:cfRule type="dataBar" id="{D8E54316-1A9E-AC43-BD89-D8417A798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43B84A-1CD2-194D-A522-18028BD30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3E5A5A-5E60-DC41-87C9-988177C0E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O7:O19</xm:sqref>
        </x14:conditionalFormatting>
        <x14:conditionalFormatting xmlns:xm="http://schemas.microsoft.com/office/excel/2006/main">
          <x14:cfRule type="dataBar" id="{B487D5BB-7738-0C4B-BABF-4577C1287D3F}">
            <x14:dataBar minLength="0" maxLength="100" gradient="0">
              <x14:cfvo type="num">
                <xm:f>0</xm:f>
              </x14:cfvo>
              <x14:cfvo type="max"/>
              <x14:negativeFillColor theme="0"/>
              <x14:axisColor rgb="FF000000"/>
            </x14:dataBar>
          </x14:cfRule>
          <xm:sqref>O7:O20</xm:sqref>
        </x14:conditionalFormatting>
        <x14:conditionalFormatting xmlns:xm="http://schemas.microsoft.com/office/excel/2006/main">
          <x14:cfRule type="dataBar" id="{3507C63F-C520-8C40-AD6E-F794DF683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06F1A0-DA7B-2745-BDA4-43B404CFB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267D11B-3672-DE4F-B035-EEB2401EC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1AF893-423A-444F-9865-5A7822CCE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O14:O19</xm:sqref>
        </x14:conditionalFormatting>
        <x14:conditionalFormatting xmlns:xm="http://schemas.microsoft.com/office/excel/2006/main">
          <x14:cfRule type="dataBar" id="{F77E2EB7-B945-DA42-8343-092CA24C169D}">
            <x14:dataBar minLength="0" maxLength="100" gradient="0">
              <x14:cfvo type="autoMin"/>
              <x14:cfvo type="autoMax"/>
              <x14:negativeFillColor theme="0" tint="-4.9989318521683403E-2"/>
              <x14:axisColor rgb="FF000000"/>
            </x14:dataBar>
          </x14:cfRule>
          <xm:sqref>O19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0BC6-AF82-E749-A9C5-9552E8629215}">
  <dimension ref="B1:R20"/>
  <sheetViews>
    <sheetView zoomScaleNormal="130" workbookViewId="0">
      <selection activeCell="B5" sqref="B5:O19"/>
    </sheetView>
  </sheetViews>
  <sheetFormatPr baseColWidth="10" defaultRowHeight="16"/>
  <cols>
    <col min="1" max="1" width="14.33203125" customWidth="1"/>
    <col min="2" max="2" width="17" customWidth="1"/>
    <col min="3" max="3" width="13.83203125" customWidth="1"/>
    <col min="4" max="4" width="14.1640625" customWidth="1"/>
    <col min="5" max="5" width="12.83203125" customWidth="1"/>
    <col min="6" max="6" width="11.6640625" customWidth="1"/>
    <col min="7" max="8" width="7.83203125" customWidth="1"/>
    <col min="9" max="9" width="8.33203125" customWidth="1"/>
    <col min="10" max="10" width="12.6640625" customWidth="1"/>
    <col min="11" max="11" width="12" customWidth="1"/>
    <col min="12" max="12" width="12.6640625" customWidth="1"/>
    <col min="13" max="13" width="12.33203125" customWidth="1"/>
    <col min="14" max="14" width="9.6640625" customWidth="1"/>
    <col min="15" max="15" width="8.1640625" customWidth="1"/>
  </cols>
  <sheetData>
    <row r="1" spans="2:18" ht="17" thickBot="1">
      <c r="B1" t="s">
        <v>127</v>
      </c>
      <c r="C1" s="10">
        <v>2200</v>
      </c>
      <c r="F1" t="s">
        <v>86</v>
      </c>
      <c r="G1" s="22">
        <f>C3*C2</f>
        <v>0.19984832550003892</v>
      </c>
      <c r="H1" s="36" t="s">
        <v>140</v>
      </c>
      <c r="I1" s="6" t="s">
        <v>141</v>
      </c>
      <c r="K1" t="s">
        <v>190</v>
      </c>
      <c r="L1" s="45">
        <f>G15/10800*1000</f>
        <v>21.26528442317916</v>
      </c>
      <c r="M1" t="s">
        <v>191</v>
      </c>
      <c r="N1">
        <v>3</v>
      </c>
      <c r="O1" t="s">
        <v>187</v>
      </c>
    </row>
    <row r="2" spans="2:18" ht="17" thickBot="1">
      <c r="B2" t="s">
        <v>44</v>
      </c>
      <c r="C2" s="11">
        <v>0.2</v>
      </c>
      <c r="D2" t="s">
        <v>81</v>
      </c>
      <c r="E2" s="21">
        <v>2.5</v>
      </c>
      <c r="F2" t="s">
        <v>85</v>
      </c>
      <c r="G2" s="22">
        <f>C1*C2/24/365*C3</f>
        <v>5.0190218732886482E-2</v>
      </c>
      <c r="H2" t="s">
        <v>142</v>
      </c>
      <c r="I2" s="6" t="s">
        <v>143</v>
      </c>
      <c r="J2" s="6" t="s">
        <v>146</v>
      </c>
      <c r="K2" s="55" t="s">
        <v>189</v>
      </c>
      <c r="L2" s="56">
        <f>L1/L3</f>
        <v>53.163211057947898</v>
      </c>
      <c r="M2" t="s">
        <v>184</v>
      </c>
      <c r="N2">
        <v>2000</v>
      </c>
      <c r="O2" t="s">
        <v>185</v>
      </c>
      <c r="Q2" s="45"/>
    </row>
    <row r="3" spans="2:18" ht="17" thickBot="1">
      <c r="B3" t="s">
        <v>45</v>
      </c>
      <c r="C3" s="8">
        <f>H7/C1/C2</f>
        <v>0.99924162750019452</v>
      </c>
      <c r="D3" s="24" t="s">
        <v>103</v>
      </c>
      <c r="E3" s="25">
        <f>C3*E2</f>
        <v>2.4981040687504863</v>
      </c>
      <c r="F3" t="s">
        <v>87</v>
      </c>
      <c r="G3" s="22">
        <f>G2*3</f>
        <v>0.15057065619865945</v>
      </c>
      <c r="H3" s="36" t="s">
        <v>144</v>
      </c>
      <c r="I3" s="6" t="s">
        <v>145</v>
      </c>
      <c r="K3" t="s">
        <v>188</v>
      </c>
      <c r="L3">
        <v>0.4</v>
      </c>
      <c r="M3" t="s">
        <v>191</v>
      </c>
      <c r="N3" s="4">
        <f>L2*N2*N1/1000</f>
        <v>318.97926634768743</v>
      </c>
      <c r="O3" t="s">
        <v>192</v>
      </c>
    </row>
    <row r="4" spans="2:18">
      <c r="G4" s="6" t="s">
        <v>49</v>
      </c>
      <c r="I4" t="s">
        <v>186</v>
      </c>
      <c r="J4">
        <f>1/8.9</f>
        <v>0.11235955056179775</v>
      </c>
    </row>
    <row r="5" spans="2:18">
      <c r="B5" s="2" t="s">
        <v>253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8" s="15" customFormat="1" ht="34">
      <c r="B6" s="16" t="s">
        <v>46</v>
      </c>
      <c r="C6" s="16" t="s">
        <v>39</v>
      </c>
      <c r="D6" s="16" t="s">
        <v>1</v>
      </c>
      <c r="E6" s="16" t="s">
        <v>41</v>
      </c>
      <c r="F6" s="16" t="s">
        <v>48</v>
      </c>
      <c r="G6" s="16" t="s">
        <v>40</v>
      </c>
      <c r="H6" s="16" t="s">
        <v>40</v>
      </c>
      <c r="I6" s="16" t="s">
        <v>82</v>
      </c>
      <c r="J6" s="16" t="s">
        <v>42</v>
      </c>
      <c r="K6" s="16" t="s">
        <v>43</v>
      </c>
      <c r="L6" s="16" t="s">
        <v>79</v>
      </c>
      <c r="M6" s="16" t="s">
        <v>102</v>
      </c>
      <c r="N6" s="15" t="s">
        <v>3</v>
      </c>
      <c r="O6" s="15" t="s">
        <v>136</v>
      </c>
    </row>
    <row r="7" spans="2:18">
      <c r="B7" t="str">
        <f>'Cost table'!A10</f>
        <v>PV</v>
      </c>
      <c r="C7" s="14">
        <f>'Cost table'!B10</f>
        <v>1</v>
      </c>
      <c r="D7" s="23">
        <f>'Cost table'!C10</f>
        <v>0</v>
      </c>
      <c r="E7" s="9">
        <f>'Cost table'!D10</f>
        <v>2.3509062652146532E-2</v>
      </c>
      <c r="F7" s="13">
        <f>'Cost table'!E10</f>
        <v>535.79906752083559</v>
      </c>
      <c r="G7" s="13">
        <f t="shared" ref="G7:G13" si="0">G8/C8</f>
        <v>52.947868890942445</v>
      </c>
      <c r="H7" s="13">
        <f t="shared" ref="H7" si="1">H8/C8</f>
        <v>439.66631610008562</v>
      </c>
      <c r="I7" s="13">
        <f>H7-G7</f>
        <v>386.71844720914316</v>
      </c>
      <c r="J7" s="13">
        <f>H7*E7</f>
        <v>10.336142971235374</v>
      </c>
      <c r="K7" s="29">
        <f>J7/H7</f>
        <v>2.3509062652146532E-2</v>
      </c>
      <c r="L7" t="s">
        <v>107</v>
      </c>
      <c r="M7" s="3">
        <f>C1*C2*C3</f>
        <v>439.66631610008557</v>
      </c>
      <c r="N7" s="3">
        <f>M7/C1*F7</f>
        <v>107.07854644852127</v>
      </c>
      <c r="O7" s="32">
        <f>J7/$J$17</f>
        <v>0.13307295030665872</v>
      </c>
      <c r="P7" s="4"/>
    </row>
    <row r="8" spans="2:18">
      <c r="B8" t="str">
        <f>'Cost table'!A23</f>
        <v>Converter AC/DC</v>
      </c>
      <c r="C8" s="14">
        <f>'Cost table'!B23</f>
        <v>0.97</v>
      </c>
      <c r="D8" s="23">
        <f>'Cost table'!C23</f>
        <v>0</v>
      </c>
      <c r="E8" s="9">
        <f>'Cost table'!D23</f>
        <v>8.1218628117918565E-3</v>
      </c>
      <c r="F8" s="13">
        <f>'Cost table'!E23</f>
        <v>318.23759115648329</v>
      </c>
      <c r="G8" s="13">
        <f t="shared" si="0"/>
        <v>51.359432824214167</v>
      </c>
      <c r="H8" s="13">
        <f>H9/C9</f>
        <v>426.47632661708303</v>
      </c>
      <c r="I8" s="13">
        <f t="shared" ref="I8:I10" si="2">H8-G8</f>
        <v>375.11689379286884</v>
      </c>
      <c r="J8" s="13">
        <f t="shared" ref="J8:J17" si="3">J7+H8*E8</f>
        <v>13.799925188496257</v>
      </c>
      <c r="K8" s="29">
        <f t="shared" ref="K8:K17" si="4">J8/H8</f>
        <v>3.2358009875860447E-2</v>
      </c>
      <c r="L8" t="s">
        <v>108</v>
      </c>
      <c r="M8" s="9">
        <f>G3</f>
        <v>0.15057065619865945</v>
      </c>
      <c r="N8" s="3">
        <f>M8*F8</f>
        <v>47.91724292751239</v>
      </c>
      <c r="O8" s="32">
        <f>(J8-J7)/$J$17</f>
        <v>4.4594557191535704E-2</v>
      </c>
      <c r="P8" s="4"/>
    </row>
    <row r="9" spans="2:18">
      <c r="B9" t="str">
        <f>'Cost table'!A13</f>
        <v>Battery</v>
      </c>
      <c r="C9" s="14">
        <f>'Cost table'!B13</f>
        <v>0.89</v>
      </c>
      <c r="D9" s="23">
        <f>'Cost table'!C13</f>
        <v>0</v>
      </c>
      <c r="E9" s="9">
        <f>'Cost table'!D13</f>
        <v>6.5218558378688604E-2</v>
      </c>
      <c r="F9" s="13">
        <f>'Cost table'!E13</f>
        <v>116.6871167573772</v>
      </c>
      <c r="G9" s="13">
        <f t="shared" si="0"/>
        <v>45.70989521355061</v>
      </c>
      <c r="H9" s="13">
        <f>H10/C10</f>
        <v>379.56393068920391</v>
      </c>
      <c r="I9" s="13">
        <f t="shared" si="2"/>
        <v>333.85403547565329</v>
      </c>
      <c r="J9" s="13">
        <f t="shared" si="3"/>
        <v>38.554537560594618</v>
      </c>
      <c r="K9" s="29">
        <f t="shared" si="4"/>
        <v>0.10157587284594753</v>
      </c>
      <c r="L9" t="s">
        <v>109</v>
      </c>
      <c r="M9" s="9">
        <f>M8*12</f>
        <v>1.8068478743839134</v>
      </c>
      <c r="N9" s="3">
        <f t="shared" ref="N9" si="5">M9*F9</f>
        <v>210.83586888105449</v>
      </c>
      <c r="O9" s="32">
        <f t="shared" ref="O9:O17" si="6">(J9-J8)/$J$17</f>
        <v>0.31870392188074831</v>
      </c>
      <c r="P9" s="4"/>
    </row>
    <row r="10" spans="2:18">
      <c r="B10" t="str">
        <f>'Cost table'!A24</f>
        <v>Inverter DC/AC</v>
      </c>
      <c r="C10" s="14">
        <f>'Cost table'!B24</f>
        <v>0.97</v>
      </c>
      <c r="D10" s="23">
        <f>'Cost table'!C24</f>
        <v>0</v>
      </c>
      <c r="E10" s="9">
        <f>'Cost table'!D24</f>
        <v>8.1218628117918565E-3</v>
      </c>
      <c r="F10" s="13">
        <f>'Cost table'!E24</f>
        <v>318.23759115648329</v>
      </c>
      <c r="G10" s="13">
        <f>G11/C11</f>
        <v>44.338598357144093</v>
      </c>
      <c r="H10" s="13">
        <f>H11/C11+D18</f>
        <v>368.17701276852779</v>
      </c>
      <c r="I10" s="13">
        <f t="shared" si="2"/>
        <v>323.83841441138372</v>
      </c>
      <c r="J10" s="13">
        <f t="shared" si="3"/>
        <v>41.544820748755939</v>
      </c>
      <c r="K10" s="29">
        <f t="shared" si="4"/>
        <v>0.1128392574983357</v>
      </c>
      <c r="L10" t="s">
        <v>108</v>
      </c>
      <c r="M10" s="9">
        <f>M8</f>
        <v>0.15057065619865945</v>
      </c>
      <c r="N10" s="3">
        <f>M10*F10</f>
        <v>47.91724292751239</v>
      </c>
      <c r="O10" s="32">
        <f t="shared" si="6"/>
        <v>3.8498481223452778E-2</v>
      </c>
      <c r="P10" s="4"/>
    </row>
    <row r="11" spans="2:18">
      <c r="B11" t="str">
        <f>'Cost table'!A110</f>
        <v>Reverse Osmosis</v>
      </c>
      <c r="C11" s="14">
        <f>'Cost table'!B110</f>
        <v>1</v>
      </c>
      <c r="D11" s="23">
        <f>'Cost table'!C110</f>
        <v>1.2559945192966431E-3</v>
      </c>
      <c r="E11" s="9">
        <f>'Cost table'!D110</f>
        <v>3.9369329114769966E-2</v>
      </c>
      <c r="F11" s="13">
        <f>'Cost table'!E110</f>
        <v>6886.2464609076978</v>
      </c>
      <c r="G11" s="13">
        <f>G12/C12</f>
        <v>44.338598357144093</v>
      </c>
      <c r="H11" s="13">
        <f>G11+N3</f>
        <v>363.31786470483155</v>
      </c>
      <c r="I11" s="61">
        <f>H11-G11</f>
        <v>318.97926634768748</v>
      </c>
      <c r="J11" s="13">
        <f>J10+H11*E11</f>
        <v>55.848401337595917</v>
      </c>
      <c r="K11" s="29">
        <f>J11/H11</f>
        <v>0.15371774075290393</v>
      </c>
      <c r="L11" t="s">
        <v>108</v>
      </c>
      <c r="M11" s="9">
        <f>H11/365/24*3</f>
        <v>0.12442392626877793</v>
      </c>
      <c r="N11" s="3">
        <f>M11*F11</f>
        <v>856.81382192061244</v>
      </c>
      <c r="O11" s="32">
        <f t="shared" si="6"/>
        <v>0.18415183247784489</v>
      </c>
      <c r="P11" s="4"/>
      <c r="Q11">
        <f>Q12*N1/1000</f>
        <v>1.8230591202683614E-2</v>
      </c>
      <c r="R11" t="s">
        <v>194</v>
      </c>
    </row>
    <row r="12" spans="2:18">
      <c r="B12" t="str">
        <f>'Cost table'!A28</f>
        <v>Electrolyzer</v>
      </c>
      <c r="C12" s="14">
        <f>'Cost table'!B28</f>
        <v>0.6</v>
      </c>
      <c r="D12" s="23">
        <f>'Cost table'!C28</f>
        <v>0.02</v>
      </c>
      <c r="E12" s="9">
        <f>'Cost table'!D28</f>
        <v>8.0933742419628932E-2</v>
      </c>
      <c r="F12" s="13">
        <f>'Cost table'!E28</f>
        <v>1669.897917979747</v>
      </c>
      <c r="G12" s="13">
        <f t="shared" si="0"/>
        <v>26.603159014286454</v>
      </c>
      <c r="H12" s="13">
        <f t="shared" ref="H12:H17" si="7">G12</f>
        <v>26.603159014286454</v>
      </c>
      <c r="I12" s="61">
        <f>D12*G12</f>
        <v>0.53206318028572908</v>
      </c>
      <c r="J12" s="13">
        <f>J11+H12*E12</f>
        <v>58.001494556806605</v>
      </c>
      <c r="K12" s="29">
        <f>J12/H12</f>
        <v>2.1802483880075516</v>
      </c>
      <c r="L12" t="s">
        <v>108</v>
      </c>
      <c r="M12" s="9">
        <f>H12/24/365*3</f>
        <v>9.1106708953035791E-3</v>
      </c>
      <c r="N12" s="3">
        <f t="shared" ref="N12:N16" si="8">M12*F12</f>
        <v>15.213890359466125</v>
      </c>
      <c r="O12" s="32">
        <f t="shared" si="6"/>
        <v>2.7720056481705498E-2</v>
      </c>
      <c r="P12" s="4"/>
      <c r="Q12">
        <f>G12/39.4/2*18</f>
        <v>6.0768637342278709</v>
      </c>
      <c r="R12" t="s">
        <v>193</v>
      </c>
    </row>
    <row r="13" spans="2:18">
      <c r="B13" t="str">
        <f>'Cost table'!A30</f>
        <v>Compressor 30-200bar</v>
      </c>
      <c r="C13" s="14">
        <f>'Cost table'!B30</f>
        <v>0.97</v>
      </c>
      <c r="D13" s="23">
        <f>'Cost table'!C30</f>
        <v>0.15</v>
      </c>
      <c r="E13" s="9">
        <f>'Cost table'!D30</f>
        <v>1.0625383454639863E-2</v>
      </c>
      <c r="F13" s="13">
        <f>'Cost table'!E30</f>
        <v>611.56718125290399</v>
      </c>
      <c r="G13" s="13">
        <f t="shared" si="0"/>
        <v>25.80506424385786</v>
      </c>
      <c r="H13" s="13">
        <f t="shared" si="7"/>
        <v>25.80506424385786</v>
      </c>
      <c r="I13" s="61">
        <f t="shared" ref="I13:I17" si="9">D13*G13</f>
        <v>3.8707596365786787</v>
      </c>
      <c r="J13" s="13">
        <f t="shared" si="3"/>
        <v>58.275683259469211</v>
      </c>
      <c r="K13" s="29">
        <f t="shared" si="4"/>
        <v>2.2583041339778891</v>
      </c>
      <c r="L13" t="s">
        <v>108</v>
      </c>
      <c r="M13" s="9">
        <f>H13/24/365*3</f>
        <v>8.837350768444472E-3</v>
      </c>
      <c r="N13" s="3">
        <f t="shared" si="8"/>
        <v>5.4046336992007706</v>
      </c>
      <c r="O13" s="32">
        <f t="shared" si="6"/>
        <v>3.5300498169973803E-3</v>
      </c>
      <c r="P13" s="4"/>
    </row>
    <row r="14" spans="2:18">
      <c r="B14" t="str">
        <f>'Cost table'!A34</f>
        <v>Hydrogen Tank</v>
      </c>
      <c r="C14" s="14">
        <f>'Cost table'!B34</f>
        <v>1</v>
      </c>
      <c r="D14" s="23">
        <f>'Cost table'!C34</f>
        <v>0</v>
      </c>
      <c r="E14" s="9">
        <f>'Cost table'!D34</f>
        <v>2.8462687250116157E-2</v>
      </c>
      <c r="F14" s="13">
        <f>'Cost table'!E34</f>
        <v>2.446268725011616</v>
      </c>
      <c r="G14" s="13">
        <f>G15/C15*J4</f>
        <v>25.80506424385786</v>
      </c>
      <c r="H14" s="13">
        <f t="shared" si="7"/>
        <v>25.80506424385786</v>
      </c>
      <c r="I14" s="61">
        <f t="shared" si="9"/>
        <v>0</v>
      </c>
      <c r="J14" s="13">
        <f t="shared" si="3"/>
        <v>59.010164732511292</v>
      </c>
      <c r="K14" s="29">
        <f t="shared" si="4"/>
        <v>2.2867668212280052</v>
      </c>
      <c r="L14" t="s">
        <v>109</v>
      </c>
      <c r="M14" s="9">
        <f>H14/24/365*3*12</f>
        <v>0.10604820922133366</v>
      </c>
      <c r="N14" s="3">
        <f t="shared" si="8"/>
        <v>0.25942241756163698</v>
      </c>
      <c r="O14" s="32">
        <f t="shared" si="6"/>
        <v>9.456101452475215E-3</v>
      </c>
      <c r="P14" s="4"/>
    </row>
    <row r="15" spans="2:18">
      <c r="B15" t="str">
        <f>'Cost table'!A104</f>
        <v>Biooil</v>
      </c>
      <c r="C15" s="14">
        <f>'Cost table'!B104</f>
        <v>1</v>
      </c>
      <c r="D15" s="23">
        <f>'Cost table'!C104</f>
        <v>0</v>
      </c>
      <c r="E15">
        <f>'Cost table'!D104</f>
        <v>6.7000000000000004E-2</v>
      </c>
      <c r="F15">
        <f>'Cost table'!E104</f>
        <v>0</v>
      </c>
      <c r="G15" s="13">
        <f>G16/C16</f>
        <v>229.66507177033495</v>
      </c>
      <c r="H15" s="13">
        <f t="shared" si="7"/>
        <v>229.66507177033495</v>
      </c>
      <c r="I15" s="61">
        <f t="shared" si="9"/>
        <v>0</v>
      </c>
      <c r="J15" s="13">
        <f>J14+H15*E15</f>
        <v>74.397724541123736</v>
      </c>
      <c r="K15" s="29">
        <f t="shared" si="4"/>
        <v>0.32394009227280957</v>
      </c>
      <c r="L15" t="s">
        <v>108</v>
      </c>
      <c r="M15" s="9">
        <f>H15/24/365*3</f>
        <v>7.8652421839155801E-2</v>
      </c>
      <c r="N15" s="3">
        <f t="shared" si="8"/>
        <v>0</v>
      </c>
      <c r="O15" s="32">
        <f t="shared" si="6"/>
        <v>0.19810755205793035</v>
      </c>
      <c r="P15" s="4"/>
    </row>
    <row r="16" spans="2:18">
      <c r="B16" t="str">
        <f>'Cost table'!A53</f>
        <v>Cracking</v>
      </c>
      <c r="C16" s="14">
        <f>'Cost table'!B53</f>
        <v>0.95</v>
      </c>
      <c r="D16" s="23">
        <f>'Cost table'!C53</f>
        <v>0</v>
      </c>
      <c r="E16">
        <f>'Cost table'!D53</f>
        <v>1.4999999999999999E-2</v>
      </c>
      <c r="F16" s="13">
        <f>'Cost table'!E53</f>
        <v>1741.3469694427158</v>
      </c>
      <c r="G16" s="13">
        <f>G17/C17</f>
        <v>218.18181818181819</v>
      </c>
      <c r="H16" s="13">
        <f t="shared" si="7"/>
        <v>218.18181818181819</v>
      </c>
      <c r="I16" s="61">
        <f t="shared" si="9"/>
        <v>0</v>
      </c>
      <c r="J16" s="13">
        <f t="shared" si="3"/>
        <v>77.670451813851002</v>
      </c>
      <c r="K16" s="29">
        <f t="shared" si="4"/>
        <v>0.35598957081348376</v>
      </c>
      <c r="L16" t="s">
        <v>108</v>
      </c>
      <c r="M16" s="9">
        <f>H16/24/365*3</f>
        <v>7.4719800747198015E-2</v>
      </c>
      <c r="N16" s="3">
        <f t="shared" si="8"/>
        <v>130.11309858849683</v>
      </c>
      <c r="O16" s="32">
        <f t="shared" si="6"/>
        <v>4.2134815176500015E-2</v>
      </c>
      <c r="P16" s="4"/>
    </row>
    <row r="17" spans="2:16">
      <c r="B17" t="str">
        <f>'Cost table'!A59</f>
        <v>Fuel Taransport</v>
      </c>
      <c r="C17" s="14">
        <f>'Cost table'!B59</f>
        <v>0.99</v>
      </c>
      <c r="D17" s="23">
        <f>'Cost table'!C59</f>
        <v>0</v>
      </c>
      <c r="E17" s="9">
        <f>'Cost table'!D59</f>
        <v>1.067350771879356E-5</v>
      </c>
      <c r="F17" s="13">
        <f>'Cost table'!E59</f>
        <v>3.6694030875174239</v>
      </c>
      <c r="G17" s="13">
        <f>20*10.8</f>
        <v>216</v>
      </c>
      <c r="H17" s="13">
        <f t="shared" si="7"/>
        <v>216</v>
      </c>
      <c r="I17" s="61">
        <f t="shared" si="9"/>
        <v>0</v>
      </c>
      <c r="J17" s="13">
        <f t="shared" si="3"/>
        <v>77.672757291518266</v>
      </c>
      <c r="K17" s="29">
        <f t="shared" si="4"/>
        <v>0.35959609857184383</v>
      </c>
      <c r="L17" t="s">
        <v>108</v>
      </c>
      <c r="M17" s="9">
        <f>H17/365/24*3</f>
        <v>7.3972602739726029E-2</v>
      </c>
      <c r="N17" s="3">
        <f t="shared" ref="N17" si="10">M17*F17</f>
        <v>0.27143529688485052</v>
      </c>
      <c r="O17" s="32">
        <f t="shared" si="6"/>
        <v>2.9681934151132532E-5</v>
      </c>
      <c r="P17" s="4"/>
    </row>
    <row r="18" spans="2:16">
      <c r="B18" s="7"/>
      <c r="C18" s="18">
        <f>H17/(H7+H15)</f>
        <v>0.32271010132549854</v>
      </c>
      <c r="D18" s="20">
        <f>D11*H11+D12*H12+D13*H13+D14*H14+D15*H15+D16*H16+D17*H17</f>
        <v>4.8591480636962352</v>
      </c>
      <c r="E18" s="7" t="s">
        <v>80</v>
      </c>
      <c r="F18" s="7"/>
      <c r="G18" s="7"/>
      <c r="H18" s="7"/>
      <c r="I18" s="7"/>
      <c r="J18" s="7"/>
      <c r="K18" s="30">
        <f>K17</f>
        <v>0.35959609857184383</v>
      </c>
      <c r="L18" s="7"/>
      <c r="M18" s="7"/>
      <c r="N18" s="44">
        <f>SUM(N7:N17)</f>
        <v>1421.8252034668233</v>
      </c>
      <c r="O18" s="18">
        <f>SUM(O7:O17)</f>
        <v>0.99999999999999989</v>
      </c>
    </row>
    <row r="19" spans="2:16">
      <c r="B19" s="24" t="s">
        <v>106</v>
      </c>
      <c r="C19" s="26">
        <f>C18</f>
        <v>0.32271010132549854</v>
      </c>
      <c r="D19" s="4"/>
      <c r="G19">
        <f>G15/10.8/1000*2600</f>
        <v>55.289739500265817</v>
      </c>
      <c r="H19" s="13">
        <f>H15+H7</f>
        <v>669.3313878704206</v>
      </c>
      <c r="J19" s="24" t="s">
        <v>104</v>
      </c>
      <c r="K19" s="31">
        <f>12.3*K17*0.9</f>
        <v>3.9807288111903114</v>
      </c>
      <c r="M19" s="24" t="s">
        <v>105</v>
      </c>
      <c r="N19" s="41">
        <f>N18</f>
        <v>1421.8252034668233</v>
      </c>
    </row>
    <row r="20" spans="2:16">
      <c r="N20" s="13"/>
    </row>
  </sheetData>
  <conditionalFormatting sqref="N7:N17">
    <cfRule type="dataBar" priority="123">
      <dataBar>
        <cfvo type="num" val="0"/>
        <cfvo type="num" val="$N$18"/>
        <color theme="0" tint="-0.14999847407452621"/>
      </dataBar>
      <extLst>
        <ext xmlns:x14="http://schemas.microsoft.com/office/spreadsheetml/2009/9/main" uri="{B025F937-C7B1-47D3-B67F-A62EFF666E3E}">
          <x14:id>{7DC3C80F-6A5C-464C-8268-D75EC65C82B0}</x14:id>
        </ext>
      </extLst>
    </cfRule>
  </conditionalFormatting>
  <conditionalFormatting sqref="O7:O17">
    <cfRule type="dataBar" priority="1">
      <dataBar>
        <cfvo type="num" val="0"/>
        <cfvo type="num" val="$O$18"/>
        <color theme="0" tint="-0.249977111117893"/>
      </dataBar>
      <extLst>
        <ext xmlns:x14="http://schemas.microsoft.com/office/spreadsheetml/2009/9/main" uri="{B025F937-C7B1-47D3-B67F-A62EFF666E3E}">
          <x14:id>{4005A4D8-CD31-864B-B36B-89B06EA43938}</x14:id>
        </ext>
      </extLst>
    </cfRule>
    <cfRule type="dataBar" priority="125">
      <dataBar>
        <cfvo type="num" val="0"/>
        <cfvo type="num" val="$O$18"/>
        <color theme="0" tint="-0.14999847407452621"/>
      </dataBar>
      <extLst>
        <ext xmlns:x14="http://schemas.microsoft.com/office/spreadsheetml/2009/9/main" uri="{B025F937-C7B1-47D3-B67F-A62EFF666E3E}">
          <x14:id>{E8688B7A-0983-1F4C-807F-4FA16A22B8AD}</x14:id>
        </ext>
      </extLst>
    </cfRule>
    <cfRule type="dataBar" priority="126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{CA990C66-56B9-4C47-8B76-541E2EDB9569}</x14:id>
        </ext>
      </extLst>
    </cfRule>
    <cfRule type="dataBar" priority="127">
      <dataBar>
        <cfvo type="num" val="0"/>
        <cfvo type="num" val="$O$18"/>
        <color rgb="FF638EC6"/>
      </dataBar>
      <extLst>
        <ext xmlns:x14="http://schemas.microsoft.com/office/spreadsheetml/2009/9/main" uri="{B025F937-C7B1-47D3-B67F-A62EFF666E3E}">
          <x14:id>{D5ECE1AE-1CC9-E94D-A132-5101B5CFCBA9}</x14:id>
        </ext>
      </extLst>
    </cfRule>
    <cfRule type="dataBar" priority="128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{6F34DFEC-1383-C444-8490-9E1717DC6DE6}</x14:id>
        </ext>
      </extLst>
    </cfRule>
    <cfRule type="dataBar" priority="129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{5ACB9C07-0423-D841-902F-12BFD30264CF}</x14:id>
        </ext>
      </extLst>
    </cfRule>
    <cfRule type="dataBar" priority="130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{9F2F66BF-B9BA-114D-85A5-5FA9A6C73776}</x14:id>
        </ext>
      </extLst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{035D0E40-0DB3-5F4F-BBF8-974504ADD61D}</x14:id>
        </ext>
      </extLst>
    </cfRule>
    <cfRule type="dataBar" priority="139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{E5F50A52-18D1-E64F-81C8-39BB8E5F780A}</x14:id>
        </ext>
      </extLst>
    </cfRule>
    <cfRule type="dataBar" priority="140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{27742AE6-E08D-1545-9220-3295B4359E40}</x14:id>
        </ext>
      </extLst>
    </cfRule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{9E8F78D9-421B-8D40-B667-FDDE187EC449}</x14:id>
        </ext>
      </extLst>
    </cfRule>
  </conditionalFormatting>
  <conditionalFormatting sqref="O15:O16">
    <cfRule type="dataBar" priority="13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{6D2E4643-9507-DF49-9EE9-A35E40880B56}</x14:id>
        </ext>
      </extLst>
    </cfRule>
    <cfRule type="dataBar" priority="14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{6EEC8D38-33E7-7C48-B06B-54CBFC5B9D38}</x14:id>
        </ext>
      </extLst>
    </cfRule>
    <cfRule type="dataBar" priority="15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{998B0621-37CF-7340-A1FD-CC805F2F8BD9}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{59AB2A33-8E02-4944-BEF8-D0EE444AC901}</x14:id>
        </ext>
      </extLst>
    </cfRule>
  </conditionalFormatting>
  <conditionalFormatting sqref="O17">
    <cfRule type="dataBar" priority="2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{3C734462-40B4-3848-945F-70E6CF536543}</x14:id>
        </ext>
      </extLst>
    </cfRule>
    <cfRule type="dataBar" priority="3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{942A15F5-4961-FA43-ABB0-E5B120C72E12}</x14:id>
        </ext>
      </extLst>
    </cfRule>
    <cfRule type="dataBar" priority="4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{9B96371B-E7D6-6046-A88C-96853F5F01D4}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{EEF6D330-C062-CF4D-BBF4-B1D14AE5345E}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C3C80F-6A5C-464C-8268-D75EC65C82B0}">
            <x14:dataBar minLength="0" maxLength="100" gradient="0">
              <x14:cfvo type="num">
                <xm:f>0</xm:f>
              </x14:cfvo>
              <x14:cfvo type="num">
                <xm:f>$N$18</xm:f>
              </x14:cfvo>
              <x14:negativeFillColor rgb="FFFF0000"/>
              <x14:axisColor rgb="FF000000"/>
            </x14:dataBar>
          </x14:cfRule>
          <xm:sqref>N7:N17</xm:sqref>
        </x14:conditionalFormatting>
        <x14:conditionalFormatting xmlns:xm="http://schemas.microsoft.com/office/excel/2006/main">
          <x14:cfRule type="dataBar" id="{4005A4D8-CD31-864B-B36B-89B06EA43938}">
            <x14:dataBar minLength="0" maxLength="100" gradient="0">
              <x14:cfvo type="num">
                <xm:f>0</xm:f>
              </x14:cfvo>
              <x14:cfvo type="num">
                <xm:f>$O$18</xm:f>
              </x14:cfvo>
              <x14:negativeFillColor theme="0"/>
              <x14:axisColor rgb="FF000000"/>
            </x14:dataBar>
          </x14:cfRule>
          <x14:cfRule type="dataBar" id="{E8688B7A-0983-1F4C-807F-4FA16A22B8AD}">
            <x14:dataBar minLength="0" maxLength="100" gradient="0">
              <x14:cfvo type="num">
                <xm:f>0</xm:f>
              </x14:cfvo>
              <x14:cfvo type="num">
                <xm:f>$O$18</xm:f>
              </x14:cfvo>
              <x14:negativeFillColor rgb="FFFF0000"/>
              <x14:axisColor rgb="FF000000"/>
            </x14:dataBar>
          </x14:cfRule>
          <x14:cfRule type="dataBar" id="{CA990C66-56B9-4C47-8B76-541E2EDB9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ECE1AE-1CC9-E94D-A132-5101B5CFCBA9}">
            <x14:dataBar minLength="0" maxLength="100" gradient="0">
              <x14:cfvo type="num">
                <xm:f>0</xm:f>
              </x14:cfvo>
              <x14:cfvo type="num">
                <xm:f>$O$18</xm:f>
              </x14:cfvo>
              <x14:negativeFillColor rgb="FFFF0000"/>
              <x14:axisColor rgb="FF000000"/>
            </x14:dataBar>
          </x14:cfRule>
          <x14:cfRule type="dataBar" id="{6F34DFEC-1383-C444-8490-9E1717DC6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CB9C07-0423-D841-902F-12BFD3026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2F66BF-B9BA-114D-85A5-5FA9A6C73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5D0E40-0DB3-5F4F-BBF8-974504ADD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F50A52-18D1-E64F-81C8-39BB8E5F7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742AE6-E08D-1545-9220-3295B4359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8F78D9-421B-8D40-B667-FDDE187EC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O7:O17</xm:sqref>
        </x14:conditionalFormatting>
        <x14:conditionalFormatting xmlns:xm="http://schemas.microsoft.com/office/excel/2006/main">
          <x14:cfRule type="dataBar" id="{6D2E4643-9507-DF49-9EE9-A35E40880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EC8D38-33E7-7C48-B06B-54CBFC5B9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8B0621-37CF-7340-A1FD-CC805F2F8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AB2A33-8E02-4944-BEF8-D0EE444AC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3C734462-40B4-3848-945F-70E6CF536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2A15F5-4961-FA43-ABB0-E5B120C72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96371B-E7D6-6046-A88C-96853F5F0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6D330-C062-CF4D-BBF4-B1D14AE53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BEF-66A4-4645-B01E-DE17107F08E4}">
  <dimension ref="B2:E10"/>
  <sheetViews>
    <sheetView zoomScaleNormal="130" workbookViewId="0">
      <selection activeCell="L26" sqref="L26"/>
    </sheetView>
  </sheetViews>
  <sheetFormatPr baseColWidth="10" defaultRowHeight="16"/>
  <cols>
    <col min="2" max="2" width="15.6640625" customWidth="1"/>
    <col min="3" max="3" width="17.1640625" customWidth="1"/>
    <col min="4" max="4" width="17" customWidth="1"/>
    <col min="5" max="5" width="18.5" customWidth="1"/>
  </cols>
  <sheetData>
    <row r="2" spans="2:5">
      <c r="B2" t="s">
        <v>254</v>
      </c>
      <c r="C2" s="24" t="s">
        <v>257</v>
      </c>
      <c r="D2" s="24" t="s">
        <v>255</v>
      </c>
      <c r="E2" t="s">
        <v>256</v>
      </c>
    </row>
    <row r="3" spans="2:5">
      <c r="B3">
        <v>2500</v>
      </c>
      <c r="C3">
        <v>1700</v>
      </c>
      <c r="D3">
        <v>4.28</v>
      </c>
      <c r="E3">
        <v>3</v>
      </c>
    </row>
    <row r="4" spans="2:5">
      <c r="B4">
        <v>2000</v>
      </c>
      <c r="C4">
        <v>1422</v>
      </c>
      <c r="D4">
        <v>3.72</v>
      </c>
      <c r="E4">
        <v>2.5</v>
      </c>
    </row>
    <row r="5" spans="2:5">
      <c r="B5">
        <v>1500</v>
      </c>
      <c r="C5">
        <v>1144</v>
      </c>
      <c r="D5">
        <v>3.15</v>
      </c>
      <c r="E5">
        <v>1.96</v>
      </c>
    </row>
    <row r="6" spans="2:5">
      <c r="B6">
        <v>1000</v>
      </c>
      <c r="C6">
        <v>866</v>
      </c>
      <c r="D6">
        <v>2.59</v>
      </c>
      <c r="E6">
        <v>1.41</v>
      </c>
    </row>
    <row r="7" spans="2:5">
      <c r="B7">
        <v>500</v>
      </c>
      <c r="C7">
        <v>588</v>
      </c>
      <c r="D7">
        <v>2.02</v>
      </c>
      <c r="E7">
        <v>0.87</v>
      </c>
    </row>
    <row r="8" spans="2:5">
      <c r="B8">
        <v>200</v>
      </c>
      <c r="C8">
        <v>422</v>
      </c>
      <c r="D8">
        <v>1.68</v>
      </c>
      <c r="E8">
        <v>0.55000000000000004</v>
      </c>
    </row>
    <row r="9" spans="2:5">
      <c r="B9">
        <v>100</v>
      </c>
      <c r="C9">
        <v>366</v>
      </c>
      <c r="D9">
        <v>1.57</v>
      </c>
      <c r="E9">
        <v>0.44</v>
      </c>
    </row>
    <row r="10" spans="2:5">
      <c r="B10">
        <v>0</v>
      </c>
      <c r="C10">
        <v>311</v>
      </c>
      <c r="D10">
        <v>1.46</v>
      </c>
      <c r="E10">
        <v>0.33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Cost table</vt:lpstr>
      <vt:lpstr>Example</vt:lpstr>
      <vt:lpstr>Hydrogen CH</vt:lpstr>
      <vt:lpstr>Sheet1</vt:lpstr>
      <vt:lpstr>Imp-H2</vt:lpstr>
      <vt:lpstr>CO2-CH4</vt:lpstr>
      <vt:lpstr>Methanol</vt:lpstr>
      <vt:lpstr>Imp-PSF</vt:lpstr>
      <vt:lpstr>Water dependence</vt:lpstr>
      <vt:lpstr>Heating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ZÜTTEL</dc:creator>
  <cp:lastModifiedBy>Georg Schwabedal</cp:lastModifiedBy>
  <cp:lastPrinted>2025-09-18T16:51:20Z</cp:lastPrinted>
  <dcterms:created xsi:type="dcterms:W3CDTF">2022-10-29T14:10:57Z</dcterms:created>
  <dcterms:modified xsi:type="dcterms:W3CDTF">2025-10-18T16:28:03Z</dcterms:modified>
</cp:coreProperties>
</file>