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\Documents\Uni\FPraktikum\Elektronenspinresonanz\Daten\"/>
    </mc:Choice>
  </mc:AlternateContent>
  <bookViews>
    <workbookView xWindow="0" yWindow="0" windowWidth="19200" windowHeight="83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L36" i="1"/>
  <c r="L37" i="1"/>
  <c r="L34" i="1"/>
  <c r="J36" i="1"/>
  <c r="M36" i="1" s="1"/>
  <c r="J37" i="1"/>
  <c r="J35" i="1"/>
  <c r="J34" i="1"/>
  <c r="K28" i="1"/>
  <c r="K29" i="1"/>
  <c r="K30" i="1"/>
  <c r="K27" i="1"/>
  <c r="J28" i="1"/>
  <c r="J29" i="1"/>
  <c r="J30" i="1"/>
  <c r="J27" i="1"/>
  <c r="M34" i="1"/>
  <c r="J39" i="1"/>
  <c r="K36" i="1"/>
  <c r="K37" i="1"/>
  <c r="K35" i="1"/>
  <c r="K34" i="1"/>
  <c r="I34" i="1"/>
  <c r="E35" i="1"/>
  <c r="E36" i="1"/>
  <c r="E37" i="1"/>
  <c r="E34" i="1"/>
  <c r="I36" i="1"/>
  <c r="I37" i="1"/>
  <c r="I35" i="1"/>
  <c r="D37" i="1"/>
  <c r="D35" i="1"/>
  <c r="D34" i="1"/>
  <c r="G2" i="1"/>
  <c r="H2" i="1"/>
  <c r="C39" i="1"/>
  <c r="C40" i="1"/>
  <c r="C41" i="1"/>
  <c r="E41" i="1" s="1"/>
  <c r="C38" i="1"/>
  <c r="E39" i="1"/>
  <c r="E40" i="1"/>
  <c r="H39" i="1"/>
  <c r="H40" i="1"/>
  <c r="H41" i="1"/>
  <c r="H38" i="1"/>
  <c r="E38" i="1"/>
  <c r="H35" i="1"/>
  <c r="H36" i="1"/>
  <c r="H37" i="1"/>
  <c r="H34" i="1"/>
  <c r="H28" i="1"/>
  <c r="H29" i="1"/>
  <c r="H30" i="1"/>
  <c r="H27" i="1"/>
  <c r="M35" i="1" l="1"/>
  <c r="L39" i="1" s="1"/>
  <c r="M37" i="1"/>
  <c r="E31" i="1"/>
  <c r="G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1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17" i="1" l="1"/>
</calcChain>
</file>

<file path=xl/sharedStrings.xml><?xml version="1.0" encoding="utf-8"?>
<sst xmlns="http://schemas.openxmlformats.org/spreadsheetml/2006/main" count="49" uniqueCount="45">
  <si>
    <t>Linearer Fit:</t>
  </si>
  <si>
    <t>Linear Regression of dataset: Table1_1, using function: A*x+B</t>
  </si>
  <si>
    <t>Weighting Method: Instrumental, using error bars dataset: Table1_4</t>
  </si>
  <si>
    <t>From x = 9.900000000000000e-01 to x = 2.030000000000000e+00</t>
  </si>
  <si>
    <t>B (y-intercept) = 4.024797945854677e-01 +/- 6.275888154769474e-03</t>
  </si>
  <si>
    <t>A (slope) = 2.135527064054180e+01 +/- 4.019417276897904e-03</t>
  </si>
  <si>
    <t>--------------------------------------------------------------------------------------</t>
  </si>
  <si>
    <t>Chi^2/doF = 1.375568449197170e+03</t>
  </si>
  <si>
    <t>R^2 = 0.999366908396681</t>
  </si>
  <si>
    <t>Adjusted R^2 = 0.999261393129461</t>
  </si>
  <si>
    <t>RMSE (Root Mean Squared Error) = 37.0886566108449</t>
  </si>
  <si>
    <t>RSS (Residual Sum of Squares) = 17'882.3898395632</t>
  </si>
  <si>
    <t>Frequenz[MHz]</t>
  </si>
  <si>
    <t>Strom[A]</t>
  </si>
  <si>
    <t>Vorfaktor</t>
  </si>
  <si>
    <t>Fehler f</t>
  </si>
  <si>
    <t>Fehler I</t>
  </si>
  <si>
    <t>g-Faktor</t>
  </si>
  <si>
    <t>(Fehler g)^2</t>
  </si>
  <si>
    <t>g-faktor aus fit:</t>
  </si>
  <si>
    <t xml:space="preserve">g = </t>
  </si>
  <si>
    <t>g-fehler:</t>
  </si>
  <si>
    <t>2.Experiment</t>
  </si>
  <si>
    <t>I_Helm</t>
  </si>
  <si>
    <t>Winkel u</t>
  </si>
  <si>
    <t>Fehler u</t>
  </si>
  <si>
    <t>Freqenz f</t>
  </si>
  <si>
    <t>B=c2 * I</t>
  </si>
  <si>
    <t>c2 [T/A]</t>
  </si>
  <si>
    <t>B_H [T]</t>
  </si>
  <si>
    <t>B_ges [T] =</t>
  </si>
  <si>
    <t>Fehler B_ges</t>
  </si>
  <si>
    <t>B_M[T]</t>
  </si>
  <si>
    <t>B_ges[T]</t>
  </si>
  <si>
    <t>Spulenstrom I</t>
  </si>
  <si>
    <t>ohne Magnet</t>
  </si>
  <si>
    <t>berechnet</t>
  </si>
  <si>
    <t>gemessen</t>
  </si>
  <si>
    <t>aus B_H</t>
  </si>
  <si>
    <t>aus u</t>
  </si>
  <si>
    <t>aus B_ges</t>
  </si>
  <si>
    <t>Gesamt</t>
  </si>
  <si>
    <t>Fehler</t>
  </si>
  <si>
    <t xml:space="preserve">B_M[T] = </t>
  </si>
  <si>
    <t>B_0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</si>
</sst>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0"/>
    <numFmt numFmtId="167" formatCode="0.00000"/>
    <numFmt numFmtId="168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11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0" fontId="0" fillId="0" borderId="13" xfId="0" applyBorder="1"/>
    <xf numFmtId="166" fontId="0" fillId="0" borderId="7" xfId="0" applyNumberFormat="1" applyBorder="1"/>
    <xf numFmtId="166" fontId="0" fillId="0" borderId="0" xfId="0" applyNumberFormat="1" applyBorder="1"/>
    <xf numFmtId="166" fontId="0" fillId="0" borderId="12" xfId="0" applyNumberFormat="1" applyBorder="1"/>
    <xf numFmtId="166" fontId="0" fillId="0" borderId="1" xfId="0" applyNumberFormat="1" applyBorder="1"/>
    <xf numFmtId="167" fontId="0" fillId="0" borderId="0" xfId="0" applyNumberFormat="1"/>
    <xf numFmtId="167" fontId="0" fillId="0" borderId="14" xfId="0" applyNumberFormat="1" applyBorder="1"/>
    <xf numFmtId="167" fontId="0" fillId="0" borderId="15" xfId="0" applyNumberFormat="1" applyBorder="1"/>
    <xf numFmtId="167" fontId="0" fillId="0" borderId="5" xfId="0" applyNumberFormat="1" applyBorder="1"/>
    <xf numFmtId="0" fontId="0" fillId="0" borderId="0" xfId="0" applyAlignment="1">
      <alignment horizontal="center"/>
    </xf>
    <xf numFmtId="168" fontId="0" fillId="0" borderId="0" xfId="0" applyNumberFormat="1"/>
    <xf numFmtId="166" fontId="0" fillId="0" borderId="15" xfId="0" applyNumberFormat="1" applyBorder="1"/>
    <xf numFmtId="0" fontId="0" fillId="0" borderId="14" xfId="0" applyBorder="1"/>
    <xf numFmtId="0" fontId="0" fillId="0" borderId="6" xfId="0" applyFill="1" applyBorder="1"/>
    <xf numFmtId="167" fontId="0" fillId="0" borderId="10" xfId="0" applyNumberFormat="1" applyBorder="1"/>
    <xf numFmtId="167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25" workbookViewId="0">
      <selection activeCell="K34" sqref="K34"/>
    </sheetView>
  </sheetViews>
  <sheetFormatPr baseColWidth="10" defaultRowHeight="15" x14ac:dyDescent="0.25"/>
  <cols>
    <col min="1" max="1" width="1.7109375" customWidth="1"/>
    <col min="2" max="2" width="14.140625" customWidth="1"/>
    <col min="3" max="3" width="8.7109375" customWidth="1"/>
    <col min="4" max="4" width="9.7109375" customWidth="1"/>
    <col min="5" max="5" width="10.5703125" customWidth="1"/>
    <col min="6" max="6" width="9.85546875" customWidth="1"/>
    <col min="7" max="7" width="10.42578125" customWidth="1"/>
    <col min="8" max="8" width="12" bestFit="1" customWidth="1"/>
    <col min="9" max="9" width="12.85546875" customWidth="1"/>
    <col min="10" max="10" width="9.42578125" customWidth="1"/>
    <col min="11" max="11" width="7.140625" customWidth="1"/>
    <col min="12" max="12" width="12.28515625" customWidth="1"/>
    <col min="13" max="13" width="8" customWidth="1"/>
  </cols>
  <sheetData>
    <row r="1" spans="1:8" ht="15.75" thickBot="1" x14ac:dyDescent="0.3">
      <c r="B1" s="3" t="s">
        <v>12</v>
      </c>
      <c r="C1" s="4" t="s">
        <v>13</v>
      </c>
      <c r="D1" s="4" t="s">
        <v>15</v>
      </c>
      <c r="E1" s="4" t="s">
        <v>16</v>
      </c>
      <c r="F1" s="4" t="s">
        <v>14</v>
      </c>
      <c r="G1" s="4" t="s">
        <v>17</v>
      </c>
      <c r="H1" s="5" t="s">
        <v>18</v>
      </c>
    </row>
    <row r="2" spans="1:8" x14ac:dyDescent="0.25">
      <c r="A2" s="1"/>
      <c r="B2" s="7">
        <v>21.7</v>
      </c>
      <c r="C2" s="8">
        <v>0.99</v>
      </c>
      <c r="D2" s="8">
        <v>0.05</v>
      </c>
      <c r="E2" s="12">
        <v>0.02</v>
      </c>
      <c r="F2" s="9">
        <v>9.6120000000000003E-8</v>
      </c>
      <c r="G2" s="19">
        <f>F2*1000000 *B2/C2</f>
        <v>2.1068727272727275</v>
      </c>
      <c r="H2" s="10">
        <f>F2 *F2*((D2*1000000)^2 + (1000000*B2*E2/C2)^2)</f>
        <v>1.7986627115702477E-3</v>
      </c>
    </row>
    <row r="3" spans="1:8" x14ac:dyDescent="0.25">
      <c r="A3" s="1"/>
      <c r="B3" s="11">
        <v>23.4</v>
      </c>
      <c r="C3" s="12">
        <v>1.08</v>
      </c>
      <c r="D3" s="12">
        <v>0.05</v>
      </c>
      <c r="E3" s="12">
        <v>0.02</v>
      </c>
      <c r="F3" s="13">
        <v>9.6120000000000003E-8</v>
      </c>
      <c r="G3" s="20">
        <f t="shared" ref="G3:G16" si="0">F3*10^6 *B3/C3</f>
        <v>2.0825999999999998</v>
      </c>
      <c r="H3" s="14">
        <f t="shared" ref="H3:H16" si="1">F3 *F3*((D3*1000000)^2 + (1000000*B3*E3/C3)^2)</f>
        <v>1.7579867399999999E-3</v>
      </c>
    </row>
    <row r="4" spans="1:8" x14ac:dyDescent="0.25">
      <c r="A4" s="1"/>
      <c r="B4" s="11">
        <v>25.5</v>
      </c>
      <c r="C4" s="12">
        <v>1.17</v>
      </c>
      <c r="D4" s="12">
        <v>0.05</v>
      </c>
      <c r="E4" s="12">
        <v>0.02</v>
      </c>
      <c r="F4" s="13">
        <v>9.6120000000000003E-8</v>
      </c>
      <c r="G4" s="20">
        <f t="shared" si="0"/>
        <v>2.0949230769230769</v>
      </c>
      <c r="H4" s="14">
        <f t="shared" si="1"/>
        <v>1.7785787152899411E-3</v>
      </c>
    </row>
    <row r="5" spans="1:8" x14ac:dyDescent="0.25">
      <c r="A5" s="1"/>
      <c r="B5" s="11">
        <v>26.9</v>
      </c>
      <c r="C5" s="12">
        <v>1.24</v>
      </c>
      <c r="D5" s="12">
        <v>0.1</v>
      </c>
      <c r="E5" s="12">
        <v>0.02</v>
      </c>
      <c r="F5" s="13">
        <v>9.6120000000000003E-8</v>
      </c>
      <c r="G5" s="20">
        <f t="shared" si="0"/>
        <v>2.0851838709677417</v>
      </c>
      <c r="H5" s="14">
        <f t="shared" si="1"/>
        <v>1.8315872542976068E-3</v>
      </c>
    </row>
    <row r="6" spans="1:8" x14ac:dyDescent="0.25">
      <c r="A6" s="1"/>
      <c r="B6" s="11">
        <v>28.2</v>
      </c>
      <c r="C6" s="12">
        <v>1.3</v>
      </c>
      <c r="D6" s="12">
        <v>0.2</v>
      </c>
      <c r="E6" s="12">
        <v>0.02</v>
      </c>
      <c r="F6" s="13">
        <v>9.6120000000000003E-8</v>
      </c>
      <c r="G6" s="20">
        <f t="shared" si="0"/>
        <v>2.0850646153846153</v>
      </c>
      <c r="H6" s="14">
        <f t="shared" si="1"/>
        <v>2.1085599561315974E-3</v>
      </c>
    </row>
    <row r="7" spans="1:8" x14ac:dyDescent="0.25">
      <c r="A7" s="1"/>
      <c r="B7" s="11">
        <v>29.9</v>
      </c>
      <c r="C7" s="12">
        <v>1.39</v>
      </c>
      <c r="D7" s="12">
        <v>0.3</v>
      </c>
      <c r="E7" s="12">
        <v>0.02</v>
      </c>
      <c r="F7" s="13">
        <v>9.6120000000000003E-8</v>
      </c>
      <c r="G7" s="20">
        <f t="shared" si="0"/>
        <v>2.0676172661870504</v>
      </c>
      <c r="H7" s="14">
        <f t="shared" si="1"/>
        <v>2.5415313597739247E-3</v>
      </c>
    </row>
    <row r="8" spans="1:8" x14ac:dyDescent="0.25">
      <c r="A8" s="1"/>
      <c r="B8" s="11">
        <v>31.4</v>
      </c>
      <c r="C8" s="12">
        <v>1.45</v>
      </c>
      <c r="D8" s="12">
        <v>0.2</v>
      </c>
      <c r="E8" s="12">
        <v>0.02</v>
      </c>
      <c r="F8" s="13">
        <v>9.6120000000000003E-8</v>
      </c>
      <c r="G8" s="20">
        <f t="shared" si="0"/>
        <v>2.0814951724137929</v>
      </c>
      <c r="H8" s="14">
        <f t="shared" si="1"/>
        <v>2.1026110371127706E-3</v>
      </c>
    </row>
    <row r="9" spans="1:8" x14ac:dyDescent="0.25">
      <c r="A9" s="1"/>
      <c r="B9" s="11">
        <v>32.799999999999997</v>
      </c>
      <c r="C9" s="12">
        <v>1.52</v>
      </c>
      <c r="D9" s="12">
        <v>0.2</v>
      </c>
      <c r="E9" s="12">
        <v>0.02</v>
      </c>
      <c r="F9" s="13">
        <v>9.6120000000000003E-8</v>
      </c>
      <c r="G9" s="20">
        <f t="shared" si="0"/>
        <v>2.0741684210526312</v>
      </c>
      <c r="H9" s="14">
        <f t="shared" si="1"/>
        <v>2.090432031556786E-3</v>
      </c>
    </row>
    <row r="10" spans="1:8" x14ac:dyDescent="0.25">
      <c r="A10" s="1"/>
      <c r="B10" s="11">
        <v>34.299999999999997</v>
      </c>
      <c r="C10" s="12">
        <v>1.59</v>
      </c>
      <c r="D10" s="12">
        <v>0.3</v>
      </c>
      <c r="E10" s="12">
        <v>0.02</v>
      </c>
      <c r="F10" s="13">
        <v>9.6120000000000003E-8</v>
      </c>
      <c r="G10" s="20">
        <f t="shared" si="0"/>
        <v>2.0735320754716975</v>
      </c>
      <c r="H10" s="14">
        <f t="shared" si="1"/>
        <v>2.5513290032039872E-3</v>
      </c>
    </row>
    <row r="11" spans="1:8" x14ac:dyDescent="0.25">
      <c r="A11" s="1"/>
      <c r="B11" s="11">
        <v>36.299999999999997</v>
      </c>
      <c r="C11" s="12">
        <v>1.68</v>
      </c>
      <c r="D11" s="12">
        <v>0.2</v>
      </c>
      <c r="E11" s="12">
        <v>0.02</v>
      </c>
      <c r="F11" s="13">
        <v>9.6120000000000003E-8</v>
      </c>
      <c r="G11" s="20">
        <f t="shared" si="0"/>
        <v>2.0768785714285714</v>
      </c>
      <c r="H11" s="14">
        <f t="shared" si="1"/>
        <v>2.0949320161836736E-3</v>
      </c>
    </row>
    <row r="12" spans="1:8" x14ac:dyDescent="0.25">
      <c r="A12" s="1"/>
      <c r="B12" s="11">
        <v>37.9</v>
      </c>
      <c r="C12" s="12">
        <v>1.76</v>
      </c>
      <c r="D12" s="12">
        <v>0.2</v>
      </c>
      <c r="E12" s="12">
        <v>0.02</v>
      </c>
      <c r="F12" s="13">
        <v>9.6120000000000003E-8</v>
      </c>
      <c r="G12" s="20">
        <f t="shared" si="0"/>
        <v>2.069856818181818</v>
      </c>
      <c r="H12" s="14">
        <f t="shared" si="1"/>
        <v>2.0832850751095044E-3</v>
      </c>
    </row>
    <row r="13" spans="1:8" x14ac:dyDescent="0.25">
      <c r="A13" s="1"/>
      <c r="B13" s="11">
        <v>39.5</v>
      </c>
      <c r="C13" s="12">
        <v>1.85</v>
      </c>
      <c r="D13" s="12">
        <v>0.2</v>
      </c>
      <c r="E13" s="12">
        <v>0.02</v>
      </c>
      <c r="F13" s="13">
        <v>9.6120000000000003E-8</v>
      </c>
      <c r="G13" s="20">
        <f t="shared" si="0"/>
        <v>2.0522918918918918</v>
      </c>
      <c r="H13" s="14">
        <f t="shared" si="1"/>
        <v>2.0543229798100798E-3</v>
      </c>
    </row>
    <row r="14" spans="1:8" x14ac:dyDescent="0.25">
      <c r="A14" s="1"/>
      <c r="B14" s="11">
        <v>41.1</v>
      </c>
      <c r="C14" s="12">
        <v>1.91</v>
      </c>
      <c r="D14" s="12">
        <v>0.2</v>
      </c>
      <c r="E14" s="12">
        <v>0.02</v>
      </c>
      <c r="F14" s="13">
        <v>9.6120000000000003E-8</v>
      </c>
      <c r="G14" s="20">
        <f t="shared" si="0"/>
        <v>2.0683413612565444</v>
      </c>
      <c r="H14" s="14">
        <f t="shared" si="1"/>
        <v>2.0807765706738306E-3</v>
      </c>
    </row>
    <row r="15" spans="1:8" x14ac:dyDescent="0.25">
      <c r="A15" s="1"/>
      <c r="B15" s="11">
        <v>42.6</v>
      </c>
      <c r="C15" s="12">
        <v>1.96</v>
      </c>
      <c r="D15" s="12">
        <v>0.3</v>
      </c>
      <c r="E15" s="12">
        <v>0.02</v>
      </c>
      <c r="F15" s="13">
        <v>9.6120000000000003E-8</v>
      </c>
      <c r="G15" s="20">
        <f t="shared" si="0"/>
        <v>2.0891387755102042</v>
      </c>
      <c r="H15" s="14">
        <f t="shared" si="1"/>
        <v>2.5773152253361102E-3</v>
      </c>
    </row>
    <row r="16" spans="1:8" ht="15.75" thickBot="1" x14ac:dyDescent="0.3">
      <c r="A16" s="1"/>
      <c r="B16" s="15">
        <v>44</v>
      </c>
      <c r="C16" s="16">
        <v>2.0299999999999998</v>
      </c>
      <c r="D16" s="16">
        <v>0.2</v>
      </c>
      <c r="E16" s="16">
        <v>0.02</v>
      </c>
      <c r="F16" s="17">
        <v>9.6120000000000003E-8</v>
      </c>
      <c r="G16" s="21">
        <f t="shared" si="0"/>
        <v>2.0833891625615766</v>
      </c>
      <c r="H16" s="18">
        <f t="shared" si="1"/>
        <v>2.1057663370716113E-3</v>
      </c>
    </row>
    <row r="17" spans="2:13" ht="15.75" thickBot="1" x14ac:dyDescent="0.3">
      <c r="B17" s="1"/>
      <c r="G17" s="29">
        <f>SUM(G2:G16)/COUNT(G2:G16)</f>
        <v>2.0794235871002629</v>
      </c>
      <c r="H17" s="6">
        <f>SQRT(SUM(H2:H16))/COUNT(H2:H16)</f>
        <v>1.1842987050594151E-2</v>
      </c>
    </row>
    <row r="18" spans="2:13" x14ac:dyDescent="0.25">
      <c r="B18" s="7" t="s">
        <v>0</v>
      </c>
      <c r="C18" s="8"/>
      <c r="D18" s="8"/>
      <c r="E18" s="8"/>
      <c r="F18" s="8"/>
      <c r="G18" s="10"/>
    </row>
    <row r="19" spans="2:13" x14ac:dyDescent="0.25">
      <c r="B19" s="11" t="s">
        <v>1</v>
      </c>
      <c r="C19" s="12"/>
      <c r="D19" s="12"/>
      <c r="E19" s="12"/>
      <c r="F19" s="12"/>
      <c r="G19" s="14"/>
    </row>
    <row r="20" spans="2:13" x14ac:dyDescent="0.25">
      <c r="B20" s="11" t="s">
        <v>2</v>
      </c>
      <c r="C20" s="12"/>
      <c r="D20" s="12"/>
      <c r="E20" s="12"/>
      <c r="F20" s="12"/>
      <c r="G20" s="14"/>
    </row>
    <row r="21" spans="2:13" x14ac:dyDescent="0.25">
      <c r="B21" s="11" t="s">
        <v>3</v>
      </c>
      <c r="C21" s="12"/>
      <c r="D21" s="12"/>
      <c r="E21" s="12"/>
      <c r="F21" s="12"/>
      <c r="G21" s="14"/>
    </row>
    <row r="22" spans="2:13" x14ac:dyDescent="0.25">
      <c r="B22" s="11" t="s">
        <v>4</v>
      </c>
      <c r="C22" s="12"/>
      <c r="D22" s="12"/>
      <c r="E22" s="12"/>
      <c r="F22" s="12"/>
      <c r="G22" s="14"/>
    </row>
    <row r="23" spans="2:13" x14ac:dyDescent="0.25">
      <c r="B23" s="11" t="s">
        <v>5</v>
      </c>
      <c r="C23" s="12"/>
      <c r="D23" s="12"/>
      <c r="E23" s="12"/>
      <c r="F23" s="12"/>
      <c r="G23" s="14"/>
    </row>
    <row r="24" spans="2:13" x14ac:dyDescent="0.25">
      <c r="B24" s="11" t="s">
        <v>6</v>
      </c>
      <c r="C24" s="12"/>
      <c r="D24" s="12"/>
      <c r="E24" s="12"/>
      <c r="F24" s="12"/>
      <c r="G24" s="14"/>
    </row>
    <row r="25" spans="2:13" x14ac:dyDescent="0.25">
      <c r="B25" s="11" t="s">
        <v>7</v>
      </c>
      <c r="C25" s="12"/>
      <c r="D25" s="12"/>
      <c r="E25" s="12"/>
      <c r="F25" s="12"/>
      <c r="G25" s="14"/>
      <c r="H25" t="s">
        <v>27</v>
      </c>
      <c r="I25" t="s">
        <v>35</v>
      </c>
    </row>
    <row r="26" spans="2:13" x14ac:dyDescent="0.25">
      <c r="B26" s="11" t="s">
        <v>8</v>
      </c>
      <c r="C26" s="12"/>
      <c r="D26" s="12"/>
      <c r="E26" s="12"/>
      <c r="F26" s="12"/>
      <c r="G26" s="14"/>
      <c r="H26" t="s">
        <v>28</v>
      </c>
      <c r="I26" t="s">
        <v>34</v>
      </c>
      <c r="J26" t="s">
        <v>44</v>
      </c>
      <c r="K26" t="s">
        <v>42</v>
      </c>
    </row>
    <row r="27" spans="2:13" x14ac:dyDescent="0.25">
      <c r="B27" s="11" t="s">
        <v>9</v>
      </c>
      <c r="C27" s="12"/>
      <c r="D27" s="12"/>
      <c r="E27" s="12"/>
      <c r="F27" s="12"/>
      <c r="G27" s="14"/>
      <c r="H27">
        <f>0.00074332</f>
        <v>7.4332000000000001E-4</v>
      </c>
      <c r="I27">
        <v>1.38</v>
      </c>
      <c r="J27">
        <f>I27*H27</f>
        <v>1.0257815999999999E-3</v>
      </c>
      <c r="K27">
        <f>H27*0.02</f>
        <v>1.4866400000000001E-5</v>
      </c>
    </row>
    <row r="28" spans="2:13" x14ac:dyDescent="0.25">
      <c r="B28" s="11" t="s">
        <v>10</v>
      </c>
      <c r="C28" s="12"/>
      <c r="D28" s="12"/>
      <c r="E28" s="12"/>
      <c r="F28" s="12"/>
      <c r="G28" s="14"/>
      <c r="H28">
        <f t="shared" ref="H28:H30" si="2">0.00074332</f>
        <v>7.4332000000000001E-4</v>
      </c>
      <c r="I28">
        <v>1.38</v>
      </c>
      <c r="J28">
        <f t="shared" ref="J28:J30" si="3">I28*H28</f>
        <v>1.0257815999999999E-3</v>
      </c>
      <c r="K28">
        <f t="shared" ref="K28:K30" si="4">H28*0.02</f>
        <v>1.4866400000000001E-5</v>
      </c>
    </row>
    <row r="29" spans="2:13" ht="15.75" thickBot="1" x14ac:dyDescent="0.3">
      <c r="B29" s="15" t="s">
        <v>11</v>
      </c>
      <c r="C29" s="16"/>
      <c r="D29" s="16"/>
      <c r="E29" s="16"/>
      <c r="F29" s="16"/>
      <c r="G29" s="18"/>
      <c r="H29">
        <f t="shared" si="2"/>
        <v>7.4332000000000001E-4</v>
      </c>
      <c r="I29">
        <v>1.38</v>
      </c>
      <c r="J29">
        <f t="shared" si="3"/>
        <v>1.0257815999999999E-3</v>
      </c>
      <c r="K29">
        <f t="shared" si="4"/>
        <v>1.4866400000000001E-5</v>
      </c>
    </row>
    <row r="30" spans="2:13" ht="15.75" thickBot="1" x14ac:dyDescent="0.3">
      <c r="H30">
        <f t="shared" si="2"/>
        <v>7.4332000000000001E-4</v>
      </c>
      <c r="I30">
        <v>1.38</v>
      </c>
      <c r="J30">
        <f t="shared" si="3"/>
        <v>1.0257815999999999E-3</v>
      </c>
      <c r="K30">
        <f t="shared" si="4"/>
        <v>1.4866400000000001E-5</v>
      </c>
    </row>
    <row r="31" spans="2:13" ht="15.75" thickBot="1" x14ac:dyDescent="0.3">
      <c r="B31" t="s">
        <v>19</v>
      </c>
      <c r="D31" t="s">
        <v>20</v>
      </c>
      <c r="E31" s="22">
        <f>F16*10^6 * 21.355</f>
        <v>2.0526426</v>
      </c>
      <c r="F31" t="s">
        <v>21</v>
      </c>
      <c r="G31" s="2">
        <f>F16*10^6 * 4.02*10^(-3)</f>
        <v>3.8640239999999991E-4</v>
      </c>
    </row>
    <row r="32" spans="2:13" ht="15.75" thickBot="1" x14ac:dyDescent="0.3">
      <c r="B32" s="30" t="s">
        <v>22</v>
      </c>
      <c r="J32" s="27" t="s">
        <v>42</v>
      </c>
      <c r="K32" s="27"/>
      <c r="L32" s="27"/>
      <c r="M32" s="27"/>
    </row>
    <row r="33" spans="2:13" ht="15.75" thickBot="1" x14ac:dyDescent="0.3">
      <c r="B33" s="31" t="s">
        <v>23</v>
      </c>
      <c r="C33" s="8" t="s">
        <v>16</v>
      </c>
      <c r="D33" s="8" t="s">
        <v>24</v>
      </c>
      <c r="E33" s="8" t="s">
        <v>25</v>
      </c>
      <c r="F33" s="8" t="s">
        <v>26</v>
      </c>
      <c r="G33" s="8" t="s">
        <v>15</v>
      </c>
      <c r="H33" s="10" t="s">
        <v>29</v>
      </c>
      <c r="I33" s="2" t="s">
        <v>32</v>
      </c>
      <c r="J33" t="s">
        <v>38</v>
      </c>
      <c r="K33" t="s">
        <v>39</v>
      </c>
      <c r="L33" t="s">
        <v>40</v>
      </c>
      <c r="M33" t="s">
        <v>41</v>
      </c>
    </row>
    <row r="34" spans="2:13" x14ac:dyDescent="0.25">
      <c r="B34" s="11">
        <v>2.1800000000000002</v>
      </c>
      <c r="C34" s="12">
        <v>5.0000000000000001E-3</v>
      </c>
      <c r="D34" s="12">
        <f>180*2*PI()/360</f>
        <v>3.1415926535897931</v>
      </c>
      <c r="E34" s="12">
        <f>7*2*PI()/360</f>
        <v>0.12217304763960307</v>
      </c>
      <c r="F34" s="12">
        <v>29.9</v>
      </c>
      <c r="G34" s="12">
        <v>0.1</v>
      </c>
      <c r="H34" s="32">
        <f>H27*B34</f>
        <v>1.6204376000000002E-3</v>
      </c>
      <c r="I34" s="24">
        <f>-H34*COS(D34)-SQRT(-(H34*SIN(D34))^2+H38^2)</f>
        <v>5.9465600000000026E-4</v>
      </c>
      <c r="J34">
        <f>(-COS(D34)- (COS(E34)^2 -1)*H34/SQRT(-(H34*SIN(D34))^2+H38^2))^2*( E2*H27)^2</f>
        <v>2.3150220564124933E-10</v>
      </c>
      <c r="K34">
        <f>(H34*SIN(D34) - H34^2 * COS(D34)*SIN(D34)/SQRT(-(H34*SIN(D34))^2+H38^2))^2 *E34^2</f>
        <v>3.9150264031923148E-39</v>
      </c>
      <c r="L34">
        <f>(J27/SQRT(-(H34*SIN(D34))^2+H38^2))^2 * (H27*E2)^2</f>
        <v>2.2100984896000001E-10</v>
      </c>
      <c r="M34">
        <f>SQRT(J34^2+K34^2+L34^2)</f>
        <v>3.2006034517585163E-10</v>
      </c>
    </row>
    <row r="35" spans="2:13" x14ac:dyDescent="0.25">
      <c r="B35" s="11">
        <v>1.1299999999999999</v>
      </c>
      <c r="C35" s="12">
        <v>5.0000000000000001E-3</v>
      </c>
      <c r="D35" s="12">
        <f>270*2*PI()/360</f>
        <v>4.7123889803846897</v>
      </c>
      <c r="E35" s="12">
        <f t="shared" ref="E35:E37" si="5">7*2*PI()/360</f>
        <v>0.12217304763960307</v>
      </c>
      <c r="F35" s="12">
        <v>29.9</v>
      </c>
      <c r="G35" s="12">
        <v>0.1</v>
      </c>
      <c r="H35" s="32">
        <f t="shared" ref="H35:H37" si="6">H28*B35</f>
        <v>8.399515999999999E-4</v>
      </c>
      <c r="I35" s="25">
        <f>-H35*COS(D35)+SQRT(-(H35*COS(D35))^2 + H39^2 - H35^2)</f>
        <v>5.8882017675687725E-4</v>
      </c>
      <c r="J35">
        <f>(-COS(D35)+ (COS(E35)^2 -1)*H35/SQRT(-(H35*SIN(D35))^2+H39^2))^2*( E3*H28)^2</f>
        <v>1.9567789798659731E-14</v>
      </c>
      <c r="K35">
        <f>(H35*SIN(D35) + H35^2 * COS(D35)*SIN(D35)/SQRT(-(H35*SIN(D35))^2+H39^2))^2 *E35^2</f>
        <v>1.053075087010897E-8</v>
      </c>
      <c r="L35">
        <f t="shared" ref="L35:L37" si="7">(J28/SQRT(-(H35*SIN(D35))^2+H39^2))^2 * (H28*E3)^2</f>
        <v>1.3230162397743811E-10</v>
      </c>
      <c r="M35">
        <f t="shared" ref="M35:M37" si="8">SQRT(J35^2+K35^2+L35^2)</f>
        <v>1.0531581913862265E-8</v>
      </c>
    </row>
    <row r="36" spans="2:13" x14ac:dyDescent="0.25">
      <c r="B36" s="11">
        <v>0.62</v>
      </c>
      <c r="C36" s="12">
        <v>5.0000000000000001E-3</v>
      </c>
      <c r="D36" s="12">
        <v>0</v>
      </c>
      <c r="E36" s="12">
        <f t="shared" si="5"/>
        <v>0.12217304763960307</v>
      </c>
      <c r="F36" s="12">
        <v>29.9</v>
      </c>
      <c r="G36" s="12">
        <v>0.1</v>
      </c>
      <c r="H36" s="32">
        <f t="shared" si="6"/>
        <v>4.608584E-4</v>
      </c>
      <c r="I36" s="25">
        <f>-H36*COS(D36)+SQRT(-(H36*COS(D36))^2 + H40^2 - H36^2)</f>
        <v>5.649231999999999E-4</v>
      </c>
      <c r="J36">
        <f t="shared" ref="J36:J37" si="9">(-COS(D36)+ (COS(E36)^2 -1)*H36/SQRT(-(H36*SIN(D36))^2+H40^2))^2*( E4*H29)^2</f>
        <v>2.2396915387594847E-10</v>
      </c>
      <c r="K36">
        <f t="shared" ref="K36:K37" si="10">(H36*SIN(D36) + H36^2 * COS(D36)*SIN(D36)/SQRT(-(H36*SIN(D36))^2+H40^2))^2 *E36^2</f>
        <v>0</v>
      </c>
      <c r="L36">
        <f t="shared" si="7"/>
        <v>2.2100984896000001E-10</v>
      </c>
      <c r="M36">
        <f t="shared" si="8"/>
        <v>3.1465462848213484E-10</v>
      </c>
    </row>
    <row r="37" spans="2:13" ht="15.75" thickBot="1" x14ac:dyDescent="0.3">
      <c r="B37" s="15">
        <v>1.28</v>
      </c>
      <c r="C37" s="16">
        <v>5.0000000000000001E-3</v>
      </c>
      <c r="D37" s="16">
        <f>90*2*PI()/360</f>
        <v>1.5707963267948966</v>
      </c>
      <c r="E37" s="16">
        <f t="shared" si="5"/>
        <v>0.12217304763960307</v>
      </c>
      <c r="F37" s="16">
        <v>29.9</v>
      </c>
      <c r="G37" s="16">
        <v>0.1</v>
      </c>
      <c r="H37" s="33">
        <f t="shared" si="6"/>
        <v>9.5144960000000003E-4</v>
      </c>
      <c r="I37" s="26">
        <f>-H37*COS(D37)+SQRT(-(H37*COS(D37))^2 + H41^2 - H37^2)</f>
        <v>3.8336868619959013E-4</v>
      </c>
      <c r="J37">
        <f t="shared" si="9"/>
        <v>2.2545652882546988E-14</v>
      </c>
      <c r="K37">
        <f t="shared" si="10"/>
        <v>1.351208569628518E-8</v>
      </c>
      <c r="L37">
        <f t="shared" si="7"/>
        <v>1.1880183932466521E-10</v>
      </c>
      <c r="M37">
        <f t="shared" si="8"/>
        <v>1.3512607954843127E-8</v>
      </c>
    </row>
    <row r="38" spans="2:13" ht="15.75" thickBot="1" x14ac:dyDescent="0.3">
      <c r="B38" s="6" t="s">
        <v>30</v>
      </c>
      <c r="C38">
        <f>2*PI()*1.698*10^-4</f>
        <v>1.0668848651590936E-3</v>
      </c>
      <c r="D38" t="s">
        <v>31</v>
      </c>
      <c r="E38">
        <f>C38*0.1/29.9</f>
        <v>3.5681768065521527E-6</v>
      </c>
      <c r="G38" t="s">
        <v>33</v>
      </c>
      <c r="H38" s="23">
        <f>H27*I27</f>
        <v>1.0257815999999999E-3</v>
      </c>
    </row>
    <row r="39" spans="2:13" ht="15.75" thickBot="1" x14ac:dyDescent="0.3">
      <c r="B39" t="s">
        <v>36</v>
      </c>
      <c r="C39">
        <f t="shared" ref="C39:C41" si="11">2*PI()*1.698*10^-4</f>
        <v>1.0668848651590936E-3</v>
      </c>
      <c r="E39">
        <f t="shared" ref="E39:E41" si="12">C39*0.1/29.9</f>
        <v>3.5681768065521527E-6</v>
      </c>
      <c r="G39" t="s">
        <v>37</v>
      </c>
      <c r="H39" s="23">
        <f t="shared" ref="H39:H41" si="13">H28*I28</f>
        <v>1.0257815999999999E-3</v>
      </c>
      <c r="I39" s="2" t="s">
        <v>43</v>
      </c>
      <c r="J39">
        <f>SUM(I34:I37)/COUNT(I34:I37)</f>
        <v>5.3294201573911683E-4</v>
      </c>
      <c r="K39" s="2" t="s">
        <v>42</v>
      </c>
      <c r="L39" s="28">
        <f xml:space="preserve"> 0.25*SQRT(M34^2+M35^2+M36^2+M37^2)</f>
        <v>4.2844649425968276E-9</v>
      </c>
    </row>
    <row r="40" spans="2:13" x14ac:dyDescent="0.25">
      <c r="C40">
        <f t="shared" si="11"/>
        <v>1.0668848651590936E-3</v>
      </c>
      <c r="E40">
        <f t="shared" si="12"/>
        <v>3.5681768065521527E-6</v>
      </c>
      <c r="H40" s="23">
        <f t="shared" si="13"/>
        <v>1.0257815999999999E-3</v>
      </c>
    </row>
    <row r="41" spans="2:13" x14ac:dyDescent="0.25">
      <c r="C41">
        <f t="shared" si="11"/>
        <v>1.0668848651590936E-3</v>
      </c>
      <c r="E41">
        <f t="shared" si="12"/>
        <v>3.5681768065521527E-6</v>
      </c>
      <c r="H41" s="23">
        <f t="shared" si="13"/>
        <v>1.0257815999999999E-3</v>
      </c>
    </row>
  </sheetData>
  <mergeCells count="1">
    <mergeCell ref="J32:M32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</dc:creator>
  <cp:lastModifiedBy>Georg</cp:lastModifiedBy>
  <cp:lastPrinted>2015-05-02T12:44:40Z</cp:lastPrinted>
  <dcterms:created xsi:type="dcterms:W3CDTF">2015-05-01T17:40:35Z</dcterms:created>
  <dcterms:modified xsi:type="dcterms:W3CDTF">2015-05-02T13:47:50Z</dcterms:modified>
</cp:coreProperties>
</file>