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075" tabRatio="500" firstSheet="4" activeTab="6"/>
  </bookViews>
  <sheets>
    <sheet name="REGOLE GENERALI" sheetId="1" r:id="rId1"/>
    <sheet name="TABDATI" sheetId="2" r:id="rId2"/>
    <sheet name="TABBASE" sheetId="3" r:id="rId3"/>
    <sheet name="ANAGRAFICA" sheetId="4" r:id="rId4"/>
    <sheet name="INFO" sheetId="5" r:id="rId5"/>
    <sheet name="DATI" sheetId="6" r:id="rId6"/>
    <sheet name="Fiumi" sheetId="7" r:id="rId7"/>
    <sheet name="Fiumi_inpotab" sheetId="8" r:id="rId8"/>
    <sheet name="Laghi" sheetId="9" r:id="rId9"/>
    <sheet name="Laghi_inpotab" sheetId="10" r:id="rId10"/>
    <sheet name="Pozzi" sheetId="11" r:id="rId11"/>
    <sheet name="Pozzi_pompe" sheetId="12" r:id="rId12"/>
    <sheet name="Pozzi_inpotab" sheetId="13" r:id="rId13"/>
    <sheet name="Sorgenti" sheetId="14" r:id="rId14"/>
    <sheet name="Sorgenti_inpotab" sheetId="15" r:id="rId15"/>
    <sheet name="Mari" sheetId="16" r:id="rId16"/>
    <sheet name="Mari_inpotab" sheetId="17" r:id="rId17"/>
    <sheet name="Mari_pompe" sheetId="18" r:id="rId18"/>
    <sheet name="Potabilizzatori" sheetId="19" r:id="rId19"/>
    <sheet name="Potab_pompe" sheetId="20" r:id="rId20"/>
    <sheet name="Adduttrici" sheetId="21" r:id="rId21"/>
    <sheet name="Addut_tronchi" sheetId="22" r:id="rId22"/>
    <sheet name="Accumuli" sheetId="23" r:id="rId23"/>
    <sheet name="Pompaggi" sheetId="24" r:id="rId24"/>
    <sheet name="Pompaggi_pompe" sheetId="25" r:id="rId25"/>
    <sheet name="Distribuzioni" sheetId="26" r:id="rId26"/>
    <sheet name="Distrib_tronchi" sheetId="27" r:id="rId27"/>
    <sheet name="Fognature" sheetId="28" r:id="rId28"/>
    <sheet name="Fognat_tronchi" sheetId="29" r:id="rId29"/>
    <sheet name="Sollevamenti" sheetId="30" r:id="rId30"/>
    <sheet name="Sollev_pompe" sheetId="31" r:id="rId31"/>
    <sheet name="Collettori" sheetId="32" r:id="rId32"/>
    <sheet name="Collett_tronchi" sheetId="33" r:id="rId33"/>
    <sheet name="Depuratori" sheetId="34" r:id="rId34"/>
    <sheet name="Depurat_pompe" sheetId="35" r:id="rId35"/>
    <sheet name="Scaricatori" sheetId="36" r:id="rId36"/>
    <sheet name="Condottemarine" sheetId="37" r:id="rId37"/>
  </sheets>
  <externalReferences>
    <externalReference r:id="rId38"/>
    <externalReference r:id="rId39"/>
    <externalReference r:id="rId40"/>
  </externalReferences>
  <definedNames>
    <definedName name="_xlnm._FilterDatabase" localSheetId="1" hidden="1">TABDATI!$A$1:$A$869</definedName>
    <definedName name="_xlnm._FilterDatabase" localSheetId="3" hidden="1">ANAGRAFICA!$A$2:$G$4916</definedName>
    <definedName name="Database" localSheetId="22">#REF!</definedName>
    <definedName name="Database" localSheetId="20">#REF!</definedName>
    <definedName name="Database" localSheetId="31">#REF!</definedName>
    <definedName name="Database" localSheetId="36">#REF!</definedName>
    <definedName name="Database" localSheetId="25">#REF!</definedName>
    <definedName name="Database" localSheetId="6">#REF!</definedName>
    <definedName name="Database" localSheetId="27">#REF!</definedName>
    <definedName name="Database" localSheetId="8">#REF!</definedName>
    <definedName name="Database" localSheetId="23">#REF!</definedName>
    <definedName name="Database" localSheetId="18">#REF!</definedName>
    <definedName name="Database" localSheetId="10">#REF!</definedName>
    <definedName name="Database" localSheetId="0">#REF!</definedName>
    <definedName name="Database" localSheetId="35">#REF!</definedName>
    <definedName name="Database" localSheetId="13">#REF!</definedName>
    <definedName name="Database">#REF!</definedName>
    <definedName name="FOGNATURAAIT18" localSheetId="28">Fognat_tronchi!$B$4:$AJ$5595</definedName>
    <definedName name="Tabella_Comuni">[1]codici_comuni!$A$4:$D$41</definedName>
  </definedNames>
  <calcPr calcId="144525"/>
</workbook>
</file>

<file path=xl/sharedStrings.xml><?xml version="1.0" encoding="utf-8"?>
<sst xmlns="http://schemas.openxmlformats.org/spreadsheetml/2006/main" count="25709" uniqueCount="13066">
  <si>
    <t>I fogli REGOLE GENERALI e TABDATI sono bloccati nelle celle con la versione AIT. Possono esssere aggiunte note e può essere revisionato il testo copiando la specifica cella.</t>
  </si>
  <si>
    <r>
      <rPr>
        <sz val="10"/>
        <rFont val="Calibri"/>
        <charset val="1"/>
      </rPr>
      <t xml:space="preserve">Nel caso di campo presente in più infrastrutture  (ad es. codice origine, descrizione impianto, etc...), la definizione per esteso - vedi colonna DESCRIZIONE CAMPO in foglio TABDATI  -  si trova solo la prima volta, mentre negli altri campi uguali è stata inserita una “formula” che copia la cella che contiene la definizione (la colonna J che contiene le descrizioni è formattata in modo da </t>
    </r>
    <r>
      <rPr>
        <u/>
        <sz val="10"/>
        <rFont val="Calibri"/>
        <charset val="1"/>
      </rPr>
      <t>mostrare la formula</t>
    </r>
    <r>
      <rPr>
        <sz val="10"/>
        <rFont val="Calibri"/>
        <charset val="1"/>
      </rPr>
      <t>): in caso di modifica di una di queste definizioni procedere in corrispondenza della cella in cui si trova la definizione per esteso, in tal modo si interviene con le correzioni una sola volta per tutti i campi.</t>
    </r>
  </si>
  <si>
    <t>Relativamente alla colonna I di TABDATI, si intende per:
- dato PRIORITARIO, dato individuato nell'invio prot. AIT  16514 del 23/12/2016. Si rileva inoltre che tutti gli anni, entro fine novembre, viene individuato l'elenco dei DATI ATTESI  per la consegna dell'anno successivo quale set di dati da ritenersi obbligatorio ai sensi del Disciplinare Tecnico vigente (rif. Del. Ass. AIT n. 8/2019).</t>
  </si>
  <si>
    <t>AGGIORNAMENTO DATI (campo DATA_UA)</t>
  </si>
  <si>
    <t>Data dell'ultimo aggiornamento di almeno uno dei dati dell'opera, espressa come gg/mm/aaaa.</t>
  </si>
  <si>
    <t>ANNO di COSTRUZIONE dell'opera, installazione del cloratore, perforazione del pozzo, installazione della pompa</t>
  </si>
  <si>
    <t>Anno di costruzione dell'opera, inteso come anno di realizzazione, espresso come "aaaa". Non utilizzare forme del tipo: anni 60 o '60.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</si>
  <si>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ANNO di MESSA IN OPERA del tronco di rete</t>
  </si>
  <si>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</si>
  <si>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ANNO di RISTRUTTURAZIONE</t>
  </si>
  <si>
    <t>Anno in cui è avvenuta l'ultima ristrutturazione dell'opera, espresso come "aaaa". Non utilizzare forme del tipo: anni 60 o '60.
L'anno di ristrutturazione deve essere successivo a quello di realizzazione dell'opera.
Si intende per ristrutturazione un intervento che migliora lo stato di conservazione dell'opera (opere civili e/o elettromeccaniche), con conseguente modifica del corrispondente campo relativo al livello di conservazione (VEDI TABELLA) o ne modifica le caratteristiche strutturali/funzionali (dimensioni, materiali, potenziamenti, etc...) e che in ogni caso concorrono al raggiungimento dello specifico Standard Tecnico. Non può essere precedente all'anno di costruzione. Nel caso in cui non sia stata effettuata alcuna ristrutturazione utilizzare il codice convenzionale 9800 per indicare EVENTO MAI VERIFICATO, associato, laddove richiesto, al corrispondente indice di confidenza di livello "A".
Se la ristrutturazione è stata effettuata ma l'anno in cui è avvenuta non risulta conosciuto come dato certo, potrebbe essere stimato in base alle conoscenze storiche dell'azienda, con rapida interlocuzione con i Comuni o in base all'età delle infrastrutture del SII ad essa collegate o all'età delle urbanizzazioni cui è destinata l'opera. A tali stime deve essere associato un indice di confidenza di livello "D".
Se, a seguito delle valutazioni di cui sopra, il dato non risulta conosciuto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registrate ristrutturazioni avvenute in anni successivi a quello di riferimento.</t>
  </si>
  <si>
    <t>CAMPI NUMERICI</t>
  </si>
  <si>
    <t>Per i campi numerici (interi e decimali), al fine di interpretare correttamente le celle vuote e le celle contenenti il dato ZERO, si stabilisce che:
- Se il dato conosciuto da inserire nello specifico campo è pari a ZERO, indicare ZERO e, laddove richiesto, indice di confidenza di livello "A" (ad esempio da un pozzo attivo non è stata prelevata acqua, un pompaggio che non ha consumato energia).
- I campi vuoti saranno invece considerati dati non compilati, salvo che questi non siano comunicati in una relazione di accompagnamento come eccezioni.</t>
  </si>
  <si>
    <t>CLORATORI, CENTRALI DI DISINFEZIONE E FONTANELLI ALTA QUALITA'</t>
  </si>
  <si>
    <t>Le clorazioni "dirette" sulle opere devono essere evidenziate tramite il campo id_tipo_clorazione presente per le opere Fiumi, Laghi, Pozzi, Sorgenti, Sollevamenti e Accumuli e non come potabilizzatori.
Le clorazioni "in linea" sulla rete devono essere evidenziate tramite gli specifici campi nelle altre opere interessate (reti, adduttrici, accumuli, etc...).
Le "centrali di disinfezione", intese come manufatti autonomi rispetto a reti e altre opere ove presenti clorazioni dirette o in linea, devono essere registrate fra i potabilizzatori.
I così detti "Fontanelli di Alta Qualità" o "Case dell'Acqua" non devono essere registrati fra i potabilizzatori, in quanto compresi in altre attività idriche così come definito con Delibera AEEGSI 664/2015/R/IDR all’Allegato 1, Titolo 1, Articolo 1.</t>
  </si>
  <si>
    <t>CODICI CONVENZIONALI</t>
  </si>
  <si>
    <t>9999 - DATO NON CONOSCIUTO = per i campi anno di costruzione o installazione o ristrutturazione nei casi in cui tale dato non risulta conosciuto, poiché non documentabile né da archivi né da memoria storica.
Laddove l'anno di costruzione non sia conosciuto come dato certo potrebbe essere stimato in base alle conoscenze storiche dell'azienda, a rapida interlocuzione con i Comuni o in base all'età delle infrastrutture del SII collegate all'opera o all'età delle urbanizzazioni cui la stessa è destinata. A tali stime deve essere associato un indice di confidenza di livello "D".
Se, a seguito delle valutazioni di cui sopra, il dato non risulta conosciuto utilizzare il codice convenzionale 9999 per indicare DATO NON CONOSCIUTO; in presenza del codice convenzionale 9999 deve essere indicato, laddove richiesto, il corrispondente indice di confidenza di livello "X".</t>
  </si>
  <si>
    <t>9800 - EVENTO MAI VERIFICATO = per anno di ristrutturazione laddove l’opera non è mai stata ristrutturata o in assenza di cloratore.
Nel caso in cui non sia stata effettuata alcuna ristrutturazione dell’opera utilizzare il codice convenzionale 9800 per indicare EVENTO MAI VERIFICATO, associato, laddove richiesto, al corrispondente indice di confidenza di livello "A".
Nel caso in cui non sia presente un cloratore utilizzare il codice convenzionale 9800 per indicare EVENTO MAI VERIFICATO associato, laddove richiesto, al corrispondente indice di confidenza di livello "A", sia per l’anno di costruzione che per l’anno di ristrutturazione.</t>
  </si>
  <si>
    <t>CODICE OPERA (campo IDS_CODICE)</t>
  </si>
  <si>
    <t>Codice univoco identificativo dell'opera, assegnato da AIT.
Non deve essere compilato dal Gestore.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</si>
  <si>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CODICE ORIGINE (campo IDS_CODICE_ORIGINE)</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</si>
  <si>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</si>
  <si>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DATI AGGREGATI</t>
  </si>
  <si>
    <t>Per i campi per i quali è ad oggi disponibile solo il dato aggregato a livello di ambito, di comune, ecc..., il dato di dettaglio deve essere stimato; i criteri di stima dovranno essere descritti in una relazione di accompagnamento. In tal caso il corrispondente indice di confidenza, laddove richiesto, non deve essere di livello "A".</t>
  </si>
  <si>
    <t>INDICI DI CONFIDENZA</t>
  </si>
  <si>
    <t>Indice di confidenza del dato - Indica il grado di affidabilità della specifica informazione secondo la seguente scala di qualità:
A (valore misurato sul campo) - Per i valori misurati direttamente sul campo, corrispondenti a dati provenienti da rilievi diretti, quali misure di lunghezza delle tubazioni, di portata, di volumi di contatori, di parametri analitici di qualità delle acque, ecc., oppure da elaborati progettuali esecutivi.
B (valore desunto da cartografia di base) - Per i valori desunti da analisi documentale o cartografica (scala da 1:500 a 1:10.000) ove, ad esempio, la lunghezza della rete o la quota di un invaso sia dedotta dalla cartografia di base.
C (valore dedotto da stime diretta del gestore) - Per i valori dedotti da stime dirette del Gestore nel caso in cui non sia disponibile una misura classificabile con “A” o con “B”, o sulla base di cartografia a piccola scala (1:25.000-1:100.000 ed oltre) o da stima diretta, quale ad esempio, il tempo di funzionamento di una pompa desumibile da registrazioni collaterali.
D (valore basato su stime indirette) - Per i valori fondati su stime indirette, basate su analogie con altri servizi, oppure da dati parametrici, attinti anche da letteratura, in funzione di elementi certi, quali gli abitanti o gli utenti serviti. Per i valori stimati in base alle conoscenze storiche dell'azienda, con rapida interlocuzione con i Comuni o in base all'età delle infrastrutture del SII ad essa collegate o all'età delle urbanizzazioni cui è destinata l'opera.
X - Non assegnabile perché non classificabile come "A", "B", "C" o "D".</t>
  </si>
  <si>
    <t>INDICE DI CONSERVAZIONE DELLE OPERE (id_CONSERVAZIONE)</t>
  </si>
  <si>
    <t>Indice che descrive lo stato di conservazione dell'opera.
Valutazione a giudizio del Gestore, sulla base della seguente classificazione:</t>
  </si>
  <si>
    <r>
      <rPr>
        <sz val="10"/>
        <rFont val="Calibri"/>
        <charset val="1"/>
      </rPr>
      <t xml:space="preserve">OPERE IN CEMENTO ARMATO
</t>
    </r>
    <r>
      <rPr>
        <sz val="10"/>
        <rFont val="Calibri"/>
        <charset val="1"/>
      </rPr>
      <t>1 - SCONOSCIUTO
2 - INSUFFICIENTE: Armatura in evidenza con corrosione puntiforme e rigonfiamento del calcestruzzo. Calcestruzzo lesionato. Perdite e trafilamenti di liquido dai manufatti (nel caso di vasche). Perdite dal soffitto, lesioni guaina impermeabile. Assenza di resine o impermeabilizzazione interna (nel caso di vasche). Pavimentazione interna da rifare. Assenza di reti antintrusione. Infissi in cattive condizioni.
3 - SUFFICIENTE: Armatura in evidenza con corrosione puntiforme e parziale rigonfiamento del calcestruzzo. Calcestruzzo con piccole lesioni. Perdite e trafilamenti di liquido dai manufatti (nel caso di vasche). Perdite dal soffitto, lesioni guaina impermeabile. Sfogliatura resine o impermeabilizzazione interna (nel caso di vasche). Pavimentazione interna da manutenzionare. Assenza di reti antintrusione. Infissi da manutenzionare.
4 - BUONO: Armatura in evidenza con corrosione puntiforme e senza rigonfiamento del calcestruzzo. Calcestruzzo senza lesioni. Piccole perdite e trafilamenti di liquido dai manufatti (nel caso di vasche).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Armatura non in evidenza e senza corrosione puntiforme e senza rigonfiamento del calcestruzzo. Calcestruzzo senza lesioni. Assenza perdite e tra filamenti di liquido dai manufatti (nel caso di vasche). Assenza perdite dal soffitto, nessuna lesione guaina impermeabile. Resine o impermeabilizzazione in ottime condizioni (nel caso di vasche). Pavimentazione interna in ottime condizioni. Reti antintrusione integre (topi, uccelli). Infissi integri.</t>
    </r>
  </si>
  <si>
    <r>
      <rPr>
        <sz val="10"/>
        <rFont val="Calibri"/>
        <charset val="1"/>
      </rPr>
      <t xml:space="preserve">OPERE IN MURATURA
</t>
    </r>
    <r>
      <rPr>
        <sz val="10"/>
        <rFont val="Calibri"/>
        <charset val="1"/>
      </rPr>
      <t>1 - SCONOSCIUTO
2 - INSUFFICIENTE: Assenza di intonaco più del 60% superficie. Trattamento superficiale in condizioni non buone. Muratura con piccole lesioni. Perdite e trafilamenti di liquido dai manufatti (nel caso di vasche). Perdite dal soffitto, lesioni guaina impermeabile. Assenza di resine o impermeabilizzazione interna (nel caso di vasche). Assenza di reti antintrusione. Infissi in cattive condizioni.
3 - SUFFICIENTE: Assenza di intonaco fino al 60% superficie. Trattamento superficiale in condizioni non buone. Muratura con piccole lesioni. Perdite dal soffitto, lesioni guaina impermeabile. Sfogliatura resine o impermeabilizzazione interna (nel caso di vasche). Pavimentazione interna da manutenzionare. Assenza di reti antintrusione. Infissi da manutenzionare.
4 - BUONO: Assenza di intonaco fino al 20% superficie. Trattamento superficiale in condizioni buone. Muratura senza lesioni.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Intonaco integro. Trattamento superficiale in condizioni ottime . Muratura senza lesioni. Assenza perdite e trafilamenti di liquido dai manufatti (nel caso di vasche). Assenza perdite dal soffitto, nessuna lesione guaina impermeabile. Pavimentazione interna in ottime condizioni. Reti antintrusione integre (topi, uccelli). Infissi integri.</t>
    </r>
  </si>
  <si>
    <r>
      <rPr>
        <sz val="10"/>
        <rFont val="Calibri"/>
        <charset val="1"/>
      </rPr>
      <t xml:space="preserve">MACCHINE
</t>
    </r>
    <r>
      <rPr>
        <sz val="10"/>
        <rFont val="Calibri"/>
        <charset val="1"/>
      </rPr>
      <t>1 - SCONOSCIUTO
2 - INSUFFICIENTE: Fuori produzione. Indisponibilità ricambi. Macchina con rumore persistente e fastidioso. Forti vibrazioni. Perdite copiose fluido pompato o compresso. Mancanza plinto e/o rottura ancoraggio. Corrosione diffusa. Motore elettrico collegato con fili volanti e senza e copriventola. Mancanza di protezione termica.
3 - SUFFICIENTE: Macchina rumorosa. Presenza di vibrazioni. Perdite fluido pompato o compresso per mancata manutenzione. Rottura plinto con armatura evidente e/o rottura piedi ancoraggio. Corrosione evidente. Motore elettrico collegato con fili senza scatola e copriventola corrosa. Protezione termica non adeguata.
4 - BUONO: Macchina poco rumorosa. Leggere vibrazioni. Gocciolamento fluido pompato e/o leggero sfiato fluido compresso. Leggeri danni al cemento plinto e/o ancoraggio poco difettoso. Corrosione puntiforme profonda. Motore elettrico collegato a norma e copriventola leggermente corrosa. Protezione termica adeguata.
5 - OTTIMO: Macchina non rumorosa. Assenza di vibrazioni. Assenza di gocciolamento fluido pompato e di sfiato fluido compresso. Assenza di danni al cemento plinto e/o ancoraggio integro. Corrosione puntiforme. Motore elettrico collegato a norma e copriventola integro. Protezione termica adeguata.</t>
    </r>
  </si>
  <si>
    <r>
      <rPr>
        <sz val="10"/>
        <rFont val="Calibri"/>
        <charset val="1"/>
      </rPr>
      <t xml:space="preserve">TUBAZIONI - VALVOLE
</t>
    </r>
    <r>
      <rPr>
        <sz val="10"/>
        <rFont val="Calibri"/>
        <charset val="1"/>
      </rPr>
      <t>1 - SCONOSCIUTO
2 - INSUFFICIENTE: Corrosione diffusa. Assenza staffe di sostegno o rottura mezzi manovra. Corrosione puntiforme e profonda su saldature.
3 - SUFFICIENTE: Corrosione evidente. Deterioramento staffe di sostegno o mezzi manovra . Corrosione evidente su saldature.
4 - BUONO: Corrosione puntiforme. Danni alle staffe di sostegno o mezzi manovra non efficienti. Lieve corrosione su saldature.
5 - OTTIMO: Assenza di corrosione. Staffe di sostegno o mezzi di manovra efficienti. Assenza di corrosione su saldature.</t>
    </r>
  </si>
  <si>
    <r>
      <rPr>
        <sz val="10"/>
        <rFont val="Calibri"/>
        <charset val="1"/>
      </rPr>
      <t xml:space="preserve">QUADRI ELETTRICI
</t>
    </r>
    <r>
      <rPr>
        <sz val="10"/>
        <rFont val="Calibri"/>
        <charset val="1"/>
      </rPr>
      <t>1 - SCONOSCIUTO
2 - INSUFFICIENTE: Non in regola con prescrizioni L.46/90: blocco apertura portine, differenziale di contatto, morsetteria coperta. Armadi con corrosione diffusa. Elevata usura contatti. Pessime condizioni interne (polvere, ragnatele, etc.). Perdita taratura o assenza relè e termici . Perdita isolamento. Assenza schemi e cablatura. Assenza indicazione comandi macchina. Assenza di G.E.. Assenza allarmi e interventi sicurezza.
3 - SUFFICIENTE: In regola con prescrizioni L.46/90. Armadi con corrosione accentuata. Accentuata usura contatti . Cattive condizioni interne (polvere, ragnatele, etc.). Perdita taratura relè e/o termici. Perdita isolamento. Assenza schemi e cablatura. Assenza indicazione comandi macchina. Assenza di G.E.. Assenza allarmi e interventi sicurezza.
4 - BUONO: In regola con prescrizioni L.46/90. Armadi con corrosione puntiforme. Leggera usura contatti. Buone condizioni interne (assenza di polvere, ragnatele, etc.). Staratura relè e/o termici . Buon isolamento. Presenza schemi e cablatura. Presenza indicazione comandi macchina. Assenza di G.E.. Assenza allarmi e interventi sicurezza.
5 - OTTIMO: In regola con prescrizioni L.46/90. Armadi senza corrosione. Nessuna usura contatti. Ottime condizioni interne (assenza di polvere, ragnatele, etc.). Relè e/o termici ben tarati. Buon isolamento. Presenza schemi e cablatura. Presenza indicazione comandi macchina. Presenza di G.E.. Presenza allarmi e interventi sicurezza.</t>
    </r>
  </si>
  <si>
    <r>
      <rPr>
        <sz val="10"/>
        <rFont val="Calibri"/>
        <charset val="1"/>
      </rPr>
      <t xml:space="preserve">CIRCUITI ELETTRICI
</t>
    </r>
    <r>
      <rPr>
        <sz val="10"/>
        <rFont val="Calibri"/>
        <charset val="1"/>
      </rPr>
      <t>1 - SCONOSCIUTO
2 - INSUFFICIENTE: Assenza impianto di terra. Elevata usura cavi. Cavi con sfiammature. Assenza di cassette di derivazione. Assenza di conduit. Assenza di flessibili di collegamento.
3 - SUFFICIENTE: Assenza impianto di terra. Accentuata usura cavi. Cavi con sfiammature. Cassette di derivazione lesionate. Conduit lesionati. Flessibili di collegamento lesionati.
4 - BUONO: Presenza impianto di terra (da manutenzionare). Leggera usura cavi. Cavi senza sfiammature. Cassette di derivazione integre. Conduit integri. Flessibili di collegamento non integri.
5 - OTTIMO: Presenza impianto di terra in ottime condizioni. Cavi non usurati. Cavi senza sfiammature. Cassette di derivazione integre. Conduit integri .Flessibili di collegamento integri.</t>
    </r>
  </si>
  <si>
    <t>OPERE ELIMINATE, DISMESSE O IN FERMO IMPIANTO</t>
  </si>
  <si>
    <t>Nel caso in cui un’opera sia stata eliminata dal DB, in fermo impianto o dismessa (id_opera_stato= 4 o 5 o 6), devono essere mantenute tutte le informazioni relative alle caratteristiche dell'opera (ad esempio potenzialità di progetto di un depuratore, utilizzo di una captazione, diametro di una tubazione, anno di costruzione, ecc...); se tali informazioni non sono mai state inserite lasciare il campo nullo.
Devono essere indicati pari a ZERO i dati annuali (ad esempio volume prelevato, consumo di energia, numero di utenze servite, etc...).</t>
  </si>
  <si>
    <t>OPERE IN COSTRUZIONE</t>
  </si>
  <si>
    <t>Per le opere che al 31/12 dell'anno di riferimento risultano in costruzione devono essere compilati:
- i campi relativi alla identificazione dell'opera e alla sua ubicazione (codice origine, descrizione, coordinate, località, comune)
- il campo dell'anno di costruzione indicando l'anno di riferimento
- il campo relativo allo stato dell'opera con i codice 3
I campi relativi alle caratteristiche dell'opera non devono essere compilati fino a quando l'opera non entra in esercizio.</t>
  </si>
  <si>
    <t>STATO DELL'IMPIANTO (campo ID_OPERA_STATO)</t>
  </si>
  <si>
    <r>
      <rPr>
        <sz val="10"/>
        <rFont val="Calibri"/>
        <charset val="1"/>
      </rPr>
      <t xml:space="preserve">Indica lo stato dell'opera al 31/12 dell'anno di riferimento ed in particolare:
1=ATTIVO - opera in uso al 31/12
2=FERMO IMPIANTO PARZIALE - opera non in uso al 31/12 ma per la quale si prevede la riattivazione
3=IN COSTRUZIONE - opera in costruzione al 31/12
4=FERMO IMPIANTO - opera non più in uso al 31/12 per la quale non è prevista la riattivazione ma che risulta ancora in concessione o, nel caso di opera realizzata dal Gestore, presente nel libro cespiti
5=DISMESSO - opera non più in uso al 31/12 e che risulta restituita al proprietario (Comune) o, nel caso di opera realizzata dal Gestore, che risulta uscita dal libro cespiti
6=ELIMINATO DA DB - opera non pertinente, opera gestita da soggetto diverso o inserita per errore, </t>
    </r>
    <r>
      <rPr>
        <sz val="10"/>
        <color rgb="FFFF0000"/>
        <rFont val="Calibri"/>
        <charset val="1"/>
      </rPr>
      <t xml:space="preserve">ecc.
</t>
    </r>
    <r>
      <rPr>
        <sz val="10"/>
        <rFont val="Calibri"/>
        <charset val="1"/>
      </rPr>
      <t xml:space="preserve">
Le opere dismesse o non più “pertinenti” devono restare nel DB Infrastrutture con codice stato opera adeguato.
Per le opere eliminate da DB deve essere fornita una nota giustificativa in apposita relazione.</t>
    </r>
  </si>
  <si>
    <r>
      <rPr>
        <sz val="10"/>
        <color rgb="FFFF0000"/>
        <rFont val="Calibri"/>
        <charset val="1"/>
      </rPr>
      <t xml:space="preserve">FOGLI DI INTERCONNESSIONE o DI DETTAGLIO DELLE POMPE
</t>
    </r>
    <r>
      <rPr>
        <sz val="10"/>
        <color rgb="FFFF0000"/>
        <rFont val="Calibri"/>
        <charset val="1"/>
      </rPr>
      <t xml:space="preserve">I fogli di specifica delle interconnessioni fra opere o di dettaglio delle pompe devono essere compilati solo in corrispondenze di opere in stato 1 (attivo) o stato 2 (fermo impianto parziale). </t>
    </r>
  </si>
  <si>
    <r>
      <rPr>
        <sz val="10"/>
        <color rgb="FFFF0000"/>
        <rFont val="Calibri"/>
        <charset val="1"/>
      </rPr>
      <t xml:space="preserve">UTENZE
</t>
    </r>
    <r>
      <rPr>
        <sz val="10"/>
        <color rgb="FFFF0000"/>
        <rFont val="Calibri"/>
        <charset val="1"/>
      </rPr>
      <t xml:space="preserve">Si specifica che le utenze si intendono come utenze attive al 31 dicembre dell'anno, con l'esclusione di fontane pubbliche e idranti situati su suolo pubblico (a differenza dei volumi acquedottistici che si intendono come quelli complessivi dell'anno).
Inoltre, laddove non specificato diversamente, quando si legge "utenze" nella definizione del campo queste sono da intendersi come utenze "dirette". </t>
    </r>
  </si>
  <si>
    <t xml:space="preserve"> </t>
  </si>
  <si>
    <t>sheet</t>
  </si>
  <si>
    <t>nome_tabella</t>
  </si>
  <si>
    <t>codici</t>
  </si>
  <si>
    <t>nome_campo</t>
  </si>
  <si>
    <t>valore_label</t>
  </si>
  <si>
    <t>valore_udm</t>
  </si>
  <si>
    <t>valore_ascii</t>
  </si>
  <si>
    <t>id_dati</t>
  </si>
  <si>
    <t>PRIORITARIO (vedi REGOLE GENERALI)</t>
  </si>
  <si>
    <t>Descrizione Campo</t>
  </si>
  <si>
    <t>DA INDICARE</t>
  </si>
  <si>
    <t>Fiumi</t>
  </si>
  <si>
    <t>tinfra_a1x1</t>
  </si>
  <si>
    <t>ids_codice</t>
  </si>
  <si>
    <t>codice opera</t>
  </si>
  <si>
    <t>idt</t>
  </si>
  <si>
    <t>testo 16 car [utf8] [idt]</t>
  </si>
  <si>
    <t>Codice univoco identificativo dell'opera, assegnato da AIT.
Non deve essere compilato dal Gestore.</t>
  </si>
  <si>
    <t>ids_codice_origine</t>
  </si>
  <si>
    <t>codice origine</t>
  </si>
  <si>
    <t>testo</t>
  </si>
  <si>
    <t>testo 32 car [utf8] [testo]</t>
  </si>
  <si>
    <t>PRIORITARIO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</si>
  <si>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t>
  </si>
  <si>
    <t>descrizione</t>
  </si>
  <si>
    <t>descrizione impianto</t>
  </si>
  <si>
    <t>testo 64 car [utf8] [testo]</t>
  </si>
  <si>
    <t>Descrizione sintetica dell'opera. Deve essere univoca per ogni opera e può contenere indicazione del tipo di opera, della denominazione e un'indicazione approssimativa dell'ubicazione.</t>
  </si>
  <si>
    <t>coord_nord</t>
  </si>
  <si>
    <t>g.boaga NORD</t>
  </si>
  <si>
    <t>m</t>
  </si>
  <si>
    <t>decimale 8 byte [m]</t>
  </si>
  <si>
    <t>Coordinata NORD dell'opera, nel sistema di riferimento Gauss-Boaga.</t>
  </si>
  <si>
    <t>coord_est</t>
  </si>
  <si>
    <t>g.boaga EST</t>
  </si>
  <si>
    <t>Coordinata EST dell'opera, nel sistema di riferimento Gauss-Boaga.</t>
  </si>
  <si>
    <t>coord_rif</t>
  </si>
  <si>
    <t>fuso RIF.</t>
  </si>
  <si>
    <t>nr</t>
  </si>
  <si>
    <t>intero 4 byte [nr]</t>
  </si>
  <si>
    <t>Fuso di riferimento per le coordinate dell'opera, nel sistema di riferimento Gauss-Boaga: indicare EST=33 o OVEST=32.</t>
  </si>
  <si>
    <t>schema_codici</t>
  </si>
  <si>
    <t>codice schema acquedottistico</t>
  </si>
  <si>
    <t>testo 128 car [utf8] [testo]</t>
  </si>
  <si>
    <t>Indicare il codice di identificazione dello schema acquedottistico. Nel caso di più di uno schema inserire il carattere ";" (punto e virgola) per separare i codici. Al massimo sono possibili 128 caratteri</t>
  </si>
  <si>
    <t>schema_descrizioni</t>
  </si>
  <si>
    <t>descrizione schema acquedottistico</t>
  </si>
  <si>
    <t>testo 255 car [utf8] [testo]</t>
  </si>
  <si>
    <t>Indicare la descrizione di identificazione dello schema acquedottistico. Nel caso di più di uno schema inserire il carattere ";" (punto e virgola) per separare i codici. Al massimo sono possibili 255 caratteri.</t>
  </si>
  <si>
    <t>quota_slm</t>
  </si>
  <si>
    <t>quota s.l.m</t>
  </si>
  <si>
    <t>intero 4 byte [m]</t>
  </si>
  <si>
    <t>Quota dell'opera sul livello del mare, misurata al piano di campagna.</t>
  </si>
  <si>
    <t>localita_nome</t>
  </si>
  <si>
    <t>località</t>
  </si>
  <si>
    <t>Nome della località dove è ubicata l'opera.</t>
  </si>
  <si>
    <t>id_comune_istat</t>
  </si>
  <si>
    <t>comune</t>
  </si>
  <si>
    <t>istat</t>
  </si>
  <si>
    <t>intero 4 byte [istat]</t>
  </si>
  <si>
    <t>Codice ISTAT del Comune dove è ubicata l'opera. VEDI TABELLA</t>
  </si>
  <si>
    <t>bacino_nome</t>
  </si>
  <si>
    <t>bacino appartenza corso acqua</t>
  </si>
  <si>
    <t>Nome del bacino idrografico.</t>
  </si>
  <si>
    <t>corso_acqua_nome</t>
  </si>
  <si>
    <t>nome del corso acqua</t>
  </si>
  <si>
    <t>Nome del corpo idrico superficiale dal quale è prelevata la risorsa.</t>
  </si>
  <si>
    <t>id_corso_acqua_classe</t>
  </si>
  <si>
    <t>classe corso acqua</t>
  </si>
  <si>
    <t>idn</t>
  </si>
  <si>
    <t>intero 4 byte [idn]</t>
  </si>
  <si>
    <t>Indicare la categoria delle acque dolci superficiali destinate alla produzione di acqua potabile, come A1, A2, A3, subA3 e NON CLASSIFICATA secondo la classificazione dell'art. 80 del D.Lgs.152/2006 e come subA3 così come individuate dalla Regione Toscana con proprio atto. VEDI TABELLA</t>
  </si>
  <si>
    <t>concessione_estremi</t>
  </si>
  <si>
    <t>estremi della concessione</t>
  </si>
  <si>
    <t>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t>
  </si>
  <si>
    <t>concessione_port_pota</t>
  </si>
  <si>
    <t>portata concessa uso potabile</t>
  </si>
  <si>
    <t>l/s</t>
  </si>
  <si>
    <t>decimale 8 byte [l/s]</t>
  </si>
  <si>
    <t>Indicare la portata derivabile per uso potabile, così come indicata nell'atto di concessione o come richiesta.</t>
  </si>
  <si>
    <t>uso_plurimo</t>
  </si>
  <si>
    <t>uso plurimo</t>
  </si>
  <si>
    <t>sn</t>
  </si>
  <si>
    <t>binario 1 bit [sn]</t>
  </si>
  <si>
    <t>Indicare se l'acqua è utilizzata anche per usi diversi da quello potabile</t>
  </si>
  <si>
    <t>anno_costruzione</t>
  </si>
  <si>
    <t>anno costruzione</t>
  </si>
  <si>
    <t>anno</t>
  </si>
  <si>
    <t>intero 4 byte [anno]</t>
  </si>
  <si>
    <t>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</si>
  <si>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anno_ristrutturazione</t>
  </si>
  <si>
    <t>anno ristrutturazione</t>
  </si>
  <si>
    <t>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t>
  </si>
  <si>
    <t>id_conservazione</t>
  </si>
  <si>
    <t>conservazione</t>
  </si>
  <si>
    <t>Indice che descrive lo stato di conservazione dell'opera. VEDI TABELLA
Valutazione a giudizio del Gestore, sulla base della classificazione indicata in tabella.</t>
  </si>
  <si>
    <t>utilizzo_tipo</t>
  </si>
  <si>
    <t>utilizzo (continuo,occasionale,periodico)</t>
  </si>
  <si>
    <t>testo 16 car [utf8] [testo]</t>
  </si>
  <si>
    <t>Indicare se l'utilizzo previsto per l'opera di presa è: CONTINUO (sempre funzionante), PERIODICO (per es. stagionale), OCCASIONALE (per es. in casi di emergenza).</t>
  </si>
  <si>
    <t>utilizzo_annuo</t>
  </si>
  <si>
    <t>utilizzo annuo (0 - 100)</t>
  </si>
  <si>
    <t>%</t>
  </si>
  <si>
    <t>decimale 8 byte [%]</t>
  </si>
  <si>
    <t>Indicare per quanto tempo nell'arco dell'anno è utilizzato il punto di presa, espresso in percentuale. Nel caso di opere con uso CONTINUO deve essere pari a 100%.
In caso di opera in fermo impianto o dismissione questo dato deve essere ZERO.</t>
  </si>
  <si>
    <t>area_bacino_monte</t>
  </si>
  <si>
    <t>area del bacino a monte</t>
  </si>
  <si>
    <t>kmq</t>
  </si>
  <si>
    <t>decimale 8 byte [kmq]</t>
  </si>
  <si>
    <t>Estensione del bacino idrografico, definito come la porzione di territorio dal quale le acque pluviali o di fusione delle nevi e dei ghiacciai, defluendo in superficie, si raccolgono in un determinato corso d’acqua, direttamente o a mezzo di affluenti (reticolo idrografico).</t>
  </si>
  <si>
    <t>volume_prelevato</t>
  </si>
  <si>
    <t>volume prelevato</t>
  </si>
  <si>
    <t>mc/anno</t>
  </si>
  <si>
    <t>decimale 8 byte [mc/anno]</t>
  </si>
  <si>
    <t>Volume di risorsa prelevata in un anno dall'opera di presa. (A02 ex DM 99/97)
In caso di opera in fermo impianto o dismissione questo dato deve essere ZERO.</t>
  </si>
  <si>
    <t>volume_immesso</t>
  </si>
  <si>
    <t>volume immesso in rete</t>
  </si>
  <si>
    <r>
      <rPr>
        <sz val="8"/>
        <color rgb="FF000000"/>
        <rFont val="Arial"/>
        <charset val="1"/>
      </rPr>
      <t xml:space="preserve">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t>
    </r>
    <r>
      <rPr>
        <sz val="8"/>
        <color rgb="FFFF0000"/>
        <rFont val="Arial"/>
        <charset val="1"/>
      </rPr>
      <t xml:space="preserve">Nel caso in cui la risorsa venga invece interamente convogliata ad un potabilizzatore inserire il valore ZERO.
</t>
    </r>
    <r>
      <rPr>
        <sz val="8"/>
        <color rgb="FF000000"/>
        <rFont val="Arial"/>
        <charset val="1"/>
      </rPr>
      <t>Deve essere minore o uguale al corrispondente volume prelevato dall'opera di presa
In caso di opera in fermo impianto o dismissione questo dato deve essere ZERO.</t>
    </r>
  </si>
  <si>
    <t>portata_esercizio</t>
  </si>
  <si>
    <t>portata di esercizio</t>
  </si>
  <si>
    <t>Indicare la portata di esercizio dell'opera di presa.
Il valore indicato dovrebbe essere minore della portata derivabile massima indicata in concessione.</t>
  </si>
  <si>
    <t>portata_derivata_max</t>
  </si>
  <si>
    <t>portata derivata massima</t>
  </si>
  <si>
    <t>Indicare la portata massima derivata dall'opera di presa.
Il valore indicato dovrebbe essere minore della portata derivabile massima indicata in concessione.
In caso di opera in fermo impianto o dismissione questo dato deve essere ZERO.</t>
  </si>
  <si>
    <t>portata_derivata_min</t>
  </si>
  <si>
    <t>portata derivata minima</t>
  </si>
  <si>
    <t>Indicare la portata minima derivata dall'opera di presa.
Il valore indicato dovrebbe essere minore della portata derivabile massima indicata in concessione.
In caso di opera in fermo impianto o dismissione questo dato deve essere ZERO.</t>
  </si>
  <si>
    <t>portata_derivabile_max</t>
  </si>
  <si>
    <t>portata derivabile massima</t>
  </si>
  <si>
    <t>Indicare la portata massima di progetto dell'opera di presa (potenzialità dell'opera di presa).
Il dato deve essere indicativo di una residua capacità dell’opera di presa di captare, in caso di necessità, ulteriore risorsa rispetto al dato medio di prelievo.</t>
  </si>
  <si>
    <t>pres_traversa_fluviale</t>
  </si>
  <si>
    <t>traversa fluviale</t>
  </si>
  <si>
    <t>Indicare la presenza di traversa fluviale.</t>
  </si>
  <si>
    <t>pres_camera_presa</t>
  </si>
  <si>
    <t>camera di presa</t>
  </si>
  <si>
    <t>Indicare la presenza di camera di presa in corrispondenza della derivazione da fiume.</t>
  </si>
  <si>
    <t>pres_psucchieruola</t>
  </si>
  <si>
    <t>presa con succhierola</t>
  </si>
  <si>
    <t>Indicare la presenza di sistema di presa con succhierola.</t>
  </si>
  <si>
    <t>pres_griglia</t>
  </si>
  <si>
    <t>griglia</t>
  </si>
  <si>
    <t>Indicare la presenza di griglia in corrispondenza della derivazione da fiume.</t>
  </si>
  <si>
    <t>pres_filtro</t>
  </si>
  <si>
    <t>filtro</t>
  </si>
  <si>
    <t>Indicare la presenza di sistema di filtraggio in corrispondenza della derivazione da fiume.</t>
  </si>
  <si>
    <t>pres_dissabbiatore</t>
  </si>
  <si>
    <t>dissabbiatore</t>
  </si>
  <si>
    <t>Indicare la presenza di dissabbiatore in corrispondenza della derivazione da fiume.</t>
  </si>
  <si>
    <t>id_tipo_telecontrollo</t>
  </si>
  <si>
    <t>tipo telecontrollo</t>
  </si>
  <si>
    <t>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t>
  </si>
  <si>
    <t>pres_misura_portata</t>
  </si>
  <si>
    <t>misura portata</t>
  </si>
  <si>
    <t>Indicare la presenza di sistema di misura della portata.</t>
  </si>
  <si>
    <t>zona_tutela_assoluta</t>
  </si>
  <si>
    <t>zona tutela assoluta</t>
  </si>
  <si>
    <t>Indicare se la zona di tutela assoluta, così come definita dal comma 3 dell'art. 94 del D.Lgs. 152/2006 (zona di almeno 10 metri di estensione dal punto di presa), è adeguatamente protetta e adibita alle sole attività legate alla captazione.</t>
  </si>
  <si>
    <t>zona_rispetto</t>
  </si>
  <si>
    <t>zona di rispetto</t>
  </si>
  <si>
    <t>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t>
  </si>
  <si>
    <t>zona_protezione</t>
  </si>
  <si>
    <t>zona di protezione</t>
  </si>
  <si>
    <t>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t>
  </si>
  <si>
    <t>id_tipo_clorazione</t>
  </si>
  <si>
    <t>tipo di clorazione</t>
  </si>
  <si>
    <t>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</si>
  <si>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cloratore_anno_insta</t>
  </si>
  <si>
    <t>anno istallazione cloratore</t>
  </si>
  <si>
    <t>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t>
  </si>
  <si>
    <t>cloratore_anno_ristru</t>
  </si>
  <si>
    <t>anno ristrutturazione cloratore</t>
  </si>
  <si>
    <t>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t>
  </si>
  <si>
    <t>id_opera_stato</t>
  </si>
  <si>
    <t>opera stato</t>
  </si>
  <si>
    <t>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t>
  </si>
  <si>
    <t>idx_area_bacino_monte</t>
  </si>
  <si>
    <t>ind.conf. area bacino monte</t>
  </si>
  <si>
    <t>testo 2 car [utf8] [idt]</t>
  </si>
  <si>
    <t>Indice di confidenza del dato: indica il grado di affidabilità della specifica informazione secondo la scala di qualità del dato definita in tabella. VEDI TABELLA</t>
  </si>
  <si>
    <t>idx_anno_costruzione</t>
  </si>
  <si>
    <t>ind.conf. anno costruzione</t>
  </si>
  <si>
    <t>idx_anno_ristrutturazione</t>
  </si>
  <si>
    <t>ind.conf. anno ristrutturazione</t>
  </si>
  <si>
    <t>idx_volume_prelevato</t>
  </si>
  <si>
    <t>ind.conf. volume prelevato</t>
  </si>
  <si>
    <t>idx_volume_immesso</t>
  </si>
  <si>
    <t>ind.conf. volume immesso</t>
  </si>
  <si>
    <t>idx_portata_esercizio</t>
  </si>
  <si>
    <t>ind.conf. portata esercizio</t>
  </si>
  <si>
    <t>idx_portata_derivata_max</t>
  </si>
  <si>
    <t>ind.conf. portata derivata max</t>
  </si>
  <si>
    <t>idx_portata_derivata_min</t>
  </si>
  <si>
    <t>ind.conf. portata derivata min</t>
  </si>
  <si>
    <t>idx_portata_derivabile_max</t>
  </si>
  <si>
    <t>ind.conf. portata derivabile max</t>
  </si>
  <si>
    <t>data_ua</t>
  </si>
  <si>
    <t>aggiornamento</t>
  </si>
  <si>
    <t>data</t>
  </si>
  <si>
    <t>data 8 byte [data]</t>
  </si>
  <si>
    <t>Fiumi_inpotab</t>
  </si>
  <si>
    <t>tinfra_a1x1_potab</t>
  </si>
  <si>
    <t>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t>
  </si>
  <si>
    <t>ids_codice_potab</t>
  </si>
  <si>
    <t>codice potabilizzatore</t>
  </si>
  <si>
    <t>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t>
  </si>
  <si>
    <t>id_gestore_potab</t>
  </si>
  <si>
    <t>gestore potabilizzatore</t>
  </si>
  <si>
    <t>Indicare il gestore del potabilizzatore a cui è destinata la risorsa prelevata dall'opera di presa. Se trattasi di Gestore sul territorio della Regione Toscana utilizzare i codici definiti in tabella, altrimenti indicarne il nome.</t>
  </si>
  <si>
    <t>Fiumi_inreti</t>
  </si>
  <si>
    <t>tinfra_a1x1_reti</t>
  </si>
  <si>
    <r>
      <rPr>
        <sz val="8"/>
        <color rgb="FF000000"/>
        <rFont val="Arial"/>
        <charset val="1"/>
      </rPr>
      <t>Codice origine identificativo dell'opera di presa, assegnato dal Gestore, corrispondente al ids_codice_origine individuato nella scheda principale del tipo di opera di presa.
Per tutte le opere di presa</t>
    </r>
    <r>
      <rPr>
        <u/>
        <sz val="8"/>
        <color rgb="FFFF0000"/>
        <rFont val="Arial"/>
        <charset val="1"/>
      </rPr>
      <t xml:space="preserve"> </t>
    </r>
    <r>
      <rPr>
        <sz val="8"/>
        <color rgb="FF000000"/>
        <rFont val="Arial"/>
        <charset val="1"/>
      </rPr>
      <t>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r>
  </si>
  <si>
    <t>ids_codice_rete</t>
  </si>
  <si>
    <t>codice rete</t>
  </si>
  <si>
    <t>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t>
  </si>
  <si>
    <t>id_gestore_rete</t>
  </si>
  <si>
    <t>gestore rete</t>
  </si>
  <si>
    <t>Indicare il gestore della rete di distribuzione a cui è destinata la risorsa prelevata dall'opera di presa. Se trattasi di Gestore sul territorio della Regione Toscana utilizzare i codici definiti in tabella, altrimenti indicarne il nome.</t>
  </si>
  <si>
    <t>Laghi</t>
  </si>
  <si>
    <t>tinfra_a1x2</t>
  </si>
  <si>
    <t>Indicare per quanto tempo nell'arco dell'anno è utilizzato il punto di presa, espresso in percentuale.
Nel caso di opere con uso CONTINUO deve essere pari a 100%.
In caso di opera in fermo impianto o dismissione questo dato deve essere ZERO.</t>
  </si>
  <si>
    <t>area_bacino_afferente</t>
  </si>
  <si>
    <t>area bacino afferente all'invaso</t>
  </si>
  <si>
    <t>Estensione del bacino idrografico afferente l'invaso, inteso come la porzione di territorio dal quale le acque pluviali o di fusione delle nevi e dei ghiacciai, defluendo in superficie, si raccolgono in un determinato corso d’acqua, direttamente o a mezzo di affluenti (reticolo idrografico), chiuso alla sezione dello sbarramento.</t>
  </si>
  <si>
    <t>volume_invaso</t>
  </si>
  <si>
    <t>volume invaso</t>
  </si>
  <si>
    <t>mc</t>
  </si>
  <si>
    <t>decimale 8 byte [mc]</t>
  </si>
  <si>
    <t>Indicare la capacità dell'invaso compresa tra la quota di massimo invaso e la quota minima di utilizzo (scarico di fondo).</t>
  </si>
  <si>
    <t>altezza_diga</t>
  </si>
  <si>
    <t>altezza diga</t>
  </si>
  <si>
    <t>Altezza dello sbarramento artificiale.
Tale altezza è definita come differenza fra la quota del piano di coronamento, ovvero del ciglio più elevato di sfioro nel caso di traverse prive di coronamento, e quella del punto più depresso dei paramenti.</t>
  </si>
  <si>
    <t>invaso_norma_collaudo</t>
  </si>
  <si>
    <t>invaso a norma collaudo</t>
  </si>
  <si>
    <t>Indicare se l'invaso è stato collaudato.</t>
  </si>
  <si>
    <t>zona rispetto</t>
  </si>
  <si>
    <t>zona protezione</t>
  </si>
  <si>
    <t>idx_area_bacino_afferente</t>
  </si>
  <si>
    <t>ind.conf. area bacino afferente</t>
  </si>
  <si>
    <t>Laghi_inpotab</t>
  </si>
  <si>
    <t>tinfra_a1x2_potab</t>
  </si>
  <si>
    <t>Laghi_inreti</t>
  </si>
  <si>
    <t>tinfra_a1x2_reti</t>
  </si>
  <si>
    <t>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</si>
  <si>
    <t>Pozzi</t>
  </si>
  <si>
    <t>tinfra_a1x3</t>
  </si>
  <si>
    <t>Codice identificativo dell'opera, assegnato dal Gestore. 
Tutte le opere affidate o realizzate dal Gestore devono avere un codice origine.
Nel caso di "campi pozzi" devono essere registrati tutti i pozzi presenti.
Tale codice deve essere univoco per ogni opera a prescindere dallo stato opera (attivo, dismesso, fermo impianto), non deve essere ripetuto né modificato. Il codice opera di un’infrastruttura dismessa non può più essere riutilizzato.</t>
  </si>
  <si>
    <t>codice_campo_pozzi</t>
  </si>
  <si>
    <t>codice identificazione campo pozzi</t>
  </si>
  <si>
    <t>Indicare il codice di identificazione del campo pozzi, utilizzare al massimo 32 caratteri</t>
  </si>
  <si>
    <t>descrizione_campo_pozzi</t>
  </si>
  <si>
    <t>denominazione campo pozzi</t>
  </si>
  <si>
    <t>Indicare la denominazione del campo pozzi, utilizzare massimo 64 cartteri</t>
  </si>
  <si>
    <t>anno_perforazione</t>
  </si>
  <si>
    <t>anno perforazione</t>
  </si>
  <si>
    <t>Anno di perforazione del pozzo,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</si>
  <si>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profondita_perforazione</t>
  </si>
  <si>
    <t>profondità di perforazione</t>
  </si>
  <si>
    <t>Profondità del pozzo dal piano di campagna.</t>
  </si>
  <si>
    <t>diametro_perforazione</t>
  </si>
  <si>
    <t>diametro perforazione</t>
  </si>
  <si>
    <t>mm</t>
  </si>
  <si>
    <t>decimale 8 byte [mm]</t>
  </si>
  <si>
    <t>Indicare il diametro di perforazione del pozzo.</t>
  </si>
  <si>
    <t>potenza_installata</t>
  </si>
  <si>
    <t>potenza installata</t>
  </si>
  <si>
    <t>Kw</t>
  </si>
  <si>
    <t>decimale 8 byte [Kw]</t>
  </si>
  <si>
    <t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t>
  </si>
  <si>
    <t>consumo_energia</t>
  </si>
  <si>
    <t>consumo di energia</t>
  </si>
  <si>
    <t>kwh/anno</t>
  </si>
  <si>
    <t>decimale 8 byte [kwh/anno]</t>
  </si>
  <si>
    <t>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t>
  </si>
  <si>
    <t>portata_utilizzo_max</t>
  </si>
  <si>
    <t>portata di utilizzo massima</t>
  </si>
  <si>
    <t>portata_utilizzo_min</t>
  </si>
  <si>
    <t>portata di utilizzo minima</t>
  </si>
  <si>
    <t>pres_misura_pressione</t>
  </si>
  <si>
    <t>misura pressione</t>
  </si>
  <si>
    <t>Indicare la presenza di sistema di misura della pressione.</t>
  </si>
  <si>
    <t>episodi_inquinamento5</t>
  </si>
  <si>
    <t>episodi inquinamento 5anni</t>
  </si>
  <si>
    <t>Indicare se negli ultimi 5 anni sono avvenuti episodi di inquinamento.</t>
  </si>
  <si>
    <t>idx_anno_perforazione</t>
  </si>
  <si>
    <t>ind.conf. anno perforazione</t>
  </si>
  <si>
    <t>idx_potenza_installata</t>
  </si>
  <si>
    <t>ind.conf. potenza installata</t>
  </si>
  <si>
    <t>idx_portata_utilizzo_max</t>
  </si>
  <si>
    <t>ind.conf. portata utilizzo max</t>
  </si>
  <si>
    <t>idx_portata_utilizzo_min</t>
  </si>
  <si>
    <t>ind.conf. portata utilizzo min</t>
  </si>
  <si>
    <t>Pozzi_pompe</t>
  </si>
  <si>
    <t>tinfra_a1x3_pompe</t>
  </si>
  <si>
    <t>Codice origine identificativo dell'opera assegnato dal Gestore, corrispondente al ids_codice_origine individuato nella scheda principale del tipo di opera presso la quale è installata la pompa.
Devono essere rappresentate solo le opere presso le quali sono installate una o più pompe.</t>
  </si>
  <si>
    <t>anno_installazione</t>
  </si>
  <si>
    <t>anno installazione</t>
  </si>
  <si>
    <t>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</si>
  <si>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r>
      <rPr>
        <sz val="8"/>
        <color rgb="FF000000"/>
        <rFont val="Arial"/>
        <charset val="1"/>
      </rPr>
      <t xml:space="preserve">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charset val="1"/>
      </rPr>
      <t xml:space="preserve">(caso particolare per le pompe: l'anno di ristrutturazione può essere sostituito da anno di sostituzione della pompa).
</t>
    </r>
    <r>
      <rPr>
        <sz val="8"/>
        <color rgb="FF000000"/>
        <rFont val="Arial"/>
        <charset val="1"/>
      </rPr>
      <t>VEDI REGOLE GENERALI</t>
    </r>
  </si>
  <si>
    <t>potenza</t>
  </si>
  <si>
    <t>Potenza di targa della pompa.</t>
  </si>
  <si>
    <t>portata</t>
  </si>
  <si>
    <t>Portata della pompa.</t>
  </si>
  <si>
    <t>prevalenza</t>
  </si>
  <si>
    <t>M.C.A.</t>
  </si>
  <si>
    <t>decimale 8 byte [M.C.A.]</t>
  </si>
  <si>
    <t>Prevalenza di targa della pompa.</t>
  </si>
  <si>
    <t>funziona_riserva</t>
  </si>
  <si>
    <t>funziona riserva</t>
  </si>
  <si>
    <t>Indicare la presenza di pompe di riserva.</t>
  </si>
  <si>
    <t>idx_anno_installazione</t>
  </si>
  <si>
    <t>ind.conf. anno installazione</t>
  </si>
  <si>
    <t>idx_potenza</t>
  </si>
  <si>
    <t>ind.conf. potenza</t>
  </si>
  <si>
    <t>idx_portata</t>
  </si>
  <si>
    <t>ind.conf. portata</t>
  </si>
  <si>
    <t>idx_prevalenza</t>
  </si>
  <si>
    <t>ind.conf. prevalenza</t>
  </si>
  <si>
    <t>Pozzi_inpotab</t>
  </si>
  <si>
    <t>tinfra_a1x3_potab</t>
  </si>
  <si>
    <t>Pozzi_inreti</t>
  </si>
  <si>
    <t>tinfra_a1x3_reti</t>
  </si>
  <si>
    <t>Sorgenti</t>
  </si>
  <si>
    <t>tinfra_a1x4</t>
  </si>
  <si>
    <t>Codice identificativo dell'opera, assegnato dal Gestore. 
Tutte le opere affidate o realizzate dal Gestore devono avere un codice origine.
Nel caso di "campi sorgenti" devono essere registrati tutte le sorgenti presenti.
Tale codice deve essere univoco per ogni opera a prescindere dallo stato opera (attivo, dismesso, fermo impianto), non deve essere ripetuto né modificato. Il codice opera di un’infrastruttura dismessa non può più essere riutilizzato.</t>
  </si>
  <si>
    <t>codice_campo_sorgenti</t>
  </si>
  <si>
    <t>codice identificazione campo sorgenti</t>
  </si>
  <si>
    <t>Indicare il codice di identificazione del campo sorgenti, utilizzare al massimo 32 caratteri</t>
  </si>
  <si>
    <t>descrizione_campo_sorgenti</t>
  </si>
  <si>
    <t>denominazione campo sorgenti</t>
  </si>
  <si>
    <t>Indicare la denominazione del campo sorgenti, utilizzare massimo 64 cartteri</t>
  </si>
  <si>
    <t>pres_cunicolo_presa</t>
  </si>
  <si>
    <t>cunicolo di presa</t>
  </si>
  <si>
    <t>Indicare la presenza di cunicolo di presa in corrispondenza della derivazione da sorgente.</t>
  </si>
  <si>
    <t>pres_vasca_captazione</t>
  </si>
  <si>
    <t>vasca captazione</t>
  </si>
  <si>
    <t>Indicare se la sorgente è dotata di vasca di captazione.</t>
  </si>
  <si>
    <t>pres_vasca_misura</t>
  </si>
  <si>
    <t>vasca misura</t>
  </si>
  <si>
    <t>Indicare se la sorgente è dotata di vasca di misura.</t>
  </si>
  <si>
    <t>pres_vasca_carico</t>
  </si>
  <si>
    <t>vasca carico</t>
  </si>
  <si>
    <t>Indicare se la sorgente è dotata di vasca di carico.</t>
  </si>
  <si>
    <t>portata_utilizzo</t>
  </si>
  <si>
    <t>portata di utilizzo</t>
  </si>
  <si>
    <t>Indicare la portata di utilizzo della sorgente, indicata nella concessione di derivazione.
In caso di opera in fermo impianto o dismissione questo dato deve essere ZERO</t>
  </si>
  <si>
    <t>idx_portata_utilizzo</t>
  </si>
  <si>
    <t>ind.conf. portata utilizzo</t>
  </si>
  <si>
    <t>Sorgenti_inpotab</t>
  </si>
  <si>
    <t>tinfra_a1x4_potab</t>
  </si>
  <si>
    <t>Sorgenti_inreti</t>
  </si>
  <si>
    <t>tinfra_a1x4_reti</t>
  </si>
  <si>
    <t>Mari</t>
  </si>
  <si>
    <t>tinfra_a1x5</t>
  </si>
  <si>
    <t>profondita_slm</t>
  </si>
  <si>
    <t>profondità s.l.m</t>
  </si>
  <si>
    <t>Profondità di posa della condotta rispetto al piano di campagna</t>
  </si>
  <si>
    <t>lunghezza</t>
  </si>
  <si>
    <t>Indicare la lunghezza della condotta</t>
  </si>
  <si>
    <t>diametro</t>
  </si>
  <si>
    <t>Indicare il diametro della condotta di presa a mare.</t>
  </si>
  <si>
    <t>Indicare la portata di utilizzo. In caso di opera in fermo impianto o dismissione questo dato deve essere ZERO</t>
  </si>
  <si>
    <t>Mari_pompe</t>
  </si>
  <si>
    <t>tinfra_a1x5_pompe</t>
  </si>
  <si>
    <t>Mari_inpotab</t>
  </si>
  <si>
    <t>tinfra_a1x5_potab</t>
  </si>
  <si>
    <t>Mari_inreti</t>
  </si>
  <si>
    <t>tinfra_a1x5_reti</t>
  </si>
  <si>
    <t>Potabilizzatori</t>
  </si>
  <si>
    <t>tinfra_a2</t>
  </si>
  <si>
    <r>
      <rPr>
        <sz val="8"/>
        <color rgb="FF000000"/>
        <rFont val="Arial"/>
        <charset val="1"/>
      </rPr>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Le clorazioni "in linea" e le clorazioni "dirette" su captazioni, sollevamenti e accumuli, non devono essere registrati come potabilizzatori, ma evidenziati tramite gli specifici campi nelle altre opere interessate (reti, adduttrici, accumuli, etc...).
</t>
    </r>
    <r>
      <rPr>
        <sz val="8"/>
        <color rgb="FFFF0000"/>
        <rFont val="Arial"/>
        <charset val="1"/>
      </rPr>
      <t xml:space="preserve">La “centrale di disinfezione” è un manufatto autonomo dedicato esclusivamente alla disinfezione della risorsa, solitamente in testa al sistema (coacervo) delle risorse per trasformare l’acqua da grezza a potabile (presupponendo una qualità per cui è sufficiente la disinfezione ovviamente): tale manufatto deve essere classificato come potabilizzatore. Viceversa, non sono centrali di disinfezione p.e. dosatori in linea (es. adduttrici) o alle infrastrutture puntuali (fiumi, serbatoi, ecc.) non fisicamente separati dai manufatti principali, tanto più se vengono inseriti in linea con lo scopo di garantire il mantenimento del cloro residuo lungo la rete (questa tipologia di cloratori dovrà essere evidenziata tramite gli specifici campi nelle altre opere interessate).
</t>
    </r>
    <r>
      <rPr>
        <sz val="8"/>
        <color rgb="FF000000"/>
        <rFont val="Arial"/>
        <charset val="1"/>
      </rPr>
      <t>I così detti "Fontanelli di Alta Qualità" o "Case dell'Acqua" non devono essere registrati fra i potabilizzatori, in quanto compresi in altre attività idriche così come definito con Delibera AEEGSI 664/2015/R/IDR all’Allegato 1, Titolo 1, Articolo 1.</t>
    </r>
  </si>
  <si>
    <t>id_tipo_trattamento</t>
  </si>
  <si>
    <t>tipo trattamento</t>
  </si>
  <si>
    <t>Indicare il tipo di trattamento del potabilizzatore. VEDI TABELLA</t>
  </si>
  <si>
    <t>anno_ristruttura_civile</t>
  </si>
  <si>
    <t>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</si>
  <si>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id_conservazione_civile</t>
  </si>
  <si>
    <t>conservazione opere civili</t>
  </si>
  <si>
    <t>anno_ristruttura_elmec</t>
  </si>
  <si>
    <t>anno ristrutturazione elettromeccanica</t>
  </si>
  <si>
    <t>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</si>
  <si>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id_conservazione_elmec</t>
  </si>
  <si>
    <t>conservazione opere elettromeccaniche</t>
  </si>
  <si>
    <t>volume_trattabile_giorno</t>
  </si>
  <si>
    <t>volume trattabile</t>
  </si>
  <si>
    <t>Mln/gg</t>
  </si>
  <si>
    <t>decimale 8 byte [Mln/gg]</t>
  </si>
  <si>
    <t>Volume giornaliero trattabile, come da caratteristiche di impianto.</t>
  </si>
  <si>
    <t>volume_trattato_anno</t>
  </si>
  <si>
    <t>volume trattato</t>
  </si>
  <si>
    <t>Volume di acqua grezza sottoposta a potabilizzazione in un anno. (A04 ex DM 99/97)
Deve essere misurato all'ingresso del trattamento.
In caso di opera in fermo impianto o dismissione questo dato deve essere ZERO.</t>
  </si>
  <si>
    <t>volume_in_uscita</t>
  </si>
  <si>
    <t>volume in uscita immesso all'utilizzazione (A06)</t>
  </si>
  <si>
    <t>Volume prodotto dall'impianto di trattamento, costituito dall'acqua complessivamente uscita dall'impianto e pronta per essere immessa nella rete di distribuzione. (A06 ex DM 99/97)
Deve essere misurato all’uscita del trattamento.
In caso di opera in fermo impianto o dismissione questo dato deve essere ZERO.</t>
  </si>
  <si>
    <t>presidio_ore_giorno</t>
  </si>
  <si>
    <t>presidio medio impianto</t>
  </si>
  <si>
    <t>hr/gg</t>
  </si>
  <si>
    <t>decimale 8 byte [hr/gg]</t>
  </si>
  <si>
    <t>Indicare la durata media giornaliera di presidio presso l'impianto.
In caso di opera in fermo impianto o dismissione questo dato deve essere ZERO.</t>
  </si>
  <si>
    <t>presidio_saltuario</t>
  </si>
  <si>
    <t>presidio saltuario</t>
  </si>
  <si>
    <t>Indicare se è previsto un presidio saltuario (non giornaliero) dell'impianto di potabilizzazione.
In caso di opera in fermo impianto o dismissione questo dato deve essere ZERO.</t>
  </si>
  <si>
    <t>riserva_acqua</t>
  </si>
  <si>
    <t>riserva di acqua</t>
  </si>
  <si>
    <t>Volume di riserva di acqua presente presso l'impianto di potabilizzazione.</t>
  </si>
  <si>
    <t>pres_misura_portata_ingresso</t>
  </si>
  <si>
    <t>misura portata in ingresso impianto</t>
  </si>
  <si>
    <t>Indicare la presenza di sistema di misura della portata in ingresso all'impianto.</t>
  </si>
  <si>
    <t>pres_misura_portata_uscita</t>
  </si>
  <si>
    <t>misura portata in uscita impianto</t>
  </si>
  <si>
    <t>Indicare la presenza di sistema di misura della portata in uscita dall'impianto.</t>
  </si>
  <si>
    <t>tra_grigliatura</t>
  </si>
  <si>
    <t>tra grigliatura</t>
  </si>
  <si>
    <t>Indicare se l'impianto di potabilizzazione è dotato di trattamento di grigliatura.</t>
  </si>
  <si>
    <t>tra_dissabbiamento</t>
  </si>
  <si>
    <t>tra dissabbiamento</t>
  </si>
  <si>
    <t>Indicare se l'impianto di potabilizzazione è dotato di trattamento di dissabbiamento.</t>
  </si>
  <si>
    <t>tra_chiarificazione</t>
  </si>
  <si>
    <t>tra chiarificazione</t>
  </si>
  <si>
    <t>Indicare se l'impianto di potabilizzazione è dotato di trattamento di chiarificazione.</t>
  </si>
  <si>
    <t>id_tra_filtraz_rapida</t>
  </si>
  <si>
    <t>trattamento filtrazione rapida</t>
  </si>
  <si>
    <t>Indicare l'assenza o il tipo di sistema di filtrazione presente nella filiera del potabilizzatore. VEDI TABELLA</t>
  </si>
  <si>
    <t>id_tra_ossida_riduzione</t>
  </si>
  <si>
    <t>trattamento ossidazione e riduzione</t>
  </si>
  <si>
    <t>Indicare l'assenza o il tipo di sistema di ossido-riduzione presente nella filiera del potabilizzatore. VEDI TABELLA</t>
  </si>
  <si>
    <t>tra_precipitazione</t>
  </si>
  <si>
    <t>tra precipitazione</t>
  </si>
  <si>
    <t>Indicare se l'impianto di potabilizzazione è dotato di trattamento per precipitazione.</t>
  </si>
  <si>
    <t>tra_strippaggio</t>
  </si>
  <si>
    <t>tra strippaggio</t>
  </si>
  <si>
    <t>Indicare se l'impianto di potabilizzazione è dotato di sistemi di strippaggio.</t>
  </si>
  <si>
    <t>id_tra_acarboni_attivi</t>
  </si>
  <si>
    <t>trattamento a carboni attivi</t>
  </si>
  <si>
    <t>Indicare l'assenza o il tipo di trattamento a carboni attivi presente nella filiera del potabilizzatore. VEDI TABELLA</t>
  </si>
  <si>
    <t>tra_resine_scambiatrici_ioni</t>
  </si>
  <si>
    <t>tra resine scambiatrici ioni</t>
  </si>
  <si>
    <t>Indicare se l'impianto di potabilizzazione è dotato di trattamento con resine a scambio ionico.</t>
  </si>
  <si>
    <t>tra_elettrodialisi</t>
  </si>
  <si>
    <t>tra elettrodialisi</t>
  </si>
  <si>
    <t>Indicare se l'impianto di potabilizzazione è dotato di trattamento di elettrodialisi.</t>
  </si>
  <si>
    <t>tra_osmosi_inversa</t>
  </si>
  <si>
    <t>tra osmosi inversa</t>
  </si>
  <si>
    <t>Indicare se l'impianto di potabilizzazione è dotato di trattamento ad osmosi inversa.</t>
  </si>
  <si>
    <t>tra_filtrazione_lenta</t>
  </si>
  <si>
    <t>tra filtrazione lenta</t>
  </si>
  <si>
    <t>Indicare se l'impianto di potabilizzazione è dotato di trattamento di filtrazione lenta.</t>
  </si>
  <si>
    <t>tra_processi_biologici</t>
  </si>
  <si>
    <t>tra processi biologici</t>
  </si>
  <si>
    <t>Indicare se l'impianto di potabilizzazione è dotato di processi di trattamento biologici.</t>
  </si>
  <si>
    <t>tra_micro_ultra_filtrazione</t>
  </si>
  <si>
    <t>tra micro ultra filtrazione</t>
  </si>
  <si>
    <t>Indicare se l'impianto di potabilizzazione è dotato di trattamento di microfiltrazione e/o ultrafiltrazione.</t>
  </si>
  <si>
    <t>tra_fanghi</t>
  </si>
  <si>
    <t>tra fanghi</t>
  </si>
  <si>
    <t>Indicare se l'impianto di potabilizzazione è dotato di trattamento dei fanghi derivanti dalla potabilizzazione.</t>
  </si>
  <si>
    <t>tra_disinfezione_ozonazione</t>
  </si>
  <si>
    <t>tra disinfezione ozonazione</t>
  </si>
  <si>
    <t>Indicare se l'impianto di potabilizzazione è dotato di trattamento di disinfezione con ozonazione.</t>
  </si>
  <si>
    <t>tra_irraggiamento_uv</t>
  </si>
  <si>
    <t>tra irraggiamento uv</t>
  </si>
  <si>
    <t>Indicare se l'impianto di potabilizzazione è dotato di trattamento di irraggiamento con UV.</t>
  </si>
  <si>
    <t>rim_ferro</t>
  </si>
  <si>
    <t>rim ferro</t>
  </si>
  <si>
    <t>Indicare se l'impianto di potabilizzazione è dotato di sistema di rimozione del ferro.</t>
  </si>
  <si>
    <t>rim_manganese</t>
  </si>
  <si>
    <t>rim manganese</t>
  </si>
  <si>
    <t>Indicare se l'impianto di potabilizzazione è dotato di sistema di rimozione del manganese.</t>
  </si>
  <si>
    <t>rim_ammoniaca_nitrati</t>
  </si>
  <si>
    <t>rim ammoniaca nitrati</t>
  </si>
  <si>
    <t>Indicare se l'impianto di potabilizzazione è dotato di sistema di rimozione di ammoniaca e nitrati.</t>
  </si>
  <si>
    <t>rim_fosfati</t>
  </si>
  <si>
    <t>rim fosfati</t>
  </si>
  <si>
    <t>Indicare se l'impianto di potabilizzazione è dotato di sistema di rimozione dei fosfati.</t>
  </si>
  <si>
    <t>rim_metalli_pesanti</t>
  </si>
  <si>
    <t>rim metalli pesanti</t>
  </si>
  <si>
    <t>Indicare se l'impianto di potabilizzazione è dotato di sistema di rimozione dei metalli pesanti.</t>
  </si>
  <si>
    <t>rim_trialometani</t>
  </si>
  <si>
    <t>rim trialometani</t>
  </si>
  <si>
    <t>Indicare se l'impianto di potabilizzazione è dotato di sistema di rimozione dei trialometani.</t>
  </si>
  <si>
    <t>rim_organo_alogenati</t>
  </si>
  <si>
    <t>rim organo alogenati</t>
  </si>
  <si>
    <t>Indicare se l'impianto di potabilizzazione è dotato di sistema di rimozione degli organoalogenati.</t>
  </si>
  <si>
    <t>rim_anidride_solforosa</t>
  </si>
  <si>
    <t>rim anidride solforosa</t>
  </si>
  <si>
    <t>Indicare se l'impianto di potabilizzazione è dotato di sistema di rimozione di anidride solforosa.</t>
  </si>
  <si>
    <t>idx_anno_ristruttura_civile</t>
  </si>
  <si>
    <t>ind.conf. anno ristruttura opere civili</t>
  </si>
  <si>
    <t>idx_anno_ristruttura_elmec</t>
  </si>
  <si>
    <t>ind.conf. anno ristruttura op.elettromeccaniche</t>
  </si>
  <si>
    <t>idx_volume_trattabile_giorno</t>
  </si>
  <si>
    <t>ind.conf. volume trattabile giorno</t>
  </si>
  <si>
    <t>idx_volume_trattato_anno</t>
  </si>
  <si>
    <t>ind.conf. volume trattato anno</t>
  </si>
  <si>
    <t>idx_volume_in_uscita</t>
  </si>
  <si>
    <t>ind.conf. volume in uscita immesso all'utilizzazione (A06)</t>
  </si>
  <si>
    <t>Potab_incaptaz</t>
  </si>
  <si>
    <t>tinfra_a2_captazione</t>
  </si>
  <si>
    <t>Codice origine identificativo del potabilizzatore, assegnato dal Gestore, corrispondente al ids_codice_origine individuato nella scheda principale Potabilizzatori.
Per tutti i potabilizzatori devono essere indicate le opere di captazione (Fiumi, Laghi, Pozzi, Sorgenti) da cui deriva la risorsa da sottoporre a trattamento.
Nel caso di più opere di captazione il codice del potabilizzatore deve essere ripetuto.</t>
  </si>
  <si>
    <t>ids_codice_captazione</t>
  </si>
  <si>
    <t>codice captazione</t>
  </si>
  <si>
    <t>Codice origine assegnato dal Gestore all'opera di captazione la cui risorsa prelevata è destinata al potabilizzatore. Tale codice deve corrispondere al ids_codice_origine della specifica opera di presa (Fiumi, Laghi, Pozzi, Sorgenti). Se l'opera di presa è gestita da altri deve essere indicato l'ids_codice_origine dell'opera di presa utilizzato dal Gestore effettivo.</t>
  </si>
  <si>
    <t>id_gestore_captazione</t>
  </si>
  <si>
    <t>gestore captazione</t>
  </si>
  <si>
    <t>Indicare il gestore dell'opera di captazione la cui risorsa prelevata è destinata al potabilizzatore. Se trattasi di Gestore sul territorio della Regione Toscana utilizzare i codici definiti in tabella, altrimenti indicarne il nome.</t>
  </si>
  <si>
    <t>Potab_pompe</t>
  </si>
  <si>
    <t>tinfra_a2_pompe</t>
  </si>
  <si>
    <t>Potab_inreti</t>
  </si>
  <si>
    <t>tinfra_a2_reti</t>
  </si>
  <si>
    <t>Codice origine identificativo del potabilizzatore, assegnato dal Gestore, corrispondente al ids_codice_origine individuato nella scheda principale dei Potabilizzatori.
Per tutti i potabilizzatori deve essere indicata la rete di distribuzione finale cui la risorsa trattata è destinata.
Nel caso di più reti di distribuzione il codice del potabilizzatore deve essere ripetuto.</t>
  </si>
  <si>
    <t>Codice origine assegnato dal Gestore alla rete di distribuzione a cui è destinata la risorsa trattata presso l'impianto di potabilizzazione.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</si>
  <si>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trattata presso l'impianto di potabilizzazione. Se trattasi di Gestore sul territorio della Regione Toscana utilizzare i codici definiti in tabella, altrimenti indicarne il nome.</t>
  </si>
  <si>
    <t>Adduttrici</t>
  </si>
  <si>
    <t>tinfra_a3</t>
  </si>
  <si>
    <t>descrizione adduttrice</t>
  </si>
  <si>
    <t>portata_addotta</t>
  </si>
  <si>
    <t>portata media addotta</t>
  </si>
  <si>
    <t>Portata media della rete di adduzione.
In caso di opera in fermo impianto o dismissione questo dato deve essere ZERO.</t>
  </si>
  <si>
    <t>lunghezza_totale</t>
  </si>
  <si>
    <t>lunghezza totale</t>
  </si>
  <si>
    <t>km</t>
  </si>
  <si>
    <t>decimale 8 byte [km]</t>
  </si>
  <si>
    <t>Lunghezza totale della rete, espressa in chilometri.
Il dato deve corrispondere alla somma dei tratti appartenenti alla rete principale.
Non deve essere conteggiata la lunghezza di eventuali allacci.</t>
  </si>
  <si>
    <t>lunghezza_telecontrollo</t>
  </si>
  <si>
    <t>lunghezza rete telecontrollata</t>
  </si>
  <si>
    <t>Lunghezza della rete monitorata mediante sistemi di telecontrollo della portata e/o della pressione.
Si intende che la rete ha telecontrollo quando in maniera diretta o indiretta (su altri tratti a monte o a valle caratterizzati da continuità operativa e dimensionale) vengono telecontrollate una o più variabili di stato e di funzionamento della rete stessa ritenute pertanto rappresentative del tratto definito telecontrollato.
Tale lunghezza deve essere minore o uguale alla lunghezza totale della rete. Se il dato è diverso da zero il corrispondente campo id_tipo_telecontrollo non deve essere vuoto o uguale a 1.</t>
  </si>
  <si>
    <t>volume_immesso_rete</t>
  </si>
  <si>
    <t>Volume in ingresso alla rete di adduzione.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</si>
  <si>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volume_erogato</t>
  </si>
  <si>
    <t>volume erogato</t>
  </si>
  <si>
    <t>Volume consumato autorizzato (A10ADD+A11ADD+A12uADD ex DM 99/97) erogato alle utenze servite dall'adduttrice (consumo complessivo dell'anno), dove A12u è il volume autorizzato e non fatturato di utenza (non di processo - anche con riferimento ai registri RQTI). 
Tale volume è diverso dal volume fatturato in presenza di erogazioni autorizzate ma non fatturate A12u (es. anti incendio).
In caso di opera in fermo impianto totale, dismessa o eliminata da DBI questo dato deve essere ZERO.</t>
  </si>
  <si>
    <t>volume_fatturato</t>
  </si>
  <si>
    <t>volume fatturato</t>
  </si>
  <si>
    <t>Volume totale fatturato alle utenze servite dall'adduttrice (A20ADD=A10ADD+A11ADD ex DM 99/97) in termini di consumo complessivo e fatturato dell'anno.
In caso di opera in fermo impianto totale, dismessa o eliminata da DBI questo dato deve essere ZERO.</t>
  </si>
  <si>
    <t>volume_acquistato_terzi</t>
  </si>
  <si>
    <t>volume acquistato da terzi</t>
  </si>
  <si>
    <t>Volume totale di acqua acquistato da altri Gestori, sia trattata che grezza, immesso nella rete di adduzione (Wimp). In caso di opera in fermo impianto o dismissione questo dato deve essere ZERO.</t>
  </si>
  <si>
    <t>volume_ceduto_terzi</t>
  </si>
  <si>
    <t>volume ceduto a terzi</t>
  </si>
  <si>
    <t>Volume totale di acqua venduto ad altri Gestori, sia trattata che grezza (Wesp).
In caso di opera in fermo impianto o dismissione questo dato deve essere ZERO.</t>
  </si>
  <si>
    <t>utenti_diretti</t>
  </si>
  <si>
    <t>numero utenti diretti</t>
  </si>
  <si>
    <t>Numero di utenze dirette (intese come utenze attive al 31 dicembre dell'anno al netto di fontane e idranti)</t>
  </si>
  <si>
    <t>utenti_diretti_domestici</t>
  </si>
  <si>
    <t>numero utenti diretti - domestici</t>
  </si>
  <si>
    <t>Numero di utenze dirette - di cui domestiche (intese come utenze attive al 31 dicembre dell'anno)</t>
  </si>
  <si>
    <t>utenti_diretti_domestici_res</t>
  </si>
  <si>
    <t>numero utenti diretti - domestici - residenti</t>
  </si>
  <si>
    <t>Numero di utenze dirette - di cui domestiche residenti (intese come utenze attive al 31 dicembre dell'anno)</t>
  </si>
  <si>
    <t>utenti_condominiali</t>
  </si>
  <si>
    <t>numero utenze condominiali</t>
  </si>
  <si>
    <t>Numero di utenze condominiali (intese come utenze attive al 31 dicembre dell'anno)</t>
  </si>
  <si>
    <t>utenti_indiretti</t>
  </si>
  <si>
    <t>numero utenti indiretti</t>
  </si>
  <si>
    <t>Numero di utenze indirette (intese come utenze attive al 31 dicembre dell'anno)</t>
  </si>
  <si>
    <t>utenti_indiretti_domestici</t>
  </si>
  <si>
    <t>numero utenti indiretti - domestici</t>
  </si>
  <si>
    <t>Numero di utenze indirette - di cui domestiche (intese come utenze attive al 31 dicembre dell'anno)</t>
  </si>
  <si>
    <t>utenti_indiretti_domestici_res</t>
  </si>
  <si>
    <t>numero utenti indiretti - domestici - residenti</t>
  </si>
  <si>
    <t>Numero di utenze indirette - di cui domestiche residenti (intese come utenze attive al 31 dicembre dell'anno)</t>
  </si>
  <si>
    <t>utenze_con_misuratore</t>
  </si>
  <si>
    <t>utenze dotate di misuratore</t>
  </si>
  <si>
    <t>Numero di utenze con contatore (intese come utenze attive al 31 dicembre dell'anno)</t>
  </si>
  <si>
    <t>riparazioni_condotte</t>
  </si>
  <si>
    <t>numero di riparazioni sulle condotte</t>
  </si>
  <si>
    <r>
      <rPr>
        <sz val="8"/>
        <color rgb="FF000000"/>
        <rFont val="Arial"/>
        <charset val="1"/>
      </rPr>
      <t xml:space="preserve">Numero totale di riparazioni sulla rete. </t>
    </r>
    <r>
      <rPr>
        <sz val="8"/>
        <color rgb="FFFF0000"/>
        <rFont val="Arial"/>
        <charset val="1"/>
      </rPr>
      <t>Nel numero devono essere conteggiati anche interventi su organi di manovra e pozzetti.</t>
    </r>
  </si>
  <si>
    <t>punti_clorazione_rete</t>
  </si>
  <si>
    <t>punti di clorazione sulla rete</t>
  </si>
  <si>
    <t>Numero dei punti di clorazione presenti sulla rete</t>
  </si>
  <si>
    <t>idx_portata_addotta</t>
  </si>
  <si>
    <t>ind.conf. portata addotta</t>
  </si>
  <si>
    <t>idx_lunghezza_totale</t>
  </si>
  <si>
    <t>ind.conf. lunghezza totale</t>
  </si>
  <si>
    <t>idx_lunghezza_telecontrollo</t>
  </si>
  <si>
    <t>ind.conf. lunghezza rete telecontrollata</t>
  </si>
  <si>
    <t>idx_volume_immesso_rete</t>
  </si>
  <si>
    <t>ind.conf. Immesso in rete</t>
  </si>
  <si>
    <t>idx_volume_erogato</t>
  </si>
  <si>
    <t>ind.conf. volume erogato</t>
  </si>
  <si>
    <t>idx_volume_fatturato</t>
  </si>
  <si>
    <t>ind.conf. volume fatturato</t>
  </si>
  <si>
    <t>idx_volume_acquistato_terzi</t>
  </si>
  <si>
    <t>ind.conf. volume acquistato da terzi</t>
  </si>
  <si>
    <t>idx_volume_ceduto_terzi</t>
  </si>
  <si>
    <t>ind.conf. volume ceduto a terzi</t>
  </si>
  <si>
    <t>Addut_tronchi</t>
  </si>
  <si>
    <t>tinfra_a3_classi_reti</t>
  </si>
  <si>
    <t>Codice origine identificativo della rete principale, assegnato dal Gestore, di cui il tratto fa parte.
Tale codice deve corrispondere al ids_codice_origine della rete.</t>
  </si>
  <si>
    <t>ids_codice_tratto</t>
  </si>
  <si>
    <t>codice gis.tratto</t>
  </si>
  <si>
    <t>Codice identificativo del tratto di rete riportato su GIS, assegnato dal Gestore, laddove siano riportati i tratti singolarmente rappresentati (non raggruppati per categorie omogenee). Tale codice deve essere univoco per ogni tratto, non deve essere ripetuto né modificato.</t>
  </si>
  <si>
    <t>id_materiale</t>
  </si>
  <si>
    <t>materiale</t>
  </si>
  <si>
    <t>Indice che descrive il materiale con cui è realizzata l'opera. VEDI TABELLA</t>
  </si>
  <si>
    <t>intero 4 byte [mm]</t>
  </si>
  <si>
    <t>Indicare il diametro di ogni tronco di rete.</t>
  </si>
  <si>
    <t>anno messa opera</t>
  </si>
  <si>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t>
  </si>
  <si>
    <t>protezione_catodica</t>
  </si>
  <si>
    <t>protezione catodica</t>
  </si>
  <si>
    <t>Indicare la presenza di protezione catodica per condotte metalliche.</t>
  </si>
  <si>
    <t>Lunghezza del tratto di rete, espressa in chilometri.
La somma dei tratti appartenenti alla stessa rete principale deve corrispondere alla lunghezza totale della rete principale.
Non deve essere conteggiata la lunghezza degli eventuali allacci.</t>
  </si>
  <si>
    <t>idx_materiale</t>
  </si>
  <si>
    <t>ind.conf. materiale</t>
  </si>
  <si>
    <t>idx_diametro</t>
  </si>
  <si>
    <t>ind.conf. diametro</t>
  </si>
  <si>
    <t>idx_anno</t>
  </si>
  <si>
    <t>ind.conf. anno</t>
  </si>
  <si>
    <t>idx_lunghezza</t>
  </si>
  <si>
    <t>ind.conf. lunghezza</t>
  </si>
  <si>
    <t>Addut_com_serv</t>
  </si>
  <si>
    <t>tinfra_a3_comuni</t>
  </si>
  <si>
    <t>Codice origine identificativo della rete principale, assegnato dal Gestore.
Tale codice deve corrispondere al ids_codice_origine della rete.</t>
  </si>
  <si>
    <t>Codice ISTAT del Comune servito dalla condotta/rete. VEDI TABELLA
Nel caso di più comuni serviti dalla stessa rete, il codice della rete deve essere ripetuto.</t>
  </si>
  <si>
    <t>Addut_inreti</t>
  </si>
  <si>
    <t>tinfra_a3_reti</t>
  </si>
  <si>
    <t>Codice origine identificativo della rete di adduzione, assegnato dal Gestore, corrispondente al ids_codice_origine individuato nella scheda principale delle Adduttrici.
Per tutte le adduttrici deve essere indicata la rete di distribuzione finale cui la risorsa trasportata è destinata, sia che la risorsa sia sottoposta a trattamento di potabilizzazione sia che sia immessa direttamente in rete.
Nel caso di più reti di distribuzione il codice dell'adduttrice deve essere ripetuto.</t>
  </si>
  <si>
    <t>Codice origine assegnato dal Gestore alla rete di distribuzione a cui è destinata la risorsa trasportata dall'adduttrice. Tale codice deve corrispondere al ids_codice_origine della Distribuzione (53500). Se la rete di distribuzione è gestita da altri deve essere indicato l'ids_codice_origine della Distribuzione utilizzato dal Gestore effettivo.</t>
  </si>
  <si>
    <t>Indicare il gestore della rete di distribuzione a cui è destinata la risorsa trasportata dall'adduttrice. Se trattasi di Gestore sul territorio della Regione Toscana utilizzare i codici definiti in tabella, altrimenti indicarne il nome.</t>
  </si>
  <si>
    <t>Accumuli</t>
  </si>
  <si>
    <t>tinfra_a4</t>
  </si>
  <si>
    <t>id_tipo_serbatoio</t>
  </si>
  <si>
    <t>tipo serbatoio</t>
  </si>
  <si>
    <t>Indice che descrive l'opera di accumulo in funzione della posizione rispetto la piano di campagna. VEDI TABELLA</t>
  </si>
  <si>
    <t>volume_serbatoio</t>
  </si>
  <si>
    <t>volume serbatoio</t>
  </si>
  <si>
    <t>Volume complessivo disponibile dell'opera di accumulo.</t>
  </si>
  <si>
    <t>quota_serbatoio_terra</t>
  </si>
  <si>
    <t>quota del serbatoio da terra</t>
  </si>
  <si>
    <t>Quota, espressa in metri, dell'opera di accumulo dal piano di campagna misurata al fondo del serbatoio. Deve essere uguale a zero nel caso di opere di accumulo a terra o interrate.</t>
  </si>
  <si>
    <t>pres_misura_livello</t>
  </si>
  <si>
    <t>misura livello</t>
  </si>
  <si>
    <t>Indicare la presenza di sistema di misura del livello di acqua nel serbatoio.</t>
  </si>
  <si>
    <t>Indicare l'assenza o il tipo di trattamento di clorazione prevalente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</si>
  <si>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idx_volume_serbatoio</t>
  </si>
  <si>
    <t>ind.conf. volume serbatoio</t>
  </si>
  <si>
    <t>Accumuli_inadd</t>
  </si>
  <si>
    <t>tinfra_a4_adduzioni</t>
  </si>
  <si>
    <t>Codice origine identificativo dell'opera di accumulo, assegnato dal Gestore, corrispondente al ids_codice_origine individuato nella scheda principale degli Accumuli.
Per tutti gli accumuli deve essere indicata la rete di adduzione collegata al sistema di accumulo.
Nel caso di più reti di adduzione il codice dell'opera di accumulo deve essere ripetuto.</t>
  </si>
  <si>
    <t>ids_codice_adduzione</t>
  </si>
  <si>
    <t>codice adduzione</t>
  </si>
  <si>
    <t>Codice origine assegnato dal Gestore alla rete di adduzione collegata al sistema di accumulo. Tale codice deve corrispondere al ids_codice_origine della Adduzione. Se la rete di adduzione è gestita da altri deve essere indicato l'ids_codice_origine della Adduzione utilizzato dal Gestore effettivo.</t>
  </si>
  <si>
    <t>id_gestore_adduzione</t>
  </si>
  <si>
    <t>gestore adduzione</t>
  </si>
  <si>
    <t>Indicare il gestore della rete di adduzione da cui arriva la risorsa che viene accumulata nel serbatoio. Se trattasi di Gestore sul territorio della Regione Toscana utilizzare i codici definiti in tabella, altrimenti indicarne il nome.</t>
  </si>
  <si>
    <t>Accumuli_inreti</t>
  </si>
  <si>
    <t>tinfra_a4_reti</t>
  </si>
  <si>
    <t>Codice origine identificativo dell'opera di accumulo, assegnato dal Gestore, corrispondente al ids_codice_origine individuato nella scheda principale degli Accumuli.
Per tutti gli accumuli, anche quelli intermedi, deve essere indicata la rete di distribuzione finale cui la risorsa accumulata è destinata, sia che la risorsa sia sottoposta a trattamento di potabilizzazione sia che sia immessa direttamente in rete.
Nel caso di più reti di distribuzione il codice dell'opera di accumulo deve essere ripetuto.</t>
  </si>
  <si>
    <t>Codice origine assegnato dal Gestore alla rete di distribuzione a cui è destinata la risorsa accumulata.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</si>
  <si>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accumulata. Se trattasi di Gestore sul territorio della Regione Toscana utilizzare i codici definiti in tabella, altrimenti indicarne il nome.</t>
  </si>
  <si>
    <t>Pompaggi</t>
  </si>
  <si>
    <t>tinfra_a5</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</si>
  <si>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di altre opere (ad esempio potabilizzatori, pozzi) perché già presenti nelle specifiche sezioni. 
Le pompe a servizio del lavaggio filtri non devono essere elencate fra i pompaggi.</t>
  </si>
  <si>
    <t>anno ristrutturazione civili</t>
  </si>
  <si>
    <t>conservazione op.elettromeccaniche</t>
  </si>
  <si>
    <t>Anno di istallazione del cloratore</t>
  </si>
  <si>
    <t>Anno ultima ristrutturazione del cloratore</t>
  </si>
  <si>
    <t>Pompaggi_pompe</t>
  </si>
  <si>
    <t>tinfra_a5_pompe</t>
  </si>
  <si>
    <t>Codice origine identificativo del sistema di pompaggio assegnato dal Gestore, corrispondente al ids_codice_origine individuato nella scheda principale dei Pompaggi, del quale la pompa fa parte.</t>
  </si>
  <si>
    <t>Pompaggi_inpotab</t>
  </si>
  <si>
    <t>tinfra_a5_potab</t>
  </si>
  <si>
    <t>Codice origine identificativo del sistema di pompaggio, assegnato dal Gestore, corrispondente al ids_codice_origine individuato nella scheda principale dei Pompaggi.
Devono essere rappresentati solo i sistemi di pompaggio verso uno o più impianti di potabilizzazione; nel caso di più potabilizzatori il codice del pompaggio deve essere ripetuto.
Se il campo risulta compilato deve essere indicato il codice del potabilizzatore cui la risorsa è destinata.</t>
  </si>
  <si>
    <t>Codice origine assegnato dal Gestore al potabilizzatore a cui è destinata la risorsa spinta dall'opera di pompaggio. Tale codice deve corrispondere al ids_codice_origine del potabilizzatore. Se il potabilizzatore è gestito da altri deve essere indicato l'ids_codice_origine del potabilizzatore utilizzato dal Gestore effettivo.</t>
  </si>
  <si>
    <t>Indicare il gestore del potabilizzatore a cui è destinata la risorsa spinta dall'opera di pompaggio. Se trattasi di Gestore sul territorio della Regione Toscana utilizzare i codici definiti in tabella, altrimenti indicarne il nome.</t>
  </si>
  <si>
    <t>Pompaggi_inserba</t>
  </si>
  <si>
    <t>tinfra_a5_serbatoi</t>
  </si>
  <si>
    <t>Codice origine identificativo del sistema di pompaggio, assegnato dal Gestore, corrispondente al ids_codice_origine individuato nella scheda principale dei Pompaggi.
Devono essere rappresentati solo i sistemi di pompaggio verso uno o più serbatoi; nel caso di più serbatoi il codice del sistema di pompaggio deve essere ripetuto.
Se il campo risulta compilato deve essere indicato il codice dell'accumulo cui la risorsa è destinata.</t>
  </si>
  <si>
    <t>ids_codice_serbatoio</t>
  </si>
  <si>
    <t>codice serbatoio</t>
  </si>
  <si>
    <t>Codice origine assegnato dal Gestore all'accumulo a cui è destinata la risorsa spinta dall'opera di pompaggio. Tale codice deve corrispondere al ids_codice_origine dell'accumulo. Se l'accumulo è gestito da altri deve essere indicato l'ids_codice_origine dell'accumulo utilizzato dal Gestore effettivo.</t>
  </si>
  <si>
    <t>id_gestore_serbatoio</t>
  </si>
  <si>
    <t>gestore serbatoio</t>
  </si>
  <si>
    <t>Indicare il gestore dell'accumulo a cui è destinata la risorsa spinta dall'opera di pompaggio. Se trattasi di Gestore sul territorio della Regione Toscana utilizzare i codici definiti in tabella, altrimenti indicarne il nome.</t>
  </si>
  <si>
    <t>Distribuzioni</t>
  </si>
  <si>
    <t>tinfra_a6</t>
  </si>
  <si>
    <t>descrizione rete distribuzione</t>
  </si>
  <si>
    <t>lunghezza_distrettualizzata</t>
  </si>
  <si>
    <t>lunghezza rete distrettualizzata</t>
  </si>
  <si>
    <t>Lunghezza della rete che risulta presente nella distrettualizzazione</t>
  </si>
  <si>
    <r>
      <rPr>
        <sz val="8"/>
        <color rgb="FF000000"/>
        <rFont val="Arial"/>
        <charset val="1"/>
      </rPr>
      <t xml:space="preserve">Numero di utenze dirette - di cui domestiche </t>
    </r>
    <r>
      <rPr>
        <sz val="8"/>
        <color rgb="FFFF0000"/>
        <rFont val="Arial"/>
        <charset val="1"/>
      </rPr>
      <t>(intese come utenze attive al 31 dicembre dell'anno)</t>
    </r>
  </si>
  <si>
    <r>
      <rPr>
        <sz val="8"/>
        <color rgb="FF000000"/>
        <rFont val="Arial"/>
        <charset val="1"/>
      </rPr>
      <t xml:space="preserve">Numero di utenze dirette - di cui domestiche residenti </t>
    </r>
    <r>
      <rPr>
        <sz val="8"/>
        <color rgb="FFFF0000"/>
        <rFont val="Arial"/>
        <charset val="1"/>
      </rPr>
      <t>(intese come utenze attive al 31 dicembre dell'anno)</t>
    </r>
  </si>
  <si>
    <r>
      <rPr>
        <sz val="8"/>
        <color rgb="FF000000"/>
        <rFont val="Arial"/>
        <charset val="1"/>
      </rPr>
      <t xml:space="preserve">Numero di utenze condominiali </t>
    </r>
    <r>
      <rPr>
        <sz val="8"/>
        <color rgb="FFFF0000"/>
        <rFont val="Arial"/>
        <charset val="1"/>
      </rPr>
      <t>(intese come utenze attive al 31 dicembre dell'anno)</t>
    </r>
  </si>
  <si>
    <r>
      <rPr>
        <sz val="8"/>
        <color rgb="FF000000"/>
        <rFont val="Arial"/>
        <charset val="1"/>
      </rPr>
      <t xml:space="preserve">Numero di utenze indirette </t>
    </r>
    <r>
      <rPr>
        <sz val="8"/>
        <color rgb="FFFF0000"/>
        <rFont val="Arial"/>
        <charset val="1"/>
      </rPr>
      <t>(intese come utenze attive al 31 dicembre dell'anno)</t>
    </r>
  </si>
  <si>
    <r>
      <rPr>
        <sz val="8"/>
        <color rgb="FF000000"/>
        <rFont val="Arial"/>
        <charset val="1"/>
      </rPr>
      <t xml:space="preserve">Numero di utenze indirette - di cui domestiche </t>
    </r>
    <r>
      <rPr>
        <sz val="8"/>
        <color rgb="FFFF0000"/>
        <rFont val="Arial"/>
        <charset val="1"/>
      </rPr>
      <t>(intese come utenze attive al 31 dicembre dell'anno)</t>
    </r>
  </si>
  <si>
    <r>
      <rPr>
        <sz val="8"/>
        <color rgb="FF000000"/>
        <rFont val="Arial"/>
        <charset val="1"/>
      </rPr>
      <t xml:space="preserve">Numero di utenze indirette - di cui domestiche residenti </t>
    </r>
    <r>
      <rPr>
        <sz val="8"/>
        <color rgb="FFFF0000"/>
        <rFont val="Arial"/>
        <charset val="1"/>
      </rPr>
      <t>(intese come utenze attive al 31 dicembre dell'anno)</t>
    </r>
  </si>
  <si>
    <t>allacci</t>
  </si>
  <si>
    <t>numero allacci</t>
  </si>
  <si>
    <t>Numero totale di allacci presenti sulla rete.</t>
  </si>
  <si>
    <t>utenze_misuratore</t>
  </si>
  <si>
    <t>Numero di utenze totali dotate di misuratore servite dalla rete.
In caso di opera in fermo impianto o dismissione questo dato deve essere ZERO.</t>
  </si>
  <si>
    <t>Volume in ingresso alla rete di distribuzione (A09 ex DM 99/97).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</si>
  <si>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Volume consumato autorizzato (A10DIS+A11DIS+A12uDIS ex DM 99/97) erogato alle utenze servite dalla distributrice (consumo complessivo dell'anno), dove A12u è il volume autorizzato e non fatturato di utenza (non di processo - anche con riferimento ai registri RQTI). 
Tale volume è diverso dal volume fatturato in presenza di erogazioni autorizzate ma non fatturate (es. anti incendio).
In caso di opera in fermo impianto totale, dismessa o eliminata da DBI questo dato deve essere ZERO.</t>
  </si>
  <si>
    <t>Volume totale fatturato alle utenze servite dalla rete (A20DIS=A10DIS+A11DIS ex DM 99/97) in termini di consumo complessivo e fatturato dell'anno.
Deve corrispondere alla somma dei volumi fatturati alle utenze inclusi i volumi fatturati e non misurati (es. bocche tarate).
In caso di opera in fermo impianto totale, dismessa o eliminata da DBI questo dato deve essere ZERO.</t>
  </si>
  <si>
    <t>volume_terzi_acquistato</t>
  </si>
  <si>
    <t>Volume totale di acqua acquistato da altri Gestori, sia trattata che grezza, immesso nella rete per la distribuzione. (A07 ex DM 99/97)
Tale volume è quota parte del volume immesso in rete.
In caso di opera in fermo impianto o dismissione questo dato deve essere ZERO.</t>
  </si>
  <si>
    <t>volume_terzi_ceduto</t>
  </si>
  <si>
    <t>Volume totale di acqua venduto ad altri Gestori, sia trattata che grezza. (A08 ex DM 99/97)
In caso di opera in fermo impianto o dismissione questo dato deve essere ZERO.</t>
  </si>
  <si>
    <t>numero di punti di clorazione presenti nella rete</t>
  </si>
  <si>
    <t>calcolo_ili</t>
  </si>
  <si>
    <t>calcolo Infrastructure Leakage Index (ILI)</t>
  </si>
  <si>
    <t>Indicare se per la rete di distribuzione è stato calcolato il valore dell'Infrastructure Leakage Index (ILI), così come definito dall'IWA.</t>
  </si>
  <si>
    <t>riparazioni_allacci</t>
  </si>
  <si>
    <t>numero di riparazioni sugli allacci</t>
  </si>
  <si>
    <r>
      <rPr>
        <sz val="8"/>
        <color rgb="FF000000"/>
        <rFont val="Arial"/>
        <charset val="1"/>
      </rPr>
      <t>Numero totale di riparazioni sugli allacci</t>
    </r>
    <r>
      <rPr>
        <sz val="8"/>
        <color rgb="FFFF0000"/>
        <rFont val="Arial"/>
        <charset val="1"/>
      </rPr>
      <t xml:space="preserve"> (devono comprendere solo gli interventi sull’allaccio vero e proprio e non sul contatore).
</t>
    </r>
    <r>
      <rPr>
        <sz val="8"/>
        <color rgb="FF000000"/>
        <rFont val="Arial"/>
        <charset val="1"/>
      </rPr>
      <t>In caso di opera in fermo impianto o dismissione questo dato deve essere ZERO.</t>
    </r>
  </si>
  <si>
    <t>riparazioni_rete</t>
  </si>
  <si>
    <t>numero di riparazioni sulla rete</t>
  </si>
  <si>
    <r>
      <rPr>
        <sz val="8"/>
        <color rgb="FF000000"/>
        <rFont val="Arial"/>
        <charset val="1"/>
      </rPr>
      <t>Numero totale di riparazioni sulla rete.</t>
    </r>
    <r>
      <rPr>
        <sz val="8"/>
        <color rgb="FFFF0000"/>
        <rFont val="Arial"/>
        <charset val="1"/>
      </rPr>
      <t>Nel numero devono essere conteggiati anche interventi su organi di manovra e pozzetti.</t>
    </r>
  </si>
  <si>
    <t>press_esercizio_max</t>
  </si>
  <si>
    <t>pressione massima di esercizio</t>
  </si>
  <si>
    <t>Pressione massima di esercizio della rete di distribuzione.
In caso di opera in fermo impianto o dismissione questo dato deve essere ZERO.</t>
  </si>
  <si>
    <t>press_esercizio_med</t>
  </si>
  <si>
    <t>pressione media di esercizio</t>
  </si>
  <si>
    <t>Pressione media di esercizio della rete di distribuzione.
In caso di opera in fermo impianto o dismissione questo dato deve essere ZERO.</t>
  </si>
  <si>
    <t>press_esercizio_min</t>
  </si>
  <si>
    <t>pressione minima di esercizio</t>
  </si>
  <si>
    <t>Pressione minima di esercizio della rete di distribuzione.
In caso di opera in fermo impianto o dismissione questo dato deve essere ZERO.</t>
  </si>
  <si>
    <t>ind.conf. volume immesso rete</t>
  </si>
  <si>
    <t>idx_volume_terzi_acquistato</t>
  </si>
  <si>
    <t>ind.conf. volume terzi acquistato</t>
  </si>
  <si>
    <t>idx_volume_terzi_ceduto</t>
  </si>
  <si>
    <t>ind.conf. volume terzi ceduto</t>
  </si>
  <si>
    <t>idx_lunghezza_distrettualizzata</t>
  </si>
  <si>
    <t>ind.conf. lunghezza rete distrettualizzata</t>
  </si>
  <si>
    <t>idx_calcolo_ili</t>
  </si>
  <si>
    <t>ind.conf. calcolo Infrastructure Leakage Index (ILI)</t>
  </si>
  <si>
    <t>idx_press_esercizio_max</t>
  </si>
  <si>
    <t>ind.conf. press_esercizio_max</t>
  </si>
  <si>
    <t>idx_press_esercizio_med</t>
  </si>
  <si>
    <t>ind.conf. pressione media di esercizio</t>
  </si>
  <si>
    <t>idx_press_esercizio_min</t>
  </si>
  <si>
    <t>ind.conf. pressione minima di esercizio</t>
  </si>
  <si>
    <t>Distrib_tronchi</t>
  </si>
  <si>
    <t>tinfra_a6_classi_reti</t>
  </si>
  <si>
    <t>gestione_pressione</t>
  </si>
  <si>
    <t>rete con gestione della pressione di esercizio</t>
  </si>
  <si>
    <t>Indicare se per il tratto di rete è previsto un sistema di gestione della pressione di esercizio.</t>
  </si>
  <si>
    <t>Distrib_com_serv</t>
  </si>
  <si>
    <t>tinfra_a6_comuni</t>
  </si>
  <si>
    <t>popolazione_servita</t>
  </si>
  <si>
    <t>popolazione servita (0-100)</t>
  </si>
  <si>
    <t>Percentuale di popolazione servita sul totale dei residenti per ogni comune indicato.</t>
  </si>
  <si>
    <t>Distrib_loc_serv</t>
  </si>
  <si>
    <t>tinfra_a6_localita</t>
  </si>
  <si>
    <t>id_localita_istat</t>
  </si>
  <si>
    <t>Codice ISTAT della Località (centri e nuclei) servita dalla condotta/rete. VEDI TABELLA
Nel caso di più località servite dalla stessa rete, il codice della rete deve essere ripetuto.</t>
  </si>
  <si>
    <t>Percentuale di popolazione servita sul totale dei residenti per ogni località indicata.</t>
  </si>
  <si>
    <t>Fognature</t>
  </si>
  <si>
    <t>tinfra_f1</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</si>
  <si>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Di norma una rete fognaria è l'insieme di tubazioni e manufatti connessi (sollevamenti, sfioratori, ecc...) che convogliano i reflui, anche tramite un collettore finale, ad un solo punto di scarico.
Non devono essere registrate le fognature bianche.</t>
  </si>
  <si>
    <t>descrizione rete fognatura</t>
  </si>
  <si>
    <t>Lunghezza totale della rete, espressa in chilometri.
Il dato deve corrispondere alla somma dei tratti appartenenti alla rete principale.
Non deve essere conteggiata la lunghezza degli allacci.</t>
  </si>
  <si>
    <t>lunghezza_allacci</t>
  </si>
  <si>
    <t>lunghezza totale allacci</t>
  </si>
  <si>
    <t>Lunghezza totale degli allacci.</t>
  </si>
  <si>
    <t>lunghezza_mista_ispezione</t>
  </si>
  <si>
    <t>lunghezza rete mista soggetta a ispezione</t>
  </si>
  <si>
    <t xml:space="preserve">lunghezza della rete mista soggetta a ispezione </t>
  </si>
  <si>
    <t>lunghezza_nera_ispezione</t>
  </si>
  <si>
    <t>lunghezza rete nera soggetta a ispezione</t>
  </si>
  <si>
    <t xml:space="preserve">lunghezza della rete nera soggetta a ispezione </t>
  </si>
  <si>
    <t>Volume totale fatturato alle utenze servite dalla rete.</t>
  </si>
  <si>
    <t>utenze_totali</t>
  </si>
  <si>
    <t>utenze totali</t>
  </si>
  <si>
    <t>Numero di utenze totali servite dalla rete (intese come utenze attive al 31 dicembre dell'anno)</t>
  </si>
  <si>
    <t>utenze_prod_autorizzate</t>
  </si>
  <si>
    <t>utenze industriali</t>
  </si>
  <si>
    <t>Numero di utenze produttive autorizzate servite dalla rete (intese come utenze attive al 31 dicembre dell'anno).</t>
  </si>
  <si>
    <t>volume_prod_autorizzate</t>
  </si>
  <si>
    <t>volume utenze industriali</t>
  </si>
  <si>
    <t>Volume fatturato alle utenze industriali autorizzate a scaricare in fognatura ai sensi del D.Lgs. 152/2006.
In caso di opera in fermo impianto o dismissione questo dato deve essere ZERO.</t>
  </si>
  <si>
    <t>scaricatori_piena</t>
  </si>
  <si>
    <t>numero scaricatori piena</t>
  </si>
  <si>
    <t>Numero di scaricatori di piena presenti sulla rete.</t>
  </si>
  <si>
    <t>episodi_allagamento</t>
  </si>
  <si>
    <t>episodi allagamento</t>
  </si>
  <si>
    <t>Indicare il numero di eventi di allagamento connessi a guasti fognari e/o a rigurgiti.
In caso di opera in fermo impianto o dismissione questo dato deve essere ZERO.</t>
  </si>
  <si>
    <t>lunghezza_depurata</t>
  </si>
  <si>
    <t>lunghezza conn.depuratore</t>
  </si>
  <si>
    <r>
      <rPr>
        <sz val="8"/>
        <color rgb="FF000000"/>
        <rFont val="Arial"/>
        <charset val="1"/>
      </rPr>
      <t xml:space="preserve">Lunghezza della rete che fa capo ad una connessione con depuratore. </t>
    </r>
    <r>
      <rPr>
        <sz val="8"/>
        <color rgb="FFFF0000"/>
        <rFont val="Arial"/>
        <charset val="1"/>
      </rPr>
      <t>Inserire il valore 0 per le reti che vanno a dispersione in ambiente.</t>
    </r>
  </si>
  <si>
    <t>scarico_superficiale</t>
  </si>
  <si>
    <t>scarico superficiale</t>
  </si>
  <si>
    <t>Indicare se il collettore o la rete fognaria scarica direttamente in acque superficiali.</t>
  </si>
  <si>
    <t>idx_volume_prod_autorizzate</t>
  </si>
  <si>
    <t>ind.conf. volume utenze industriali</t>
  </si>
  <si>
    <t>idx_lunghezza_allacci</t>
  </si>
  <si>
    <t>ind.conf. lunghezza totale allacci</t>
  </si>
  <si>
    <t>idx_lunghezza_mista_ispezione</t>
  </si>
  <si>
    <t>ind.conf. lunghezza rete mista soggetta a ispezione</t>
  </si>
  <si>
    <t>idx_lunghezza_nera_ispezione</t>
  </si>
  <si>
    <t>ind.conf. lunghezza rete nera soggetta a ispezione</t>
  </si>
  <si>
    <t>Fognat_tronchi</t>
  </si>
  <si>
    <t>tinfra_f1_classi_reti</t>
  </si>
  <si>
    <t>testo 16 car [utf8] [mm]</t>
  </si>
  <si>
    <t>id_refluo_trasportato</t>
  </si>
  <si>
    <t>refluo trasportato</t>
  </si>
  <si>
    <t>Indicare la tipologia di rete, mista o nera, in funzione del refluo trasportato. VEDI TABELLA
Non devono essere registrate le fognature bianche.</t>
  </si>
  <si>
    <t>funziona_gravita</t>
  </si>
  <si>
    <t>funziona gravita</t>
  </si>
  <si>
    <t>depurazione_finale</t>
  </si>
  <si>
    <t>presenza di depurazione finale</t>
  </si>
  <si>
    <t>Fognat_com_serv</t>
  </si>
  <si>
    <t>tinfra_f1_comuni</t>
  </si>
  <si>
    <t>popolazione_depurata</t>
  </si>
  <si>
    <t>popolazione depurata (0-100)</t>
  </si>
  <si>
    <t>Percentuale di popolazione servita da depurazione sul totale dei residenti per ogni comune indicato.
Tale percentuale deve essere inferiore o uguale alla percentuale di popolazione servita da fognatura sul totale dei residenti per il medesimo comune.</t>
  </si>
  <si>
    <t>Fognat_loc_serv</t>
  </si>
  <si>
    <t>tinfra_f1_localita</t>
  </si>
  <si>
    <t>Percentuale di popolazione servita da depurazione sul totale dei residenti per ogni località indicata.
Tale percentuale deve essere inferiore o uguale alla percentuale di popolazione servita da fognatura sul totale dei residenti per la medesima località.</t>
  </si>
  <si>
    <t>Sollevamenti</t>
  </si>
  <si>
    <t>tinfra_f2</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</si>
  <si>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dei depuratori perché già presenti nella specifca sezione. </t>
  </si>
  <si>
    <t>pres_sgrgliatore</t>
  </si>
  <si>
    <t>sgrigliatore</t>
  </si>
  <si>
    <t>Indicare la presenza di sgrigliatore presso il sistema di sollevamento.</t>
  </si>
  <si>
    <t>Sollev_pompe</t>
  </si>
  <si>
    <t>tinfra_f2_pompe</t>
  </si>
  <si>
    <t>Codice origine identificativo del sistema di sollevamento assegnato dal Gestore, corrispondente al ids_codice_origine individuato nella scheda principale dei Sollevamenti, del quale la pompa fa parte.</t>
  </si>
  <si>
    <t>Collettori</t>
  </si>
  <si>
    <t>tinfra_f3</t>
  </si>
  <si>
    <t>descrizione collettre</t>
  </si>
  <si>
    <t>utenze_industriali</t>
  </si>
  <si>
    <t>Inserire il numero delle utenze di tipo industriale</t>
  </si>
  <si>
    <t>volumi_utenze_industriali</t>
  </si>
  <si>
    <t>volumi utenze industriali</t>
  </si>
  <si>
    <t>Volume delle utenze industriali</t>
  </si>
  <si>
    <t>volume_trasportato</t>
  </si>
  <si>
    <t>volume trasportato</t>
  </si>
  <si>
    <t>Volume di acque reflue trasportato dalla condotta.
In caso di opera in fermo impianto o dismissione questo dato deve essere ZERO.</t>
  </si>
  <si>
    <t>pres_scarico_superficiale</t>
  </si>
  <si>
    <t>numero_scaricatori_piena</t>
  </si>
  <si>
    <t>idx_volume_trasportato</t>
  </si>
  <si>
    <t>ind.conf. volume trasportato</t>
  </si>
  <si>
    <t>idx_volumi_utenze_industriali</t>
  </si>
  <si>
    <t>ind.conf. volumi utenze industriali</t>
  </si>
  <si>
    <t>Collett_tronchi</t>
  </si>
  <si>
    <t>tinfra_f3_classi_reti</t>
  </si>
  <si>
    <t>Indicare se il funzionamento idraulico del tratto di rete è a gravità.</t>
  </si>
  <si>
    <t>Indicare se le acque reflue che transitano nel tronco sono destinate, in via principale e di norma, ad un depuratore.
S=depuratore
N=acqua superficiale</t>
  </si>
  <si>
    <t>Collett_com_serv</t>
  </si>
  <si>
    <t>tinfra_f3_comuni</t>
  </si>
  <si>
    <t>Depuratori</t>
  </si>
  <si>
    <t>tinfra_f4</t>
  </si>
  <si>
    <t>corpo_idrico_ricettore</t>
  </si>
  <si>
    <t>principale corpo idrico ricettore</t>
  </si>
  <si>
    <t>Indicare il nome del corpo idrico recettore degli effluenti del depuratore.</t>
  </si>
  <si>
    <r>
      <rPr>
        <sz val="8"/>
        <color rgb="FF000000"/>
        <rFont val="Arial"/>
        <charset val="1"/>
      </rPr>
      <t xml:space="preserve">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charset val="1"/>
      </rPr>
      <t>(Caso particolare: alcune tipologie di impianti, come le vasche Imhoff, non hanno parti elettromeccaniche, pertanto nel campo "anno di ristrutturazione delle opere elettromeccaniche" è corretto inserire  il codice convenzionale 9800. Nel corrispondente campo "stato di conservazione delle opere elettromeccaniche" inserire il valore 99 -Non applicabile)</t>
    </r>
    <r>
      <rPr>
        <sz val="8"/>
        <color rgb="FF000000"/>
        <rFont val="Arial"/>
        <charset val="1"/>
      </rPr>
      <t>. 
VEDI REGOLE GENERALI</t>
    </r>
  </si>
  <si>
    <t>potenzialita_progetto</t>
  </si>
  <si>
    <t>potenzialita progetto</t>
  </si>
  <si>
    <t>AE</t>
  </si>
  <si>
    <t>decimale 8 byte [AE]</t>
  </si>
  <si>
    <t>Potenzialità di progetto dell'impianto di depurazione.</t>
  </si>
  <si>
    <t>carico_totale_trattato</t>
  </si>
  <si>
    <t>carico totale trattato</t>
  </si>
  <si>
    <t>Carico totale trattato misurato in ingresso all'impianto.
Tale carico può confluire all'impianto mediante pubblica fognatura, condotta privata/interna o extra flusso (ex art. 110 D.Lgs. 152/2006).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</si>
  <si>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carico_civile_trattato</t>
  </si>
  <si>
    <t>carico civile trattato</t>
  </si>
  <si>
    <t>Carico civile trattato, è quello che confluisce all'impianto mediante pubblica fognatura.
Deve essere minore o uguale al Carico totale trattato.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</si>
  <si>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cod_medio_ingresso</t>
  </si>
  <si>
    <t>concentrazione media ingresso COD</t>
  </si>
  <si>
    <t>mg/l</t>
  </si>
  <si>
    <t>decimale 8 byte [mg/l]</t>
  </si>
  <si>
    <t>Concentrazione media annuale di COD in mg/litro misurata in ingresso al depuratore.
In caso di opera in fermo impianto o dismissione questo dato deve essere ZERO.</t>
  </si>
  <si>
    <t>cod_medio_uscita</t>
  </si>
  <si>
    <t>concentrazione media uscita COD</t>
  </si>
  <si>
    <t>Concentrazione media annuale di COD in mg/litro misurata in uscita al depuratore.
In caso di opera in fermo impianto o dismissione questo dato deve essere ZERO.</t>
  </si>
  <si>
    <t>volume_totale_trattato</t>
  </si>
  <si>
    <t>volume totale trattato</t>
  </si>
  <si>
    <t>Volume annuo complessivo di acque reflue in uscita dall'impianto di depurazione.
In caso di opera in fermo impianto o dismissione questo dato deve essere ZERO.</t>
  </si>
  <si>
    <t>vol_reflui_riutilizzo</t>
  </si>
  <si>
    <t>vol reflui riutilizzo</t>
  </si>
  <si>
    <t>Volume, in metri cubi anno di acque reflue depurate, destinato al riutilizzo.
In caso di opera in fermo impianto o dismissione questo dato deve essere ZERO.</t>
  </si>
  <si>
    <t>conforme152_06</t>
  </si>
  <si>
    <t>rispetto D.Lgs.n.152/06</t>
  </si>
  <si>
    <t>Indicare se l'opera è conforme alle norme sugli scarichi attualmente in vigore (D.Lgs. 152/2006), in termini di limiti per gli impianti &gt;=2000AE, in termini di trattamenti appropriati per gli impianti &lt;2000AE.</t>
  </si>
  <si>
    <t>energia_auto_prodotta</t>
  </si>
  <si>
    <t>energia auto prodotta</t>
  </si>
  <si>
    <t>Quantità di energia, in kwh, prodotta dall'impianto di depurazione.
In caso di opera in fermo impianto o dismissione questo dato deve essere ZERO.</t>
  </si>
  <si>
    <t>presidio_medio_impianto</t>
  </si>
  <si>
    <t>id_linea_acqua</t>
  </si>
  <si>
    <t>linea acqua</t>
  </si>
  <si>
    <t>Indicare il principale tipo di trattamento delle acque reflue. VEDI TABELLA</t>
  </si>
  <si>
    <t>numero_linee_acqua</t>
  </si>
  <si>
    <t>numero linee acqua</t>
  </si>
  <si>
    <t>Numero di linee di trattamento delle acque reflue.</t>
  </si>
  <si>
    <t>traa_terziario</t>
  </si>
  <si>
    <t>traa terziario</t>
  </si>
  <si>
    <t>Indicare se l'impianto di depurazione è dotato di trattamento terziario delle acque reflue.</t>
  </si>
  <si>
    <t>traa_imhoff</t>
  </si>
  <si>
    <t>traa imhoff</t>
  </si>
  <si>
    <t>Indicare se l'impianto di depurazione è dotato di vasche Imhoff e simili (es. fosse settiche).</t>
  </si>
  <si>
    <t>traa_biodischi</t>
  </si>
  <si>
    <t>traa biodischi</t>
  </si>
  <si>
    <t>Indicare se l'impianto di depurazione è dotato di sistemi di trattamento delle acque reflue con biodischi.</t>
  </si>
  <si>
    <t>traa_letti_percolatori</t>
  </si>
  <si>
    <t>traa letti percolatori</t>
  </si>
  <si>
    <t>Indicare se l'impianto di depurazione è dotato di letti percolatori.</t>
  </si>
  <si>
    <t>traa_equalizzazione</t>
  </si>
  <si>
    <t>traa equalizzazione</t>
  </si>
  <si>
    <t>Indicare se l'impianto di depurazione è dotato di sistemi di equalizzazione delle acque reflue.</t>
  </si>
  <si>
    <t>traa_griglia_tradiziona</t>
  </si>
  <si>
    <t>traa griglia tradiziona</t>
  </si>
  <si>
    <t>Indicare se l'impianto di depurazione è dotato di sistemi di grigliatura tradizionale delle acque reflue.</t>
  </si>
  <si>
    <t>traa_griglia_spinta</t>
  </si>
  <si>
    <t>traa griglia spinta</t>
  </si>
  <si>
    <t>Indicare se l'impianto di depurazione è dotato di sistemi di grigliatura spinta delle acque reflue.</t>
  </si>
  <si>
    <t>traa_dissabbiatura</t>
  </si>
  <si>
    <t>traa dissabbiatura</t>
  </si>
  <si>
    <t>Indicare se l'impianto di depurazione è dotato di sistemi di dissabbiatura delle acque reflue.</t>
  </si>
  <si>
    <t>traa_disoleatura</t>
  </si>
  <si>
    <t>traa disoleatura</t>
  </si>
  <si>
    <t>Indicare se l'impianto di depurazione è dotato di sistemi di disoleatura delle acque reflue.</t>
  </si>
  <si>
    <t>traa_sedimenta_primaria</t>
  </si>
  <si>
    <t>traa sedimenta primaria</t>
  </si>
  <si>
    <t>Indicare se l'impianto di depurazione è dotato di trattamento delle acque reflue con sedimentazione primaria.</t>
  </si>
  <si>
    <t>traa_denitrificazione</t>
  </si>
  <si>
    <t>traa denitrificazione</t>
  </si>
  <si>
    <t>Indicare se l'impianto di depurazione è dotato di sistemi di denitrificazione delle acque reflue.</t>
  </si>
  <si>
    <t>traa_ossida_si_nitrifica</t>
  </si>
  <si>
    <t>traa ossida si nitrifica</t>
  </si>
  <si>
    <t>Indicare se l'impianto di depurazione è dotato di sistemi di ossidazione e nitrificazione delle acque reflue.</t>
  </si>
  <si>
    <t>traa_ossida_no_nitrifica</t>
  </si>
  <si>
    <t>traa ossida no nitrifica</t>
  </si>
  <si>
    <t>Indicare se l'impianto di depurazione è dotato di sistemi di ossidazione senza nitrificazione delle acque reflue.</t>
  </si>
  <si>
    <t>traa_defosfataz_simulta</t>
  </si>
  <si>
    <t>traa defosfataz simulta</t>
  </si>
  <si>
    <t>Indicare se l'impianto di depurazione è dotato di sistemi di defosfatazione simultanea delle acque reflue.</t>
  </si>
  <si>
    <t>traa_sedimenta_seconda</t>
  </si>
  <si>
    <t>traa sedimenta seconda</t>
  </si>
  <si>
    <t>Indicare se l'impianto di depurazione è dotato di trattamento delle acque reflue con sedimentazione secondaria.</t>
  </si>
  <si>
    <t>traa_chiariflo_defosfata</t>
  </si>
  <si>
    <t>traa chiariflo defosfata</t>
  </si>
  <si>
    <t>Indicare se l'impianto di depurazione è dotato di sistemi di defosfatazione per chiariflocculazione delle acque reflue.</t>
  </si>
  <si>
    <t>traa_filtazione_sabbia</t>
  </si>
  <si>
    <t>traa filtazione sabbia</t>
  </si>
  <si>
    <t>Indicare se l'impianto di depurazione è dotato di sistemi di filtrazione a sabbia delle acque reflue.</t>
  </si>
  <si>
    <t>traa_adsorb_carbo_attivi</t>
  </si>
  <si>
    <t>traa adsorb carbo attivi</t>
  </si>
  <si>
    <t>Indicare se l'impianto di depurazione è dotato di sistemi di trattamento delle acque reflue con adsorbimento su carboni attivi.</t>
  </si>
  <si>
    <t>traa_deodorizzazione</t>
  </si>
  <si>
    <t>traa deodorizzazione</t>
  </si>
  <si>
    <t>Indicare se l'impianto di depurazione è dotato di sistemi di deodorizzazione delle acque reflue.</t>
  </si>
  <si>
    <t>traa_disinfezione</t>
  </si>
  <si>
    <t>traa disinfezione</t>
  </si>
  <si>
    <t>Indicare se l'impianto di depurazione è dotato di sistemi di disinfezione delle acque reflue.</t>
  </si>
  <si>
    <t>traa_fitodepurazione</t>
  </si>
  <si>
    <t>traa fitodepurazione</t>
  </si>
  <si>
    <t>indicare se l'impianto di depurazione è dotato di sistemi di fitodepurazione</t>
  </si>
  <si>
    <t>traa_lagunaggio</t>
  </si>
  <si>
    <t>traa lagunaggio</t>
  </si>
  <si>
    <t>indicare se l'impianto di depurazione è dotato di sistemi di lagunaggio</t>
  </si>
  <si>
    <t>traa_00altro</t>
  </si>
  <si>
    <t>trattamento acqua altro…</t>
  </si>
  <si>
    <t>Descrivere eventuali sistemi di trattamento delle acque reflue presenti presso l'impianto di depurazione, diversi da quelli elencati.</t>
  </si>
  <si>
    <t>id_linea_fango</t>
  </si>
  <si>
    <t>linea fango</t>
  </si>
  <si>
    <t>Indicare il principale tipo di trattamento dei fanghi derivanti dalla depurazione. VEDI TABELLA</t>
  </si>
  <si>
    <t>numero_linee_fango</t>
  </si>
  <si>
    <t>numero linee fango</t>
  </si>
  <si>
    <t>Numero di linee di trattamento dei fanghi derivanti dalla depurazione.</t>
  </si>
  <si>
    <t>traf_ispessimento</t>
  </si>
  <si>
    <t>traf ispessimento</t>
  </si>
  <si>
    <t>Indicare se l'impianto di depurazione è dotato di sistema di ispessimento dei fanghi.</t>
  </si>
  <si>
    <t>id_dig_anaerobica</t>
  </si>
  <si>
    <t>digestione anaerobica</t>
  </si>
  <si>
    <t>Indicare l'assenza o la tipologia di digestione anaerobica dei fanghi prodotti dalla depurazione. VEDI TABELLA</t>
  </si>
  <si>
    <t>traf_dig_aerobica</t>
  </si>
  <si>
    <t>traf.digestione aerobica</t>
  </si>
  <si>
    <t>Indicare se l'impianto di depurazione è dotato di trattamento dei fanghi tramite digestione aerobica.</t>
  </si>
  <si>
    <t>traf_post_ispessimento</t>
  </si>
  <si>
    <t>traf post ispessimento</t>
  </si>
  <si>
    <t>Indicare se l'impianto di depurazione è dotato di sistema di post ispessimento dei fanghi.</t>
  </si>
  <si>
    <t>traf_essicazione_letto</t>
  </si>
  <si>
    <t>traf essicazione letto</t>
  </si>
  <si>
    <t>Indicare se l'impianto di depurazione è dotato di letti di essiccamento per la disidratazione dei fanghi.</t>
  </si>
  <si>
    <t>id_disidratazione</t>
  </si>
  <si>
    <t>disidratazione</t>
  </si>
  <si>
    <t>Indicare l'assenza o la tipologia di disidratazione dei fanghi prodotti dalla depurazione. VEDI TABELLA</t>
  </si>
  <si>
    <t>traf_essica_termico</t>
  </si>
  <si>
    <t>traf essica termico</t>
  </si>
  <si>
    <t>Indicare se l'impianto di depurazione è dotato di sistemi di essicazione termica per la disidratazione dei fanghi.</t>
  </si>
  <si>
    <t>traf_inceneri_termico</t>
  </si>
  <si>
    <t>traf inceneri termico</t>
  </si>
  <si>
    <t>Indicare se l'impianto di depurazione è dotato di incenerimento dei fanghi disidratati.</t>
  </si>
  <si>
    <t>id_destinazione_fango</t>
  </si>
  <si>
    <t>destinazione fango</t>
  </si>
  <si>
    <t>Indicare il principale sistema di smaltimento dei fanghi prodotti dalla depurazione. VEDI TABELLA</t>
  </si>
  <si>
    <t>s10_liquami_civili</t>
  </si>
  <si>
    <t>liquami civili</t>
  </si>
  <si>
    <t>mc/gg</t>
  </si>
  <si>
    <t>decimale 8 byte [mc/gg]</t>
  </si>
  <si>
    <t>Volume medio giornaliero di acque reflue civili (ARU) in ingresso all'impianto di depurazione, trasportate dalla pubblica fognatura.
In caso di opera in fermo impianto o dismissione questo dato deve essere ZERO.</t>
  </si>
  <si>
    <t>sf10_liquami_industriali</t>
  </si>
  <si>
    <t>volume liquami industriali</t>
  </si>
  <si>
    <t>Volume medio giornaliero di acque reflue industriali, come da misurazione/stima dei reflui industriali autorizzati in pubblica fognatura.
In caso di opera in fermo impianto o dismissione questo dato deve essere ZERO.</t>
  </si>
  <si>
    <t>sf10_percolati</t>
  </si>
  <si>
    <t>volume percolati</t>
  </si>
  <si>
    <t>Volume medio giornaliero di percolati da discarica in ingresso all'impianto di depurazione.
In caso di opera in fermo impianto o dismissione questo dato deve essere ZERO.</t>
  </si>
  <si>
    <t>sf10_bottini</t>
  </si>
  <si>
    <t>volume bottini</t>
  </si>
  <si>
    <t>Volume medio giornaliero di bottini, derivanti dalla pulizia di fosse settiche e simili, in ingresso all'impianto di depurazione.
In caso di opera in fermo impianto o dismissione questo dato deve essere ZERO.</t>
  </si>
  <si>
    <t>sf10_umid_residu_disidra</t>
  </si>
  <si>
    <t>umidità residua dopo disidrataz.(0-100)</t>
  </si>
  <si>
    <t>Umidità residua dopo disidratazione espressa in percentuale con un numero tra 0 e 100</t>
  </si>
  <si>
    <t>traf_fang_prodotti</t>
  </si>
  <si>
    <t xml:space="preserve">peso tal quale dei fanghi prodotti </t>
  </si>
  <si>
    <t>t</t>
  </si>
  <si>
    <t>decimale 8 byte [t]</t>
  </si>
  <si>
    <t>Peso dei fanghi complessivi prodotti dall'impianto al termine della filiera dei trattamenti previsti nell'impianto stesso. 
Il valore è pari alla somma della voce "peso tal quale totale fanghi smaltiti [t]" più di tutti i dettagli dei fanghi recuperati. 
In caso di opera in fermo impianto totale, dismesso eliminato da DBI questo dato deve essere ZERO.</t>
  </si>
  <si>
    <t>traf_fang_riutilizzo_agri</t>
  </si>
  <si>
    <t>peso tal quale fango riutilizzo agricoltura</t>
  </si>
  <si>
    <t>Peso tal quale dei fanghi prodotti dall'impianto e destinati direttamente o indirettamente al riutilizzo in agricoltura.</t>
  </si>
  <si>
    <t>traf_fang_riutilizzo_compost</t>
  </si>
  <si>
    <t>peso tal quale fango riutilizzo compost</t>
  </si>
  <si>
    <t>Peso tal quale dei fanghi prodotti dall'impianto e destinati direttamente o indirettamente al riutilizzo in compostaggio.</t>
  </si>
  <si>
    <t>traf_fang_riutilizzo_combust</t>
  </si>
  <si>
    <t>peso tal quale fango riutilizzo combustibile</t>
  </si>
  <si>
    <t>Peso tal quale dei fanghi prodotti dall'impianto e destinati direttamente o indirettamente al riutilizzo in termovalorizzazione.</t>
  </si>
  <si>
    <t>traf_fang_riutilizzo_altro</t>
  </si>
  <si>
    <t>peso tal quale fango riutilizzo altro modo</t>
  </si>
  <si>
    <t>Quota dei fanghi destinati ad una forma di riutilizzo diversa da agricoltura, compostaggio o come combustibile. 
La categoria "ALTRO" deve ritenersi residuale rispetto alle altre.</t>
  </si>
  <si>
    <t>traf_fang_tot_smaltiti</t>
  </si>
  <si>
    <t>traf fang tot smaltiti</t>
  </si>
  <si>
    <t xml:space="preserve">Quota parte dei fanghi totali prodotti non destinati ad una forma di riutilizzo. </t>
  </si>
  <si>
    <t>traf_fang_disca_smaltiti</t>
  </si>
  <si>
    <t>traf fang disca smaltiti</t>
  </si>
  <si>
    <t>Quota parte dei fanghi smaltiti destinati alla discarica.
Per i fanghi in discarica ARERA ha chiarito di classificare come fanghi in discarica quelli con destinazione sia diretta che indiretta in discarica (es. fanghi autorizzati D9, ma anche D13, D14, D15 se la destinazione finale è la discarica).</t>
  </si>
  <si>
    <t>ind.conf. anno ristruttura op.civili</t>
  </si>
  <si>
    <t>idx_potenzialita_progetto</t>
  </si>
  <si>
    <t>ind.conf. potenzialita progetto</t>
  </si>
  <si>
    <t>idx_carico_totale_trattato</t>
  </si>
  <si>
    <t>ind.conf. carico totale trattato</t>
  </si>
  <si>
    <t>idx_carico_civile_trattato</t>
  </si>
  <si>
    <t>ind.conf. carico civile trattato</t>
  </si>
  <si>
    <t>idx_cod_medio_ingresso</t>
  </si>
  <si>
    <t>ind.conf. cod medio ingresso</t>
  </si>
  <si>
    <t>idx_cod_medio_uscita</t>
  </si>
  <si>
    <t>ind.conf. cod medio uscita</t>
  </si>
  <si>
    <t>idx_volume_totale_trattato</t>
  </si>
  <si>
    <t>ind.conf. volume totale trattato</t>
  </si>
  <si>
    <t>tinfra_f5</t>
  </si>
  <si>
    <t>idx_traf_fang_prodotti</t>
  </si>
  <si>
    <t>ind.conf. peso tal quale dei fanghi prodotti</t>
  </si>
  <si>
    <t>idx_traf_fang_riutilizzo_agri</t>
  </si>
  <si>
    <t>ind.conf. peso tal quale fango riutilizzo agricoltura</t>
  </si>
  <si>
    <t>idx_traf_fang_riutilizzo_compost</t>
  </si>
  <si>
    <t>ind.conf. peso tal quale fango riutilizzo compost</t>
  </si>
  <si>
    <t>idx_traf_fang_riutilizzo_combust</t>
  </si>
  <si>
    <t>ind.conf. peso tal quale fango riutilizzo combustibile</t>
  </si>
  <si>
    <t>idx_traf_fang_riutilizzo_altro</t>
  </si>
  <si>
    <t>ind.conf. peso tal quale fango riutilizzo altro modo</t>
  </si>
  <si>
    <t>idx_traf_fang_tot_smaltiti</t>
  </si>
  <si>
    <t>ind.conf. peso tal quale totale fanghi smaltiti</t>
  </si>
  <si>
    <t>idx_traf_fang_disca_smaltiti</t>
  </si>
  <si>
    <t>ind.conf. peso tal quale fanghi smaltiti in discarica</t>
  </si>
  <si>
    <t>Depurat_incoll</t>
  </si>
  <si>
    <t>tinfra_f4_collettori</t>
  </si>
  <si>
    <r>
      <rPr>
        <sz val="8"/>
        <color rgb="FF000000"/>
        <rFont val="Arial"/>
        <charset val="1"/>
      </rPr>
      <t xml:space="preserve">Codice origine identificativo dell'impianto di depurazione, assegnato dal Gestore, corrispondente al ids_codice_origine individuato nella scheda principale dei Depuratori.
Per tutti i depuratori devono essere indicati i collettori collegati all'impianto di depurazione.
</t>
    </r>
    <r>
      <rPr>
        <sz val="8"/>
        <color rgb="FFFF0000"/>
        <rFont val="Arial"/>
        <charset val="1"/>
      </rPr>
      <t xml:space="preserve">Se il depuratore è raggiunto direttamente dalla rete fognaria e non da un collettore (ad esempio, per piccoli nuclei serviti da impianti Imhoff) inserire il codice della fognatura collegata. 
</t>
    </r>
    <r>
      <rPr>
        <sz val="8"/>
        <color rgb="FF000000"/>
        <rFont val="Arial"/>
        <charset val="1"/>
      </rPr>
      <t>Nel caso di più reti il codice del depuratore deve essere ripetuto.</t>
    </r>
  </si>
  <si>
    <t>ids_codice_collettore</t>
  </si>
  <si>
    <t>codice collettore</t>
  </si>
  <si>
    <t>Codice origine assegnato dal Gestore al collettore/fognatura collegata al depuratore. Tale codice deve corrispondere al ids_codice_origine del collettore/fognatura. Se collettore/fognatura è gestito da altri deve essere indicato l'ids_codice_origine del collettore/fognatura utilizzato dal Gestore effettivo.</t>
  </si>
  <si>
    <t>id_gestore_collettore</t>
  </si>
  <si>
    <t>gestore collettore</t>
  </si>
  <si>
    <t>Indicare il gestore del collettore/fognatura collegata al depuratore. Se trattasi di Gestore sul territorio della Regione Toscana utilizzare i codici definiti in tabella, altrimenti indicarne il nome.</t>
  </si>
  <si>
    <t>Depurat_pompe</t>
  </si>
  <si>
    <t>tinfra_f4_pompe</t>
  </si>
  <si>
    <t>Scaricatori</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</si>
  <si>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Devono essere rappresentati anche i sistemi di by-pass in testa agli impianti di depurazione; in questi casi la descrizione dell'opera deve contenere il termine BY-PASS.</t>
  </si>
  <si>
    <t>id_tipo_scolmatore</t>
  </si>
  <si>
    <t>tipo scolmatore</t>
  </si>
  <si>
    <t>Indice che descrive la tipologia dello scolmatore. VEDI TABELLA</t>
  </si>
  <si>
    <t>ids_classe_regionale</t>
  </si>
  <si>
    <t>codice classificazione regionale (A2, B1, B2)</t>
  </si>
  <si>
    <t>Classificazione degli scaricatori di piena effettuata, per ogni singola bocca di scarico, in relazione alle caratteristiche della porzione di rete servita, ed esclusivamente sulla base della tipologia delle utenze autorizzate ed allacciate e delle aree servite, nelle seguenti categorie: 
1) classe A2: scaricatori di piena a servizio di agglomerati, o parti di agglomerato, costituiti da insediamenti e/o stabilimenti scaricanti in fognatura esclusivamente acque reflue domestiche o assimilate; 
2) classe B1: scaricatori di piena a servizio di agglomerati, o parti di agglomerato, costituiti da insediamenti e/o stabilimenti scaricanti acque reflue urbane od industriali nel cui ciclo produttivo non sono presenti sostanze pericolose di cui alle tabelle 3A e 5 dell'allegato 5 alla parte III del D.Lgs. 152/2006;
3) classe B2: scaricatori di piena a servizio di agglomerati, o parti di agglomerato, costituiti da insediamenti e/o stabilimenti scaricanti acque reflue urbane od industriali nel cui ciclo produttivo sono presenti sostanze pericolose di cui alle tabelle 3A e 5 dell'allegato 5 alla parte III del D.Lgs. 152/2006.</t>
  </si>
  <si>
    <t>scolmatore_bypass</t>
  </si>
  <si>
    <t>Scolmatore di Baypass impianto</t>
  </si>
  <si>
    <t>Indicare se la funzione dello scolmatore è del tipo di bypass per l'impinato di depurazione</t>
  </si>
  <si>
    <t>id_materiale_scolmatore</t>
  </si>
  <si>
    <t>materiale scolmatore</t>
  </si>
  <si>
    <t>Indice che descrive il materiale con cui è realizzato lo scolmatore. VEDI TABELLA</t>
  </si>
  <si>
    <t>larghezza_uti_pozzetto</t>
  </si>
  <si>
    <t>larghezza utile pozzetto</t>
  </si>
  <si>
    <t>Larghezza utile del pozzetto scolmatore.</t>
  </si>
  <si>
    <t>lunghezza_uti_pozzetto</t>
  </si>
  <si>
    <t>lunghezza utile pozzetto</t>
  </si>
  <si>
    <t>Lunghezza utile del pozzetto scolmatore.</t>
  </si>
  <si>
    <t>rapporto_diluizione</t>
  </si>
  <si>
    <t>rapporto diluizione (Q.Iniz.Sfioro/Q.Nera)</t>
  </si>
  <si>
    <t>decimale 8 byte [nr]</t>
  </si>
  <si>
    <t>Indicare il valore del rapporto di diluizione, inteso come il rapporto fra la portata iniziale di sfioro e la portata media nera in tempo secco.</t>
  </si>
  <si>
    <t>recapito_tipo</t>
  </si>
  <si>
    <t>tipo di recapito</t>
  </si>
  <si>
    <t>Indicare il tipo di recapito delle portate scolmate: SUOLO/CORPO IDRICO</t>
  </si>
  <si>
    <t>recapito_descrizione</t>
  </si>
  <si>
    <t>descrizione recapito</t>
  </si>
  <si>
    <t>Indicare il nome del corpo idrico o della zona in cui sono recapitate le portate scolmate.</t>
  </si>
  <si>
    <t>Scaricat_infog</t>
  </si>
  <si>
    <t>tinfra_f5_fognature</t>
  </si>
  <si>
    <r>
      <rPr>
        <sz val="8"/>
        <color rgb="FF000000"/>
        <rFont val="Arial"/>
        <charset val="1"/>
      </rPr>
      <t xml:space="preserve">Codice origine identificativo dello scaricatore, assegnato dal Gestore, corrispondente al ids_codice_origine individuato nella scheda principale Scaricatori.
Per tutti gli scaricatori deve essere indicata la relativa fognatura servita </t>
    </r>
    <r>
      <rPr>
        <sz val="8"/>
        <color rgb="FFFF0000"/>
        <rFont val="Arial"/>
        <charset val="1"/>
      </rPr>
      <t>(eccezione: la compilazione del foglio di interconnessione deve riguardare solo gli scaricatori a servizio di reti/collettori, non quelli di bypass di impianti di depurazione. Per questi ultimi inserire il flag apposito del campo "Scolmatore bypass").</t>
    </r>
  </si>
  <si>
    <t>ids_codice_fognatura</t>
  </si>
  <si>
    <t>codice fognatura</t>
  </si>
  <si>
    <t>Codice origine assegnato dal Gestore alla rete fognaria/collettore servita dallo scaricatore. Tale codice deve corrispondere al ids_codice_origine della rete di fognatura. Se la fognatura è gestita da altri deve essere indicato l'ids_codice_origine della fognatura utilizzato dal Gestore effettivo.</t>
  </si>
  <si>
    <t>id_gestore_fognatura</t>
  </si>
  <si>
    <t>gestore fognatura</t>
  </si>
  <si>
    <t>Indicare il gestore della fognatura/collettore servita dallo scaricatore. Se trattasi di Gestore sul territorio della Regione Toscana utilizzare i codici definiti in tabella, altrimenti indicarne il nome.</t>
  </si>
  <si>
    <t>Condottemarine</t>
  </si>
  <si>
    <t>tinfra_f6</t>
  </si>
  <si>
    <t>GB.NORD p.terra</t>
  </si>
  <si>
    <t>Coordinata NORD del punto terra della condotta marina, nel sistema di riferimento Gauss-Boaga.
Si intende per punto terra l'ultimo punto di posizionamento della condotta sulla costa superato il quale il piano di posa della tubazione è il fondo marino.</t>
  </si>
  <si>
    <t>GB.EST p.terra</t>
  </si>
  <si>
    <t>Coordinata EST del punto terra della condotta marina, nel sistema di riferimento Gauss-Boaga.
Si intende per punto terra l'ultimo punto di posizionamento della condotta sulla costa superato il quale il piano di posa della tubazione è il fondo marino.</t>
  </si>
  <si>
    <t>fuso RIF.p.terra</t>
  </si>
  <si>
    <t>Fuso di riferimento per le coordinate del punto terra della condotta marina, nel sistema di riferimento Gauss-Boaga.
Si intende per punto terra l'ultimo punto di posizionamento della condotta sulla costa superato il quale il piano di posa della tubazione è il fondo marino.</t>
  </si>
  <si>
    <t>quota slm.p.terra</t>
  </si>
  <si>
    <t>Quota del punto terra della condotta.
Si intende per punto terra l'ultimo punto di posizionamento della condotta sulla costa superato il quale il piano di posa della tubazione è il fondo marino.</t>
  </si>
  <si>
    <t>localita p.terra</t>
  </si>
  <si>
    <t>Nome della località dove è ubicato il punto terra della condotta marina.
Si intende per punto terra l'ultimo punto di posizionamento della condotta sulla costa superato il quale il piano di posa della tubazione è il fondo marino.</t>
  </si>
  <si>
    <t>comune p.terra</t>
  </si>
  <si>
    <t>Codice ISTAT del Comune dove è ubicato il punto terra della condotta marina. VEDI TABELLA
Si intende per punto terra l'ultimo punto di posizionamento della condotta sulla costa superato il quale il piano di posa della tubazione è il fondo marino.</t>
  </si>
  <si>
    <t>lunghezza_diffusione</t>
  </si>
  <si>
    <t>lunghezza diffusione</t>
  </si>
  <si>
    <t>Lunghezza del diffusore della condotta marina.</t>
  </si>
  <si>
    <t>distanza_diffusori_costa</t>
  </si>
  <si>
    <t>distanza diffusori costa</t>
  </si>
  <si>
    <t>Distanza del diffusore della condotta marina dal punto terra.</t>
  </si>
  <si>
    <t>idx_lunghezza_diffusione</t>
  </si>
  <si>
    <t>ind.conf. lunghezza diffusione</t>
  </si>
  <si>
    <t>idx_distanza_diffusori_costa</t>
  </si>
  <si>
    <t>ind.conf. distanza diffusori costa</t>
  </si>
  <si>
    <t>id</t>
  </si>
  <si>
    <t>tabella</t>
  </si>
  <si>
    <t>definizione dato</t>
  </si>
  <si>
    <t>tinfra_inv_conserva</t>
  </si>
  <si>
    <t>conservazione [cnt]</t>
  </si>
  <si>
    <t>id_conserva - intero 4 byte contatore [cnt]</t>
  </si>
  <si>
    <t>stato conservazione [testo]</t>
  </si>
  <si>
    <t>conservazione - testo 32 car [utf8] [testo]</t>
  </si>
  <si>
    <t>tinfra_inv_corso_acqua_classi</t>
  </si>
  <si>
    <t>classe corso acqua [cnt]</t>
  </si>
  <si>
    <t>id_corso_acqua_classe - intero 4 byte contatore [cnt]</t>
  </si>
  <si>
    <t>classificazione corso d'acqua [testo]</t>
  </si>
  <si>
    <t>corso_acqua_classe - testo 32 car [utf8] [testo]</t>
  </si>
  <si>
    <t>tinfra_inv_indici_idx</t>
  </si>
  <si>
    <t>indice di confidenza [idt]</t>
  </si>
  <si>
    <t>id_indice_idx - testo 2 car [utf8] [idt]</t>
  </si>
  <si>
    <t>descrizione [testo]</t>
  </si>
  <si>
    <t>indice_idx - testo 255 car [utf8] [testo]</t>
  </si>
  <si>
    <t>tinfra_inv_linea_acque</t>
  </si>
  <si>
    <t>linea acqua [cnt]</t>
  </si>
  <si>
    <t>id_linea_acqua - intero 4 byte contatore [cnt]</t>
  </si>
  <si>
    <t>linea acqua [testo]</t>
  </si>
  <si>
    <t>linea_acqua - testo 64 car [utf8] [testo]</t>
  </si>
  <si>
    <t>tinfra_inv_linea_fanghi</t>
  </si>
  <si>
    <t>linea fango [cnt]</t>
  </si>
  <si>
    <t>id_linea_fango - intero 4 byte contatore [cnt]</t>
  </si>
  <si>
    <t>linea fango [testo]</t>
  </si>
  <si>
    <t>linea_fango - testo 64 car [utf8] [testo]</t>
  </si>
  <si>
    <t>tinfra_inv_materiali</t>
  </si>
  <si>
    <t>materiale [cnt]</t>
  </si>
  <si>
    <t>id_materiale - intero 4 byte contatore [cnt]</t>
  </si>
  <si>
    <t>materiale [testo]</t>
  </si>
  <si>
    <t>materiale - testo 64 car [utf8] [testo]</t>
  </si>
  <si>
    <t>tinfra_inv_opera_stati</t>
  </si>
  <si>
    <t>opera stato [cnt]</t>
  </si>
  <si>
    <t>id_opera_stato - intero 4 byte contatore [cnt]</t>
  </si>
  <si>
    <t>stato dell'opera [testo]</t>
  </si>
  <si>
    <t>opera_stato - testo 32 car [utf8] [testo]</t>
  </si>
  <si>
    <t>tinfra_inv_reflui_trasportati</t>
  </si>
  <si>
    <t>refluo trasportato [cnt]</t>
  </si>
  <si>
    <t>id_refluo_trasportato - intero 4 byte contatore [cnt]</t>
  </si>
  <si>
    <t>refluo trasportato [testo]</t>
  </si>
  <si>
    <t>refluo_trasportato - testo 32 car [utf8] [testo]</t>
  </si>
  <si>
    <t>tinfra_inv_scol_materiali</t>
  </si>
  <si>
    <t>materiale scolmatore [cnt]</t>
  </si>
  <si>
    <t>id_materiale_scolmatore - intero 4 byte contatore [cnt]</t>
  </si>
  <si>
    <t>materiale_scolmatore - testo 24 car [utf8] [testo]</t>
  </si>
  <si>
    <t>tinfra_inv_scol_tipo_scolmatori</t>
  </si>
  <si>
    <t>tipo scolmatore [cnt]</t>
  </si>
  <si>
    <t>id_tipo_scolmatore - intero 4 byte contatore [cnt]</t>
  </si>
  <si>
    <t>tipo scolmatore [testo]</t>
  </si>
  <si>
    <t>tipo_scolmatore - testo 24 car [utf8] [testo]</t>
  </si>
  <si>
    <t>tinfra_inv_servizi</t>
  </si>
  <si>
    <t>servizio [idn]</t>
  </si>
  <si>
    <t>id_servizio - intero 4 byte [idn]</t>
  </si>
  <si>
    <t>servizio [testo]</t>
  </si>
  <si>
    <t>servizio - testo 32 car [utf8] [testo]</t>
  </si>
  <si>
    <t>tinfra_inv_sostanze</t>
  </si>
  <si>
    <t>sostanza [cnt]</t>
  </si>
  <si>
    <t>id_sostanza - intero 4 byte contatore [cnt]</t>
  </si>
  <si>
    <t>sostanza [testo]</t>
  </si>
  <si>
    <t>sostanza - testo 64 car [utf8] [testo]</t>
  </si>
  <si>
    <t>valore [nr]</t>
  </si>
  <si>
    <t>valore - decimale 8 byte [nr]</t>
  </si>
  <si>
    <t>unità di misura [testo]</t>
  </si>
  <si>
    <t>unita_misura - testo 32 car [utf8] [testo]</t>
  </si>
  <si>
    <t>tinfra_inv_tipo_clorazioni</t>
  </si>
  <si>
    <t>tipo di clorazione [cnt]</t>
  </si>
  <si>
    <t>id_tipo_clorazione - intero 4 byte contatore [cnt]</t>
  </si>
  <si>
    <t>tipo di clorazione [testo]</t>
  </si>
  <si>
    <t>tipo_clorazione - testo 32 car [utf8] [testo]</t>
  </si>
  <si>
    <t>tinfra_inv_tipo_opere</t>
  </si>
  <si>
    <t>tipo opera [cnt]</t>
  </si>
  <si>
    <t>id_tipo_opera - intero 4 byte contatore [cnt]</t>
  </si>
  <si>
    <t>tipo opera [testo]</t>
  </si>
  <si>
    <t>tipo_opera_desc - testo 50 car [utf8] [testo]</t>
  </si>
  <si>
    <t>tipo opera sigla [idt]</t>
  </si>
  <si>
    <t>tipo_opera_sigla - testo 2 car [utf8] [idt]</t>
  </si>
  <si>
    <t>tipo di opera [idt]</t>
  </si>
  <si>
    <t>tipo_opera_scheda - testo 4 car [utf8] [idt]</t>
  </si>
  <si>
    <t>tinfra_inv_tipo_serbatoi</t>
  </si>
  <si>
    <t>tipo serbatoio [cnt]</t>
  </si>
  <si>
    <t>id_tipo_serbatoio - intero 4 byte contatore [cnt]</t>
  </si>
  <si>
    <t>tipo di serbatoio [testo]</t>
  </si>
  <si>
    <t>tipo_serbatoio - testo 32 car [utf8] [testo]</t>
  </si>
  <si>
    <t>tinfra_inv_tipo_telecontrolli</t>
  </si>
  <si>
    <t>tipo telecontrollo [cnt]</t>
  </si>
  <si>
    <t>id_tipo_telecontrollo - intero 4 byte contatore [cnt]</t>
  </si>
  <si>
    <t>tipo telecontrollo [testo]</t>
  </si>
  <si>
    <t>tipo_telecontrollo - testo 32 car [utf8] [testo]</t>
  </si>
  <si>
    <t>tinfra_inv_tipo_trattamenti</t>
  </si>
  <si>
    <t>tipo trattamento [cnt]</t>
  </si>
  <si>
    <t>id_tipo_trattamento - intero 4 byte contatore [cnt]</t>
  </si>
  <si>
    <t>tipo di trattamento [testo]</t>
  </si>
  <si>
    <t>tipo_trattamento - testo 32 car [utf8] [testo]</t>
  </si>
  <si>
    <t>tinfra_inv_tra_acarboni_attivi</t>
  </si>
  <si>
    <t>trattamento a carboni attivi [cnt]</t>
  </si>
  <si>
    <t>id_tra_acarboni_attivi - intero 4 byte contatore [cnt]</t>
  </si>
  <si>
    <t>trattamento a carboni attivi [testo]</t>
  </si>
  <si>
    <t>tra_acarboni_attivi - testo 32 car [utf8] [testo]</t>
  </si>
  <si>
    <t>tinfra_inv_tra_filtraz_rapida</t>
  </si>
  <si>
    <t>trattamento filtrazione rapida [cnt]</t>
  </si>
  <si>
    <t>id_tra_filtraz_rapida - intero 4 byte contatore [cnt]</t>
  </si>
  <si>
    <t>tipo filtrazione rapida [testo]</t>
  </si>
  <si>
    <t>tra_filtraz_rapida - testo 32 car [utf8] [testo]</t>
  </si>
  <si>
    <t>tinfra_inv_tra_ossida_riduzione</t>
  </si>
  <si>
    <t>trattamento ossidazione e riduzione [cnt]</t>
  </si>
  <si>
    <t>id_tra_ossida_riduzione - intero 4 byte contatore [cnt]</t>
  </si>
  <si>
    <t>trattamento ossidazione e riduzione [testo]</t>
  </si>
  <si>
    <t>tra_ossida_riduzione - testo 32 car [utf8] [testo]</t>
  </si>
  <si>
    <t>tinfra_inv_traf_aerobica</t>
  </si>
  <si>
    <t>digestione aerobica [cnt]</t>
  </si>
  <si>
    <t>id_dig_aerobica - intero 4 byte contatore [cnt]</t>
  </si>
  <si>
    <t>tipo dig.aerobica [testo]</t>
  </si>
  <si>
    <t>dig_aerobica - testo 24 car [utf8] [testo]</t>
  </si>
  <si>
    <t>tinfra_inv_traf_destina_fanghi</t>
  </si>
  <si>
    <t>destinazione fango [cnt]</t>
  </si>
  <si>
    <t>id_destinazione_fango - intero 4 byte contatore [cnt]</t>
  </si>
  <si>
    <t>destinazione fanghi [testo]</t>
  </si>
  <si>
    <t>destinazione_fango - testo 24 car [utf8] [testo]</t>
  </si>
  <si>
    <t>tinfra_inv_traf_disidratazioni</t>
  </si>
  <si>
    <t>disidratazione [cnt]</t>
  </si>
  <si>
    <t>id_disidratazione - intero 4 byte contatore [cnt]</t>
  </si>
  <si>
    <t>tipo disidratazione [testo]</t>
  </si>
  <si>
    <t>disidratazione - testo 24 car [utf8] [testo]</t>
  </si>
  <si>
    <t>tcfg_comuni</t>
  </si>
  <si>
    <t>tcfg_localita</t>
  </si>
  <si>
    <t>Nomecomune</t>
  </si>
  <si>
    <t>nc</t>
  </si>
  <si>
    <t>Abbadia San Salvatore[SI]</t>
  </si>
  <si>
    <t>Abbadia San Salvatore [SI]</t>
  </si>
  <si>
    <t>5200110001</t>
  </si>
  <si>
    <t>Abbadia San Salvatore</t>
  </si>
  <si>
    <t>Abetone[PT]</t>
  </si>
  <si>
    <t>5200140000</t>
  </si>
  <si>
    <t>Case sparse_65</t>
  </si>
  <si>
    <t>Agliana[PT]</t>
  </si>
  <si>
    <t>5200124901</t>
  </si>
  <si>
    <t>Rifugio Amiatino</t>
  </si>
  <si>
    <t>Altopascio[LU]</t>
  </si>
  <si>
    <t>5200124902</t>
  </si>
  <si>
    <t>Rifugio Cantore</t>
  </si>
  <si>
    <t>Anghiari[AR]</t>
  </si>
  <si>
    <t>Abetone [PT]</t>
  </si>
  <si>
    <t>4700110001</t>
  </si>
  <si>
    <t>Abetone</t>
  </si>
  <si>
    <t>Arcidosso[GR]</t>
  </si>
  <si>
    <t>4700126701</t>
  </si>
  <si>
    <t>Bicchiere di Sopra</t>
  </si>
  <si>
    <t>Arezzo[AR]</t>
  </si>
  <si>
    <t>4700120002</t>
  </si>
  <si>
    <t>Boscolungo</t>
  </si>
  <si>
    <t>Asciano[SI]</t>
  </si>
  <si>
    <t>4700140000</t>
  </si>
  <si>
    <t>Case sparse_275</t>
  </si>
  <si>
    <t>Aulla[MS]</t>
  </si>
  <si>
    <t>4700126603</t>
  </si>
  <si>
    <t>Cecchetto</t>
  </si>
  <si>
    <t>Badia Tedalda[AR]</t>
  </si>
  <si>
    <t>4700120004</t>
  </si>
  <si>
    <t>Consuma</t>
  </si>
  <si>
    <t>Bagni di Lucca[LU]</t>
  </si>
  <si>
    <t>4700120005</t>
  </si>
  <si>
    <t>Fontana Vaccaia</t>
  </si>
  <si>
    <t>Bagno a Ripoli[FI]</t>
  </si>
  <si>
    <t>4700126706</t>
  </si>
  <si>
    <t>La Secchia</t>
  </si>
  <si>
    <t>Bagnone[MS]</t>
  </si>
  <si>
    <t>4700110002</t>
  </si>
  <si>
    <t>Le Regine</t>
  </si>
  <si>
    <t>Barberino di Mugello[FI]</t>
  </si>
  <si>
    <t>4700110003</t>
  </si>
  <si>
    <t>Serretto</t>
  </si>
  <si>
    <t>Barberino Val d'Elsa[FI]</t>
  </si>
  <si>
    <t>Agliana [PT]</t>
  </si>
  <si>
    <t>4700210001</t>
  </si>
  <si>
    <t>Agliana</t>
  </si>
  <si>
    <t>Barga[LU]</t>
  </si>
  <si>
    <t>4700240000</t>
  </si>
  <si>
    <t>Case sparse_276</t>
  </si>
  <si>
    <t>Bibbiena[AR]</t>
  </si>
  <si>
    <t>4700210004</t>
  </si>
  <si>
    <t>Castelletto</t>
  </si>
  <si>
    <t>Bibbona[LI]</t>
  </si>
  <si>
    <t>4700210002</t>
  </si>
  <si>
    <t>Ferruccia</t>
  </si>
  <si>
    <t>Bientina[PI]</t>
  </si>
  <si>
    <t>4700210003</t>
  </si>
  <si>
    <t>Ponte dei Bini</t>
  </si>
  <si>
    <t>Borgo a Mozzano[LU]</t>
  </si>
  <si>
    <t>Altopascio [LU]</t>
  </si>
  <si>
    <t>4600110001</t>
  </si>
  <si>
    <t>Altopascio</t>
  </si>
  <si>
    <t>Borgo San Lorenzo[FI]</t>
  </si>
  <si>
    <t>4600120001</t>
  </si>
  <si>
    <t>Bartoloni</t>
  </si>
  <si>
    <t>Bucine[AR]</t>
  </si>
  <si>
    <t>4600120002</t>
  </si>
  <si>
    <t>Biagioni</t>
  </si>
  <si>
    <t>Buggiano[PT]</t>
  </si>
  <si>
    <t>4600126623</t>
  </si>
  <si>
    <t>Biagioni-Saretti</t>
  </si>
  <si>
    <t>Buonconvento[SI]</t>
  </si>
  <si>
    <t>4600126604</t>
  </si>
  <si>
    <t>Carrari</t>
  </si>
  <si>
    <t>Buti[PI]</t>
  </si>
  <si>
    <t>4600120005</t>
  </si>
  <si>
    <t>Cascine Berti</t>
  </si>
  <si>
    <t>Calci[PI]</t>
  </si>
  <si>
    <t>4600140000</t>
  </si>
  <si>
    <t>Case sparse_240</t>
  </si>
  <si>
    <t>Calcinaia[PI]</t>
  </si>
  <si>
    <t>4600120006</t>
  </si>
  <si>
    <t>Checi</t>
  </si>
  <si>
    <t>Calenzano[FI]</t>
  </si>
  <si>
    <t>4600120007</t>
  </si>
  <si>
    <t>Chimenti</t>
  </si>
  <si>
    <t>Camaiore[LU]</t>
  </si>
  <si>
    <t>4600120010</t>
  </si>
  <si>
    <t>Fabbri</t>
  </si>
  <si>
    <t>Campagnatico[GR]</t>
  </si>
  <si>
    <t>4600120011</t>
  </si>
  <si>
    <t>Gelsa</t>
  </si>
  <si>
    <t>Campi Bisenzio[FI]</t>
  </si>
  <si>
    <t>4600120012</t>
  </si>
  <si>
    <t>Gennarino</t>
  </si>
  <si>
    <t>Campiglia Marittima[LI]</t>
  </si>
  <si>
    <t>4600110002</t>
  </si>
  <si>
    <t>Marginone</t>
  </si>
  <si>
    <t>Campo nell'Elba[LI]</t>
  </si>
  <si>
    <t>4600126713</t>
  </si>
  <si>
    <t>Mazzanti</t>
  </si>
  <si>
    <t>Camporgiano[LU]</t>
  </si>
  <si>
    <t>4600110003</t>
  </si>
  <si>
    <t>Michi</t>
  </si>
  <si>
    <t>Cantagallo[PO]</t>
  </si>
  <si>
    <t>4600120014</t>
  </si>
  <si>
    <t>Nardi</t>
  </si>
  <si>
    <t>Capalbio[GR]</t>
  </si>
  <si>
    <t>4600120024</t>
  </si>
  <si>
    <t>Nardi-Palandri</t>
  </si>
  <si>
    <t>Capannoli[PI]</t>
  </si>
  <si>
    <t>4600126615</t>
  </si>
  <si>
    <t>Paoletti</t>
  </si>
  <si>
    <t>Capannori[LU]</t>
  </si>
  <si>
    <t>4600126616</t>
  </si>
  <si>
    <t>Ponte ai Pini</t>
  </si>
  <si>
    <t>Capoliveri[LI]</t>
  </si>
  <si>
    <t>4600126625</t>
  </si>
  <si>
    <t>Ponte ai Pini-Capanna</t>
  </si>
  <si>
    <t>Capolona[AR]</t>
  </si>
  <si>
    <t>4600120017</t>
  </si>
  <si>
    <t>Ponte alla Ciliegia</t>
  </si>
  <si>
    <t>Capraia e Limite[FI]</t>
  </si>
  <si>
    <t>4600120018</t>
  </si>
  <si>
    <t>Seghetti-Chiappini</t>
  </si>
  <si>
    <t>Capraia Isola[LI]</t>
  </si>
  <si>
    <t>4600110004</t>
  </si>
  <si>
    <t>Spianate</t>
  </si>
  <si>
    <t>Caprese Michelangelo[AR]</t>
  </si>
  <si>
    <t>4600126619</t>
  </si>
  <si>
    <t>Tonini</t>
  </si>
  <si>
    <t>Careggine[LU]</t>
  </si>
  <si>
    <t>4600126620</t>
  </si>
  <si>
    <t>Torre Salese</t>
  </si>
  <si>
    <t>Carmignano[PO]</t>
  </si>
  <si>
    <t>4600126621</t>
  </si>
  <si>
    <t>Tronci</t>
  </si>
  <si>
    <t>Carrara[MS]</t>
  </si>
  <si>
    <t>4600110005</t>
  </si>
  <si>
    <t>Turchetto</t>
  </si>
  <si>
    <t>Casale Marittimo[PI]</t>
  </si>
  <si>
    <t>4600120022</t>
  </si>
  <si>
    <t>Volpini</t>
  </si>
  <si>
    <t>Casciana Terme[PI]</t>
  </si>
  <si>
    <t>Anghiari [AR]</t>
  </si>
  <si>
    <t>5100110001</t>
  </si>
  <si>
    <t>Anghiari</t>
  </si>
  <si>
    <t>Cascina[PI]</t>
  </si>
  <si>
    <t>5100120001</t>
  </si>
  <si>
    <t>Bagnaia</t>
  </si>
  <si>
    <t>Casola in Lunigiana[MS]</t>
  </si>
  <si>
    <t>5100126702</t>
  </si>
  <si>
    <t>Bagnolo I</t>
  </si>
  <si>
    <t>Casole d'Elsa[SI]</t>
  </si>
  <si>
    <t>5100120003</t>
  </si>
  <si>
    <t>Bagnolo II</t>
  </si>
  <si>
    <t>Castagneto Carducci[LI]</t>
  </si>
  <si>
    <t>5100126604</t>
  </si>
  <si>
    <t>Bertine</t>
  </si>
  <si>
    <t>Castel del Piano[GR]</t>
  </si>
  <si>
    <t>5100120805</t>
  </si>
  <si>
    <t>Cappuccini di Montauto</t>
  </si>
  <si>
    <t>Castel Di Casio[BO]</t>
  </si>
  <si>
    <t>5100126706</t>
  </si>
  <si>
    <t>Carmine</t>
  </si>
  <si>
    <t>Castel Focognano[AR]</t>
  </si>
  <si>
    <t>5100140000</t>
  </si>
  <si>
    <t>Case sparse_26</t>
  </si>
  <si>
    <t>Castel San Niccolò[AR]</t>
  </si>
  <si>
    <t>5100110002</t>
  </si>
  <si>
    <t>Catigliano</t>
  </si>
  <si>
    <t>Castelfiorentino[FI]</t>
  </si>
  <si>
    <t>5100126607</t>
  </si>
  <si>
    <t>Fossa</t>
  </si>
  <si>
    <t>Castelfranco di Sopra[AR]</t>
  </si>
  <si>
    <t>5100126608</t>
  </si>
  <si>
    <t>Gualchiera Bagnolo</t>
  </si>
  <si>
    <t>Castelfranco di Sotto[PI]</t>
  </si>
  <si>
    <t>5100110003</t>
  </si>
  <si>
    <t>Motina</t>
  </si>
  <si>
    <t>Castell'Azzara[GR]</t>
  </si>
  <si>
    <t>5100126609</t>
  </si>
  <si>
    <t>Mulinello</t>
  </si>
  <si>
    <t>Castellina in Chianti[SI]</t>
  </si>
  <si>
    <t>5100120010</t>
  </si>
  <si>
    <t>Palazzo</t>
  </si>
  <si>
    <t>Castellina Marittima[PI]</t>
  </si>
  <si>
    <t>5100110004</t>
  </si>
  <si>
    <t>Ponte alla Piera</t>
  </si>
  <si>
    <t>Castelnuovo Berardenga[SI]</t>
  </si>
  <si>
    <t>5100110005</t>
  </si>
  <si>
    <t>San Leo</t>
  </si>
  <si>
    <t>Castelnuovo di Garfagnana[LU]</t>
  </si>
  <si>
    <t>5100126611</t>
  </si>
  <si>
    <t>San Lorenzo</t>
  </si>
  <si>
    <t>Castelnuovo di Val di Cecina[PI]</t>
  </si>
  <si>
    <t>5100110006</t>
  </si>
  <si>
    <t>Scheggia</t>
  </si>
  <si>
    <t>Castiglion Fibocchi[AR]</t>
  </si>
  <si>
    <t>5100121112</t>
  </si>
  <si>
    <t>Scoiano</t>
  </si>
  <si>
    <t>Castiglion Fiorentino[AR]</t>
  </si>
  <si>
    <t>5100110007</t>
  </si>
  <si>
    <t>Tavernelle</t>
  </si>
  <si>
    <t>Castiglione d'Orcia[SI]</t>
  </si>
  <si>
    <t>5100121113</t>
  </si>
  <si>
    <t>Toppole</t>
  </si>
  <si>
    <t>Castiglione Dei Pepoli[BO]</t>
  </si>
  <si>
    <t>5100126614</t>
  </si>
  <si>
    <t>Tubbiano</t>
  </si>
  <si>
    <t>Castiglione della Pescaia[GR]</t>
  </si>
  <si>
    <t>5100120017</t>
  </si>
  <si>
    <t>Upacchi</t>
  </si>
  <si>
    <t>Castiglione di Garfagnana[LU]</t>
  </si>
  <si>
    <t>5100126615</t>
  </si>
  <si>
    <t>Valialle</t>
  </si>
  <si>
    <t>Cavriglia[AR]</t>
  </si>
  <si>
    <t>5100121116</t>
  </si>
  <si>
    <t>Verazzano</t>
  </si>
  <si>
    <t>Cecina[LI]</t>
  </si>
  <si>
    <t>5100110008</t>
  </si>
  <si>
    <t>Viaio</t>
  </si>
  <si>
    <t>Cerreto Guidi[FI]</t>
  </si>
  <si>
    <t>Arcidosso [GR]</t>
  </si>
  <si>
    <t>5300120001</t>
  </si>
  <si>
    <t>Aiole</t>
  </si>
  <si>
    <t>Certaldo[FI]</t>
  </si>
  <si>
    <t>5300110001</t>
  </si>
  <si>
    <t>Arcidosso</t>
  </si>
  <si>
    <t>Cetona[SI]</t>
  </si>
  <si>
    <t>5300110002</t>
  </si>
  <si>
    <t>Bagnoli</t>
  </si>
  <si>
    <t>Chianciano Terme[SI]</t>
  </si>
  <si>
    <t>5300126702</t>
  </si>
  <si>
    <t>Benedettini</t>
  </si>
  <si>
    <t>Chianni[PI]</t>
  </si>
  <si>
    <t>5300120003</t>
  </si>
  <si>
    <t>Capannelle</t>
  </si>
  <si>
    <t>Chiesina Uzzanese[PT]</t>
  </si>
  <si>
    <t>5300120006</t>
  </si>
  <si>
    <t>Case D'Orifile</t>
  </si>
  <si>
    <t>Chitignano[AR]</t>
  </si>
  <si>
    <t>5300120009</t>
  </si>
  <si>
    <t>Case Rosse</t>
  </si>
  <si>
    <t>Chiusdino[SI]</t>
  </si>
  <si>
    <t>5300140000</t>
  </si>
  <si>
    <t>Case sparse_101</t>
  </si>
  <si>
    <t>Chiusi[SI]</t>
  </si>
  <si>
    <t>5300120011</t>
  </si>
  <si>
    <t>Fornaci</t>
  </si>
  <si>
    <t>Chiusi della Verna[AR]</t>
  </si>
  <si>
    <t>5300110003</t>
  </si>
  <si>
    <t>Le Macchie</t>
  </si>
  <si>
    <t>Cinigiano[GR]</t>
  </si>
  <si>
    <t>5300130001</t>
  </si>
  <si>
    <t>Localitá Produttiva Prodotto</t>
  </si>
  <si>
    <t>Civitella in Val di Chiana[AR]</t>
  </si>
  <si>
    <t>5300110004</t>
  </si>
  <si>
    <t>Montelaterone</t>
  </si>
  <si>
    <t>Civitella Paganico[GR]</t>
  </si>
  <si>
    <t>5300120014</t>
  </si>
  <si>
    <t>Pergole</t>
  </si>
  <si>
    <t>Colle di Val d'Elsa[SI]</t>
  </si>
  <si>
    <t>5300126619</t>
  </si>
  <si>
    <t>Piamperugino</t>
  </si>
  <si>
    <t>Collesalvetti[LI]</t>
  </si>
  <si>
    <t>5300120016</t>
  </si>
  <si>
    <t>Pino</t>
  </si>
  <si>
    <t>Comano[MS]</t>
  </si>
  <si>
    <t>5300126617</t>
  </si>
  <si>
    <t>Rondinelli</t>
  </si>
  <si>
    <t>Coreglia Antelminelli[LU]</t>
  </si>
  <si>
    <t>5300110005</t>
  </si>
  <si>
    <t>Salaiola</t>
  </si>
  <si>
    <t>Cortona[AR]</t>
  </si>
  <si>
    <t>5300110006</t>
  </si>
  <si>
    <t>Crespina[PI]</t>
  </si>
  <si>
    <t>5300120018</t>
  </si>
  <si>
    <t>Serra</t>
  </si>
  <si>
    <t>Cutigliano[PT]</t>
  </si>
  <si>
    <t>5300110007</t>
  </si>
  <si>
    <t>Stribugliano</t>
  </si>
  <si>
    <t>Dicomano[FI]</t>
  </si>
  <si>
    <t>5300110008</t>
  </si>
  <si>
    <t>Zancona</t>
  </si>
  <si>
    <t>Empoli[FI]</t>
  </si>
  <si>
    <t>Arezzo [AR]</t>
  </si>
  <si>
    <t>5100210001</t>
  </si>
  <si>
    <t>Antria</t>
  </si>
  <si>
    <t>Fabbriche di Vallico[LU]</t>
  </si>
  <si>
    <t>5100210002</t>
  </si>
  <si>
    <t>Arezzo</t>
  </si>
  <si>
    <t>Fauglia[PI]</t>
  </si>
  <si>
    <t>5100210003</t>
  </si>
  <si>
    <t>Battifolle-Ruscello-Poggiola</t>
  </si>
  <si>
    <t>Fiesole[FI]</t>
  </si>
  <si>
    <t>5100220001</t>
  </si>
  <si>
    <t>Bossi-Cellaio</t>
  </si>
  <si>
    <t>Figline Valdarno[FI]</t>
  </si>
  <si>
    <t>5100226702</t>
  </si>
  <si>
    <t>Bottega</t>
  </si>
  <si>
    <t>Filattiera[MS]</t>
  </si>
  <si>
    <t>5100226642</t>
  </si>
  <si>
    <t>Buon Riposo</t>
  </si>
  <si>
    <t>Firenze[FI]</t>
  </si>
  <si>
    <t>5100226703</t>
  </si>
  <si>
    <t>Campi</t>
  </si>
  <si>
    <t>Firenzuola[FI]</t>
  </si>
  <si>
    <t>5100210004</t>
  </si>
  <si>
    <t>Campoluci</t>
  </si>
  <si>
    <t>Fivizzano[MS]</t>
  </si>
  <si>
    <t>5100226704</t>
  </si>
  <si>
    <t>Casa al Cincio</t>
  </si>
  <si>
    <t>Foiano della Chiana[AR]</t>
  </si>
  <si>
    <t>5100220005</t>
  </si>
  <si>
    <t>Casa alla Sisa</t>
  </si>
  <si>
    <t>Follonica[GR]</t>
  </si>
  <si>
    <t>5100230001</t>
  </si>
  <si>
    <t>Casanuova di Ceciliano</t>
  </si>
  <si>
    <t>Forte dei Marmi[LU]</t>
  </si>
  <si>
    <t>5100240000</t>
  </si>
  <si>
    <t>Case sparse_27</t>
  </si>
  <si>
    <t>Fosciandora[LU]</t>
  </si>
  <si>
    <t>5100210005</t>
  </si>
  <si>
    <t>Chiassa-Tregozzano</t>
  </si>
  <si>
    <t>Fosdinovo[MS]</t>
  </si>
  <si>
    <t>5100226707</t>
  </si>
  <si>
    <t>Donatiella</t>
  </si>
  <si>
    <t>Fucecchio[FI]</t>
  </si>
  <si>
    <t>5100226708</t>
  </si>
  <si>
    <t>Dosso</t>
  </si>
  <si>
    <t>Gaiole in Chianti[SI]</t>
  </si>
  <si>
    <t>5100226709</t>
  </si>
  <si>
    <t>Fusatone-Molin Bianco</t>
  </si>
  <si>
    <t>Gallicano[LU]</t>
  </si>
  <si>
    <t>5100210006</t>
  </si>
  <si>
    <t>Giovi-Ponte alla Chiassa</t>
  </si>
  <si>
    <t>Gambassi Terme[FI]</t>
  </si>
  <si>
    <t>5100220010</t>
  </si>
  <si>
    <t>Gorgone-Marmorino</t>
  </si>
  <si>
    <t>Gavorrano[GR]</t>
  </si>
  <si>
    <t>5100226712</t>
  </si>
  <si>
    <t>I Ponti</t>
  </si>
  <si>
    <t>Giuncugnano[LU]</t>
  </si>
  <si>
    <t>5100226713</t>
  </si>
  <si>
    <t>I Sadotti</t>
  </si>
  <si>
    <t>Granaglione[BO]</t>
  </si>
  <si>
    <t>5100226611</t>
  </si>
  <si>
    <t>Il Busco</t>
  </si>
  <si>
    <t>Greve in Chianti[FI]</t>
  </si>
  <si>
    <t>5100226743</t>
  </si>
  <si>
    <t>Il Torre</t>
  </si>
  <si>
    <t>Grosseto[GR]</t>
  </si>
  <si>
    <t>5100220014</t>
  </si>
  <si>
    <t>La Costa</t>
  </si>
  <si>
    <t>Guardistallo[PI]</t>
  </si>
  <si>
    <t>5100226715</t>
  </si>
  <si>
    <t>La Filandra</t>
  </si>
  <si>
    <t>Impruneta[FI]</t>
  </si>
  <si>
    <t>5100220016</t>
  </si>
  <si>
    <t>La Pazienza</t>
  </si>
  <si>
    <t>Incisa in Val d'Arno[FI]</t>
  </si>
  <si>
    <t>5100226617</t>
  </si>
  <si>
    <t>Le Lastre</t>
  </si>
  <si>
    <t>Isola del Giglio[GR]</t>
  </si>
  <si>
    <t>5100226618</t>
  </si>
  <si>
    <t>Le Poggiacce</t>
  </si>
  <si>
    <t>Lajatico[PI]</t>
  </si>
  <si>
    <t>5100220040</t>
  </si>
  <si>
    <t>Lentignano</t>
  </si>
  <si>
    <t>Lamporecchio[PT]</t>
  </si>
  <si>
    <t>5100210007</t>
  </si>
  <si>
    <t>Marcena</t>
  </si>
  <si>
    <t>Larciano[PT]</t>
  </si>
  <si>
    <t>5100210008</t>
  </si>
  <si>
    <t>Meliciano</t>
  </si>
  <si>
    <t>Lari[PI]</t>
  </si>
  <si>
    <t>5100220019</t>
  </si>
  <si>
    <t>Molin Bianco-Pian d'Usciano</t>
  </si>
  <si>
    <t>Lastra a Signa[FI]</t>
  </si>
  <si>
    <t>5100210010</t>
  </si>
  <si>
    <t>Molin Nuovo</t>
  </si>
  <si>
    <t>Laterina[AR]</t>
  </si>
  <si>
    <t>5100210009</t>
  </si>
  <si>
    <t>Molinelli</t>
  </si>
  <si>
    <t>Licciana Nardi[MS]</t>
  </si>
  <si>
    <t>5100226620</t>
  </si>
  <si>
    <t>Monte Petrognano</t>
  </si>
  <si>
    <t>Livorno[LI]</t>
  </si>
  <si>
    <t>5100210011</t>
  </si>
  <si>
    <t>Monte Sopra Rondine</t>
  </si>
  <si>
    <t>Londa[FI]</t>
  </si>
  <si>
    <t>5100226621</t>
  </si>
  <si>
    <t>Muciafora</t>
  </si>
  <si>
    <t>Lorenzana[PI]</t>
  </si>
  <si>
    <t>5100226622</t>
  </si>
  <si>
    <t>Mugliano-Fattoria Mugliano</t>
  </si>
  <si>
    <t>Loro Ciuffenna[AR]</t>
  </si>
  <si>
    <t>5100226623</t>
  </si>
  <si>
    <t>Osteria Nuova</t>
  </si>
  <si>
    <t>Lucca[LU]</t>
  </si>
  <si>
    <t>5100226624</t>
  </si>
  <si>
    <t>Palazzetti</t>
  </si>
  <si>
    <t>Lucignano[AR]</t>
  </si>
  <si>
    <t>5100210012</t>
  </si>
  <si>
    <t>Palazzo del Pero</t>
  </si>
  <si>
    <t>Magliano in Toscana[GR]</t>
  </si>
  <si>
    <t>5100210013</t>
  </si>
  <si>
    <t>Patrignone</t>
  </si>
  <si>
    <t>Manciano[GR]</t>
  </si>
  <si>
    <t>5100220025</t>
  </si>
  <si>
    <t>Peneto</t>
  </si>
  <si>
    <t>Marciana[LI]</t>
  </si>
  <si>
    <t>5100220026</t>
  </si>
  <si>
    <t>Petrognano Basso</t>
  </si>
  <si>
    <t>Marciana Marina[LI]</t>
  </si>
  <si>
    <t>5100210014</t>
  </si>
  <si>
    <t>Ponte Buriano-Cincelli</t>
  </si>
  <si>
    <t>Marciano della Chiana[AR]</t>
  </si>
  <si>
    <t>5100210015</t>
  </si>
  <si>
    <t>Pratantico-Indicatore</t>
  </si>
  <si>
    <t>Marliana[PT]</t>
  </si>
  <si>
    <t>5100210016</t>
  </si>
  <si>
    <t>Puglia</t>
  </si>
  <si>
    <t>Marradi[FI]</t>
  </si>
  <si>
    <t>5100210017</t>
  </si>
  <si>
    <t>Quarata</t>
  </si>
  <si>
    <t>Massa[MS]</t>
  </si>
  <si>
    <t>5100230002</t>
  </si>
  <si>
    <t>Quarata zona industriale</t>
  </si>
  <si>
    <t>Massa e Cozzile[PT]</t>
  </si>
  <si>
    <t>5100226628</t>
  </si>
  <si>
    <t>Ranco di Frassineto</t>
  </si>
  <si>
    <t>Massa Marittima[GR]</t>
  </si>
  <si>
    <t>5100210018</t>
  </si>
  <si>
    <t>Salceta-Formicheto-Osteria</t>
  </si>
  <si>
    <t>Massarosa[LU]</t>
  </si>
  <si>
    <t>5100220031</t>
  </si>
  <si>
    <t>San Cassiano</t>
  </si>
  <si>
    <t>Minucciano[LU]</t>
  </si>
  <si>
    <t>5100210019</t>
  </si>
  <si>
    <t>San Firenze-Fonte di Sala</t>
  </si>
  <si>
    <t>Molazzana[LU]</t>
  </si>
  <si>
    <t>5100210020</t>
  </si>
  <si>
    <t>San Polo</t>
  </si>
  <si>
    <t>Monsummano Terme[PT]</t>
  </si>
  <si>
    <t>5100226645</t>
  </si>
  <si>
    <t>San Zeno</t>
  </si>
  <si>
    <t>Montaione[FI]</t>
  </si>
  <si>
    <t>5100210021</t>
  </si>
  <si>
    <t>Santa Maria alla Rassinata</t>
  </si>
  <si>
    <t>Montalcino[SI]</t>
  </si>
  <si>
    <t>5100220033</t>
  </si>
  <si>
    <t>Scopeto</t>
  </si>
  <si>
    <t>Montale[PT]</t>
  </si>
  <si>
    <t>5100226734</t>
  </si>
  <si>
    <t>Sereni</t>
  </si>
  <si>
    <t>Monte Argentario[GR]</t>
  </si>
  <si>
    <t>5100220035</t>
  </si>
  <si>
    <t>Stoppedarca</t>
  </si>
  <si>
    <t>Monte San Savino[AR]</t>
  </si>
  <si>
    <t>5100220036</t>
  </si>
  <si>
    <t>Stroppiello</t>
  </si>
  <si>
    <t>Montecarlo[LU]</t>
  </si>
  <si>
    <t>5100226637</t>
  </si>
  <si>
    <t>Talzano</t>
  </si>
  <si>
    <t>Montecatini Val di Cecina[PI]</t>
  </si>
  <si>
    <t>5100226638</t>
  </si>
  <si>
    <t>Terrarossa</t>
  </si>
  <si>
    <t>Montecatini-Terme[PT]</t>
  </si>
  <si>
    <t>5100226744</t>
  </si>
  <si>
    <t>Tregozzano</t>
  </si>
  <si>
    <t>Montelupo Fiorentino[FI]</t>
  </si>
  <si>
    <t>5100210022</t>
  </si>
  <si>
    <t>Venere</t>
  </si>
  <si>
    <t>Montemignaio[AR]</t>
  </si>
  <si>
    <t>Asciano [SI]</t>
  </si>
  <si>
    <t>5200210001</t>
  </si>
  <si>
    <t>Arbia</t>
  </si>
  <si>
    <t>Montemurlo[PO]</t>
  </si>
  <si>
    <t>5200210002</t>
  </si>
  <si>
    <t>Asciano</t>
  </si>
  <si>
    <t>Montepulciano[SI]</t>
  </si>
  <si>
    <t>5200226701</t>
  </si>
  <si>
    <t>Bollano</t>
  </si>
  <si>
    <t>Monterchi[AR]</t>
  </si>
  <si>
    <t>5200224910</t>
  </si>
  <si>
    <t>Casabianca</t>
  </si>
  <si>
    <t>Monteriggioni[SI]</t>
  </si>
  <si>
    <t>5200210003</t>
  </si>
  <si>
    <t>Casanova Pansarine</t>
  </si>
  <si>
    <t>Monteroni d'Arbia[SI]</t>
  </si>
  <si>
    <t>5200240000</t>
  </si>
  <si>
    <t>Case sparse_66</t>
  </si>
  <si>
    <t>Monterotondo Marittimo[GR]</t>
  </si>
  <si>
    <t>5200210004</t>
  </si>
  <si>
    <t>Chiusure</t>
  </si>
  <si>
    <t>Montescudaio[PI]</t>
  </si>
  <si>
    <t>5200224911</t>
  </si>
  <si>
    <t>Monte Sante Marie</t>
  </si>
  <si>
    <t>Montespertoli[FI]</t>
  </si>
  <si>
    <t>5200226705</t>
  </si>
  <si>
    <t>Palazzina</t>
  </si>
  <si>
    <t>Montevarchi[AR]</t>
  </si>
  <si>
    <t>5200226709</t>
  </si>
  <si>
    <t>San Leonardo</t>
  </si>
  <si>
    <t>Monteverdi Marittimo[PI]</t>
  </si>
  <si>
    <t>5200220007</t>
  </si>
  <si>
    <t>Stazione di Castelnuovo Berardenga</t>
  </si>
  <si>
    <t>Monticiano[SI]</t>
  </si>
  <si>
    <t>5200210005</t>
  </si>
  <si>
    <t>Torre A Castello</t>
  </si>
  <si>
    <t>Montieri[GR]</t>
  </si>
  <si>
    <t>5200220008</t>
  </si>
  <si>
    <t>Vescona Chiesa</t>
  </si>
  <si>
    <t>Montignoso[MS]</t>
  </si>
  <si>
    <t>5200230001</t>
  </si>
  <si>
    <t>Zona Industriale</t>
  </si>
  <si>
    <t>Montopoli in Val d'Arno[PI]</t>
  </si>
  <si>
    <t>Aulla [MS]</t>
  </si>
  <si>
    <t>4500110001</t>
  </si>
  <si>
    <t>Albiano Magra</t>
  </si>
  <si>
    <t>Mulazzo[MS]</t>
  </si>
  <si>
    <t>4500110002</t>
  </si>
  <si>
    <t>Aulla</t>
  </si>
  <si>
    <t>Murlo[SI]</t>
  </si>
  <si>
    <t>4500126601</t>
  </si>
  <si>
    <t>Bardine</t>
  </si>
  <si>
    <t>Orbetello[GR]</t>
  </si>
  <si>
    <t>4500120002</t>
  </si>
  <si>
    <t>Barisello</t>
  </si>
  <si>
    <t>Orciano Pisano[PI]</t>
  </si>
  <si>
    <t>4500120003</t>
  </si>
  <si>
    <t>Bettola</t>
  </si>
  <si>
    <t>Ortignano Raggiolo[AR]</t>
  </si>
  <si>
    <t>4500110003</t>
  </si>
  <si>
    <t>Bibola</t>
  </si>
  <si>
    <t>Palaia[PI]</t>
  </si>
  <si>
    <t>4500110004</t>
  </si>
  <si>
    <t>Bigliolo</t>
  </si>
  <si>
    <t>Palazzuolo sul Senio[FI]</t>
  </si>
  <si>
    <t>4500126604</t>
  </si>
  <si>
    <t>Bondola</t>
  </si>
  <si>
    <t>Peccioli[PI]</t>
  </si>
  <si>
    <t>4500120005</t>
  </si>
  <si>
    <t>Cadodolo</t>
  </si>
  <si>
    <t>Pelago[FI]</t>
  </si>
  <si>
    <t>4500110005</t>
  </si>
  <si>
    <t>Canova</t>
  </si>
  <si>
    <t>Pergine Valdarno[AR]</t>
  </si>
  <si>
    <t>4500110006</t>
  </si>
  <si>
    <t>Caprigliola</t>
  </si>
  <si>
    <t>Pescaglia[LU]</t>
  </si>
  <si>
    <t>4500140000</t>
  </si>
  <si>
    <t>Case sparse_223</t>
  </si>
  <si>
    <t>Pescia[PT]</t>
  </si>
  <si>
    <t>4500126606</t>
  </si>
  <si>
    <t>Fertigliana</t>
  </si>
  <si>
    <t>Pian di Sco[AR]</t>
  </si>
  <si>
    <t>4500110007</t>
  </si>
  <si>
    <t>Gorasco</t>
  </si>
  <si>
    <t>Piancastagnaio[SI]</t>
  </si>
  <si>
    <t>4500120007</t>
  </si>
  <si>
    <t>Isola</t>
  </si>
  <si>
    <t>Piazza al Serchio[LU]</t>
  </si>
  <si>
    <t>4500120008</t>
  </si>
  <si>
    <t>Malacosta</t>
  </si>
  <si>
    <t>Pienza[SI]</t>
  </si>
  <si>
    <t>4500110008</t>
  </si>
  <si>
    <t>Olivola</t>
  </si>
  <si>
    <t>Pietrasanta[LU]</t>
  </si>
  <si>
    <t>4500110009</t>
  </si>
  <si>
    <t>Pallerone</t>
  </si>
  <si>
    <t>Pieve a Nievole[PT]</t>
  </si>
  <si>
    <t>4500120009</t>
  </si>
  <si>
    <t>Pomarino</t>
  </si>
  <si>
    <t>Pieve Fosciana[LU]</t>
  </si>
  <si>
    <t>4500110010</t>
  </si>
  <si>
    <t>Quercia</t>
  </si>
  <si>
    <t>Pieve Santo Stefano[AR]</t>
  </si>
  <si>
    <t>4500110011</t>
  </si>
  <si>
    <t>Ripa</t>
  </si>
  <si>
    <t>Piombino[LI]</t>
  </si>
  <si>
    <t>4500126610</t>
  </si>
  <si>
    <t>Saldina</t>
  </si>
  <si>
    <t>Pisa[PI]</t>
  </si>
  <si>
    <t>4500126611</t>
  </si>
  <si>
    <t>Sanacco</t>
  </si>
  <si>
    <t>Pistoia[PT]</t>
  </si>
  <si>
    <t>4500110012</t>
  </si>
  <si>
    <t>Serricciolo</t>
  </si>
  <si>
    <t>Piteglio[PT]</t>
  </si>
  <si>
    <t>4500120012</t>
  </si>
  <si>
    <t>Stadano</t>
  </si>
  <si>
    <t>Pitigliano[GR]</t>
  </si>
  <si>
    <t>4500120013</t>
  </si>
  <si>
    <t>Stazione di Caprigliola-Albiano</t>
  </si>
  <si>
    <t>Podenzana[MS]</t>
  </si>
  <si>
    <t>4500120014</t>
  </si>
  <si>
    <t>Vaccareccia</t>
  </si>
  <si>
    <t>Poggibonsi[SI]</t>
  </si>
  <si>
    <t>4500120015</t>
  </si>
  <si>
    <t>Valenza</t>
  </si>
  <si>
    <t>Poggio a Caiano[PO]</t>
  </si>
  <si>
    <t>4500110013</t>
  </si>
  <si>
    <t>Vecchietto</t>
  </si>
  <si>
    <t>Pomarance[PI]</t>
  </si>
  <si>
    <t>4500120016</t>
  </si>
  <si>
    <t>Verpiana</t>
  </si>
  <si>
    <t>Ponsacco[PI]</t>
  </si>
  <si>
    <t>4500120017</t>
  </si>
  <si>
    <t>Villanova</t>
  </si>
  <si>
    <t>Pontassieve[FI]</t>
  </si>
  <si>
    <t>Badia Tedalda [AR]</t>
  </si>
  <si>
    <t>5100320001</t>
  </si>
  <si>
    <t>Arsicci</t>
  </si>
  <si>
    <t>Ponte Buggianese[PT]</t>
  </si>
  <si>
    <t>5100310001</t>
  </si>
  <si>
    <t>Badia Tedalda</t>
  </si>
  <si>
    <t>Pontedera[PI]</t>
  </si>
  <si>
    <t>5100326612</t>
  </si>
  <si>
    <t>Cá di Pietro</t>
  </si>
  <si>
    <t>Pontremoli[MS]</t>
  </si>
  <si>
    <t>5100310006</t>
  </si>
  <si>
    <t>Cá Raffaello</t>
  </si>
  <si>
    <t>Poppi[AR]</t>
  </si>
  <si>
    <t>5100310002</t>
  </si>
  <si>
    <t>Caprile</t>
  </si>
  <si>
    <t>Porcari[LU]</t>
  </si>
  <si>
    <t>5100340000</t>
  </si>
  <si>
    <t>Case sparse_28</t>
  </si>
  <si>
    <t>Porto Azzurro[LI]</t>
  </si>
  <si>
    <t>5100310003</t>
  </si>
  <si>
    <t>Fresciano</t>
  </si>
  <si>
    <t>Portoferraio[LI]</t>
  </si>
  <si>
    <t>5100326602</t>
  </si>
  <si>
    <t>Il Poggio</t>
  </si>
  <si>
    <t>Prato[PO]</t>
  </si>
  <si>
    <t>5100321103</t>
  </si>
  <si>
    <t>Montebotolino</t>
  </si>
  <si>
    <t>Pratovecchio[AR]</t>
  </si>
  <si>
    <t>5100320013</t>
  </si>
  <si>
    <t>Ortale</t>
  </si>
  <si>
    <t>Pratovecchio Stia[AR]</t>
  </si>
  <si>
    <t>5100310004</t>
  </si>
  <si>
    <t>Pratieghi</t>
  </si>
  <si>
    <t>Quarrata[PT]</t>
  </si>
  <si>
    <t>5100310005</t>
  </si>
  <si>
    <t>Rofelle</t>
  </si>
  <si>
    <t>Radda in Chianti[SI]</t>
  </si>
  <si>
    <t>5100326605</t>
  </si>
  <si>
    <t>Rofelle-CáGiovanicola</t>
  </si>
  <si>
    <t>Radicofani[SI]</t>
  </si>
  <si>
    <t>5100326614</t>
  </si>
  <si>
    <t>Santa Sofia</t>
  </si>
  <si>
    <t>Radicondoli[SI]</t>
  </si>
  <si>
    <t>5100321108</t>
  </si>
  <si>
    <t>Sant'Andrea</t>
  </si>
  <si>
    <t>Rapolano Terme[SI]</t>
  </si>
  <si>
    <t>5100326711</t>
  </si>
  <si>
    <t>Svolta del Podere</t>
  </si>
  <si>
    <t>Reggello[FI]</t>
  </si>
  <si>
    <t>5100326615</t>
  </si>
  <si>
    <t>Vallunga</t>
  </si>
  <si>
    <t>Rignano sull'Arno[FI]</t>
  </si>
  <si>
    <t>5100321117</t>
  </si>
  <si>
    <t>Viamaggio</t>
  </si>
  <si>
    <t>Rio Marina[LI]</t>
  </si>
  <si>
    <t>Bagni di Lucca [LU]</t>
  </si>
  <si>
    <t>4600210001</t>
  </si>
  <si>
    <t>Bagni di Lucca</t>
  </si>
  <si>
    <t>Rio nell'Elba[LI]</t>
  </si>
  <si>
    <t>4600210002</t>
  </si>
  <si>
    <t>Benabbio</t>
  </si>
  <si>
    <t>Riparbella[PI]</t>
  </si>
  <si>
    <t>4600210003</t>
  </si>
  <si>
    <t>Brandeglio</t>
  </si>
  <si>
    <t>Roccalbegna[GR]</t>
  </si>
  <si>
    <t>4600210004</t>
  </si>
  <si>
    <t>Casabasciana</t>
  </si>
  <si>
    <t>Roccastrada[GR]</t>
  </si>
  <si>
    <t>4600240000</t>
  </si>
  <si>
    <t>Case sparse_241</t>
  </si>
  <si>
    <t>Rosignano Marittimo[LI]</t>
  </si>
  <si>
    <t>4600210005</t>
  </si>
  <si>
    <t>Casoli</t>
  </si>
  <si>
    <t>Rufina[FI]</t>
  </si>
  <si>
    <t>4600226601</t>
  </si>
  <si>
    <t>Cevoli</t>
  </si>
  <si>
    <t>Sambuca Pistoiese[PT]</t>
  </si>
  <si>
    <t>4600220007</t>
  </si>
  <si>
    <t>Colle</t>
  </si>
  <si>
    <t>San Casciano dei Bagni[SI]</t>
  </si>
  <si>
    <t>4600210006</t>
  </si>
  <si>
    <t>Crasciana</t>
  </si>
  <si>
    <t>San Casciano in Val di Pesa[FI]</t>
  </si>
  <si>
    <t>4600210007</t>
  </si>
  <si>
    <t>Fabbriche Casabasciana</t>
  </si>
  <si>
    <t>San Gimignano[SI]</t>
  </si>
  <si>
    <t>4600210008</t>
  </si>
  <si>
    <t>Giardinetto-Ponte Maggio</t>
  </si>
  <si>
    <t>San Giovanni d'Asso[SI]</t>
  </si>
  <si>
    <t>4600210009</t>
  </si>
  <si>
    <t>Granaiola</t>
  </si>
  <si>
    <t>San Giovanni Valdarno[AR]</t>
  </si>
  <si>
    <t>4600226709</t>
  </si>
  <si>
    <t>Granaiola di Val Fegana</t>
  </si>
  <si>
    <t>San Giuliano Terme[PI]</t>
  </si>
  <si>
    <t>4600210010</t>
  </si>
  <si>
    <t>Guzzano-Pieve di Controne</t>
  </si>
  <si>
    <t>San Godenzo[FI]</t>
  </si>
  <si>
    <t>4600210011</t>
  </si>
  <si>
    <t>Limano</t>
  </si>
  <si>
    <t>San Marcello Pistoiese[PT]</t>
  </si>
  <si>
    <t>4600210012</t>
  </si>
  <si>
    <t>Longoio-Mobbiano</t>
  </si>
  <si>
    <t>San Miniato[PI]</t>
  </si>
  <si>
    <t>4600210013</t>
  </si>
  <si>
    <t>Lucchio</t>
  </si>
  <si>
    <t>San Piero a Sieve[FI]</t>
  </si>
  <si>
    <t>4600210014</t>
  </si>
  <si>
    <t>Lugliano</t>
  </si>
  <si>
    <t>San Quirico d'Orcia[SI]</t>
  </si>
  <si>
    <t>4600210015</t>
  </si>
  <si>
    <t>Lugnano-Monti di Villa</t>
  </si>
  <si>
    <t>San Romano in Garfagnana[LU]</t>
  </si>
  <si>
    <t>4600210016</t>
  </si>
  <si>
    <t>Montefegatesi</t>
  </si>
  <si>
    <t>San Vincenzo[LI]</t>
  </si>
  <si>
    <t>4600210020</t>
  </si>
  <si>
    <t>Palleggio-Cocciglia</t>
  </si>
  <si>
    <t>Sansepolcro[AR]</t>
  </si>
  <si>
    <t>4600220008</t>
  </si>
  <si>
    <t>Pian dei Berci</t>
  </si>
  <si>
    <t>Santa Croce sull'Arno[PI]</t>
  </si>
  <si>
    <t>4600220002</t>
  </si>
  <si>
    <t>Pian di Ospedaletto</t>
  </si>
  <si>
    <t>Santa Fiora[GR]</t>
  </si>
  <si>
    <t>4600226610</t>
  </si>
  <si>
    <t>Pian Grande</t>
  </si>
  <si>
    <t>Santa Luce[PI]</t>
  </si>
  <si>
    <t>4600210017</t>
  </si>
  <si>
    <t>Pieve di Monti di Villa</t>
  </si>
  <si>
    <t>Santa Maria a Monte[PI]</t>
  </si>
  <si>
    <t>4600210023</t>
  </si>
  <si>
    <t>Riolo</t>
  </si>
  <si>
    <t>Sarteano[SI]</t>
  </si>
  <si>
    <t>4600226604</t>
  </si>
  <si>
    <t>Sala</t>
  </si>
  <si>
    <t>Sassetta[LI]</t>
  </si>
  <si>
    <t>4600210018</t>
  </si>
  <si>
    <t>Scandicci[FI]</t>
  </si>
  <si>
    <t>4600210019</t>
  </si>
  <si>
    <t>San Gemignano</t>
  </si>
  <si>
    <t>Scansano[GR]</t>
  </si>
  <si>
    <t>4600210021</t>
  </si>
  <si>
    <t>Val Fegana</t>
  </si>
  <si>
    <t>Scarlino[GR]</t>
  </si>
  <si>
    <t>4600210024</t>
  </si>
  <si>
    <t>Vetteglia</t>
  </si>
  <si>
    <t>Scarperia[FI]</t>
  </si>
  <si>
    <t>4600210022</t>
  </si>
  <si>
    <t>Vico Pancellorum</t>
  </si>
  <si>
    <t>Seggiano[GR]</t>
  </si>
  <si>
    <t>4600224911</t>
  </si>
  <si>
    <t>Zato</t>
  </si>
  <si>
    <t>Semproniano[GR]</t>
  </si>
  <si>
    <t>Bagno a Ripoli [FI]</t>
  </si>
  <si>
    <t>4800110001</t>
  </si>
  <si>
    <t>Antella</t>
  </si>
  <si>
    <t>Seravezza[LU]</t>
  </si>
  <si>
    <t>4800110002</t>
  </si>
  <si>
    <t>Bagno a Ripoli</t>
  </si>
  <si>
    <t>Serravalle Pistoiese[PT]</t>
  </si>
  <si>
    <t>4800110003</t>
  </si>
  <si>
    <t>Balatro</t>
  </si>
  <si>
    <t>Sestino[AR]</t>
  </si>
  <si>
    <t>4800120001</t>
  </si>
  <si>
    <t>Balatro Rosso</t>
  </si>
  <si>
    <t>Sesto Fiorentino[FI]</t>
  </si>
  <si>
    <t>4800120002</t>
  </si>
  <si>
    <t>Bottega Nuova</t>
  </si>
  <si>
    <t>Siena[SI]</t>
  </si>
  <si>
    <t>4800110004</t>
  </si>
  <si>
    <t>Candeli</t>
  </si>
  <si>
    <t>Signa[FI]</t>
  </si>
  <si>
    <t>4800110005</t>
  </si>
  <si>
    <t>Capannuccia</t>
  </si>
  <si>
    <t>Sillano[LU]</t>
  </si>
  <si>
    <t>4800120003</t>
  </si>
  <si>
    <t>Casa Nuova</t>
  </si>
  <si>
    <t>Sinalunga[SI]</t>
  </si>
  <si>
    <t>4800120004</t>
  </si>
  <si>
    <t>Casa Vecchia</t>
  </si>
  <si>
    <t>Sorano[GR]</t>
  </si>
  <si>
    <t>4800140000</t>
  </si>
  <si>
    <t>Case sparse_138</t>
  </si>
  <si>
    <t>Sovicille[SI]</t>
  </si>
  <si>
    <t>4800110006</t>
  </si>
  <si>
    <t>Grassina Ponte a Ema</t>
  </si>
  <si>
    <t>Stazzema[LU]</t>
  </si>
  <si>
    <t>4800126606</t>
  </si>
  <si>
    <t>Gualchiere di Remole</t>
  </si>
  <si>
    <t>Stia[AR]</t>
  </si>
  <si>
    <t>4800126708</t>
  </si>
  <si>
    <t>I Renai</t>
  </si>
  <si>
    <t>Subbiano[AR]</t>
  </si>
  <si>
    <t>4800120007</t>
  </si>
  <si>
    <t>Il Bigallo</t>
  </si>
  <si>
    <t>Suvereto[LI]</t>
  </si>
  <si>
    <t>4800126609</t>
  </si>
  <si>
    <t>La Monaca</t>
  </si>
  <si>
    <t>Talla[AR]</t>
  </si>
  <si>
    <t>4800120012</t>
  </si>
  <si>
    <t>La Torre</t>
  </si>
  <si>
    <t>Tavarnelle Val di Pesa[FI]</t>
  </si>
  <si>
    <t>4800120010</t>
  </si>
  <si>
    <t>L'Apparita-Monte Pilli</t>
  </si>
  <si>
    <t>Terranuova Bracciolini[AR]</t>
  </si>
  <si>
    <t>4800120011</t>
  </si>
  <si>
    <t>Lappeggi</t>
  </si>
  <si>
    <t>Terricciola[PI]</t>
  </si>
  <si>
    <t>4800110007</t>
  </si>
  <si>
    <t>Le Case San Romolo</t>
  </si>
  <si>
    <t>Torrita di Siena[SI]</t>
  </si>
  <si>
    <t>4800120813</t>
  </si>
  <si>
    <t>L'Incontro</t>
  </si>
  <si>
    <t>Trequanda[SI]</t>
  </si>
  <si>
    <t>4800110008</t>
  </si>
  <si>
    <t>Tresana[MS]</t>
  </si>
  <si>
    <t>4800120014</t>
  </si>
  <si>
    <t>Paterno</t>
  </si>
  <si>
    <t>Uzzano[PT]</t>
  </si>
  <si>
    <t>4800120015</t>
  </si>
  <si>
    <t>Picille</t>
  </si>
  <si>
    <t>Vagli Sotto[LU]</t>
  </si>
  <si>
    <t>4800120016</t>
  </si>
  <si>
    <t>Podere la Nave-La Torre</t>
  </si>
  <si>
    <t>Vaglia[FI]</t>
  </si>
  <si>
    <t>4800120027</t>
  </si>
  <si>
    <t>Poggio a Casciano</t>
  </si>
  <si>
    <t>Vaiano[PO]</t>
  </si>
  <si>
    <t>4800120017</t>
  </si>
  <si>
    <t>Quattro Vie</t>
  </si>
  <si>
    <t>Vecchiano[PI]</t>
  </si>
  <si>
    <t>4800120018</t>
  </si>
  <si>
    <t>Rimaggino</t>
  </si>
  <si>
    <t>Vergemoli[LU]</t>
  </si>
  <si>
    <t>4800110009</t>
  </si>
  <si>
    <t>Rimaggio</t>
  </si>
  <si>
    <t>Vernio[PO]</t>
  </si>
  <si>
    <t>4800120019</t>
  </si>
  <si>
    <t>San Bartolomeo a Quarate</t>
  </si>
  <si>
    <t>Viareggio[LU]</t>
  </si>
  <si>
    <t>4800110010</t>
  </si>
  <si>
    <t>San Donato in Collina</t>
  </si>
  <si>
    <t>Vicchio[FI]</t>
  </si>
  <si>
    <t>4800120020</t>
  </si>
  <si>
    <t>San Martino</t>
  </si>
  <si>
    <t>Vicopisano[PI]</t>
  </si>
  <si>
    <t>4800120821</t>
  </si>
  <si>
    <t>Santa Chiara</t>
  </si>
  <si>
    <t>Villa Basilica[LU]</t>
  </si>
  <si>
    <t>4800122022</t>
  </si>
  <si>
    <t>Santa Monica</t>
  </si>
  <si>
    <t>Villa Collemandina[LU]</t>
  </si>
  <si>
    <t>4800122023</t>
  </si>
  <si>
    <t>Santa Teresa</t>
  </si>
  <si>
    <t>Villafranca in Lunigiana[MS]</t>
  </si>
  <si>
    <t>4800130001</t>
  </si>
  <si>
    <t>Scolivigne</t>
  </si>
  <si>
    <t>Vinci[FI]</t>
  </si>
  <si>
    <t>4800120024</t>
  </si>
  <si>
    <t>Taiano</t>
  </si>
  <si>
    <t>Volterra[PI]</t>
  </si>
  <si>
    <t>4800120025</t>
  </si>
  <si>
    <t>Vacciano</t>
  </si>
  <si>
    <t>Zeri[MS]</t>
  </si>
  <si>
    <t>4800110011</t>
  </si>
  <si>
    <t>Vallina</t>
  </si>
  <si>
    <t>Figline e Incisa Valdarno[FI]</t>
  </si>
  <si>
    <t>4800120026</t>
  </si>
  <si>
    <t>Vicchio di Rimaggio</t>
  </si>
  <si>
    <t>Castelfranco Piandiscò[AR]</t>
  </si>
  <si>
    <t>4800110012</t>
  </si>
  <si>
    <t>Villamagna</t>
  </si>
  <si>
    <t>Fabbriche di Vergemoli[LU]</t>
  </si>
  <si>
    <t>Bagnone [MS]</t>
  </si>
  <si>
    <t>4500220001</t>
  </si>
  <si>
    <t>Agnetta</t>
  </si>
  <si>
    <t>Scarperia e San Piero[FI]</t>
  </si>
  <si>
    <t>4500210001</t>
  </si>
  <si>
    <t>Bagnone</t>
  </si>
  <si>
    <t>Casciana Terme Lari[PI]</t>
  </si>
  <si>
    <t>4500224902</t>
  </si>
  <si>
    <t>Biglio</t>
  </si>
  <si>
    <t>Crespina Lorenzana[PI]</t>
  </si>
  <si>
    <t>4500220003</t>
  </si>
  <si>
    <t>Canale</t>
  </si>
  <si>
    <t>4500220004</t>
  </si>
  <si>
    <t>Canneto</t>
  </si>
  <si>
    <t>Sillano Giuncugnano[LU]</t>
  </si>
  <si>
    <t>4500240000</t>
  </si>
  <si>
    <t>Case sparse_224</t>
  </si>
  <si>
    <t>Abetone Cutigliano[PT]</t>
  </si>
  <si>
    <t>4500224905</t>
  </si>
  <si>
    <t>Cassolana</t>
  </si>
  <si>
    <t>San Marcello Piteglio[PT]</t>
  </si>
  <si>
    <t>4500210002</t>
  </si>
  <si>
    <t>Castiglione</t>
  </si>
  <si>
    <t>4500220006</t>
  </si>
  <si>
    <t>Collesino</t>
  </si>
  <si>
    <t>4500220007</t>
  </si>
  <si>
    <t>Compione</t>
  </si>
  <si>
    <t>4500210003</t>
  </si>
  <si>
    <t>Corlaga</t>
  </si>
  <si>
    <t>4500210004</t>
  </si>
  <si>
    <t>Corvarola</t>
  </si>
  <si>
    <t>4500210005</t>
  </si>
  <si>
    <t>Gabbiana</t>
  </si>
  <si>
    <t>4500210006</t>
  </si>
  <si>
    <t>Groppo</t>
  </si>
  <si>
    <t>4500210007</t>
  </si>
  <si>
    <t>Iera</t>
  </si>
  <si>
    <t>4500220014</t>
  </si>
  <si>
    <t>Leugio</t>
  </si>
  <si>
    <t>4500210008</t>
  </si>
  <si>
    <t>Lusana</t>
  </si>
  <si>
    <t>4500210009</t>
  </si>
  <si>
    <t>Mochignano di Sopra</t>
  </si>
  <si>
    <t>4500210010</t>
  </si>
  <si>
    <t>Mochignano di Sotto</t>
  </si>
  <si>
    <t>4500220008</t>
  </si>
  <si>
    <t>Monterole</t>
  </si>
  <si>
    <t>4500226609</t>
  </si>
  <si>
    <t>Nezzana</t>
  </si>
  <si>
    <t>4500210011</t>
  </si>
  <si>
    <t>Orturano</t>
  </si>
  <si>
    <t>4500210012</t>
  </si>
  <si>
    <t>Pastina</t>
  </si>
  <si>
    <t>4500210013</t>
  </si>
  <si>
    <t>Pieve</t>
  </si>
  <si>
    <t>4500220011</t>
  </si>
  <si>
    <t>Stazzone</t>
  </si>
  <si>
    <t>4500210014</t>
  </si>
  <si>
    <t>Treschietto</t>
  </si>
  <si>
    <t>4500220012</t>
  </si>
  <si>
    <t>Valle-Montale</t>
  </si>
  <si>
    <t>4500220013</t>
  </si>
  <si>
    <t>Vespeno</t>
  </si>
  <si>
    <t>4500220015</t>
  </si>
  <si>
    <t>Via della Stazione</t>
  </si>
  <si>
    <t>4500210015</t>
  </si>
  <si>
    <t>Vico</t>
  </si>
  <si>
    <t>Barberino di Mugello [FI]</t>
  </si>
  <si>
    <t>4800210001</t>
  </si>
  <si>
    <t>Barberino di Mugello</t>
  </si>
  <si>
    <t>4800220011</t>
  </si>
  <si>
    <t>Bovecchio</t>
  </si>
  <si>
    <t>4800240000</t>
  </si>
  <si>
    <t>Case sparse_139</t>
  </si>
  <si>
    <t>4800230001</t>
  </si>
  <si>
    <t>Casello</t>
  </si>
  <si>
    <t>4800210002</t>
  </si>
  <si>
    <t>Cavallina</t>
  </si>
  <si>
    <t>4800220003</t>
  </si>
  <si>
    <t>Cirignano</t>
  </si>
  <si>
    <t>4800210003</t>
  </si>
  <si>
    <t>Galliano</t>
  </si>
  <si>
    <t>4800220005</t>
  </si>
  <si>
    <t>Latera</t>
  </si>
  <si>
    <t>4800220006</t>
  </si>
  <si>
    <t>Le Maschere</t>
  </si>
  <si>
    <t>4800220007</t>
  </si>
  <si>
    <t>Mangona</t>
  </si>
  <si>
    <t>4800226708</t>
  </si>
  <si>
    <t>Monte di Fo'</t>
  </si>
  <si>
    <t>4800210004</t>
  </si>
  <si>
    <t>Montecarelli</t>
  </si>
  <si>
    <t>4800220010</t>
  </si>
  <si>
    <t>Ruzza</t>
  </si>
  <si>
    <t>4800210005</t>
  </si>
  <si>
    <t>Santa Lucia</t>
  </si>
  <si>
    <t>Barberino Val d'Elsa [FI]</t>
  </si>
  <si>
    <t>4800310001</t>
  </si>
  <si>
    <t>Barberino Val d'Elsa</t>
  </si>
  <si>
    <t>4800326701</t>
  </si>
  <si>
    <t>Casanuova del Piano</t>
  </si>
  <si>
    <t>4800340000</t>
  </si>
  <si>
    <t>Case sparse_140</t>
  </si>
  <si>
    <t>4800310006</t>
  </si>
  <si>
    <t>Cipressino</t>
  </si>
  <si>
    <t>4800326618</t>
  </si>
  <si>
    <t>Cortine</t>
  </si>
  <si>
    <t>4800326716</t>
  </si>
  <si>
    <t>Isole</t>
  </si>
  <si>
    <t>4800326603</t>
  </si>
  <si>
    <t>Linari</t>
  </si>
  <si>
    <t>4800310002</t>
  </si>
  <si>
    <t>Marcialla</t>
  </si>
  <si>
    <t>4800320014</t>
  </si>
  <si>
    <t>Marcialla Sud</t>
  </si>
  <si>
    <t>4800320004</t>
  </si>
  <si>
    <t>Monsanto I</t>
  </si>
  <si>
    <t>4800326605</t>
  </si>
  <si>
    <t>Monsanto II</t>
  </si>
  <si>
    <t>4800326606</t>
  </si>
  <si>
    <t>Pastine</t>
  </si>
  <si>
    <t>4800320007</t>
  </si>
  <si>
    <t>Petrognano</t>
  </si>
  <si>
    <t>4800326608</t>
  </si>
  <si>
    <t>Ponzano</t>
  </si>
  <si>
    <t>4800326715</t>
  </si>
  <si>
    <t>Prumiano</t>
  </si>
  <si>
    <t>4800320009</t>
  </si>
  <si>
    <t>San Filippo a Ponzano</t>
  </si>
  <si>
    <t>4800320010</t>
  </si>
  <si>
    <t>4800320011</t>
  </si>
  <si>
    <t>Sant'Appiano</t>
  </si>
  <si>
    <t>4800310003</t>
  </si>
  <si>
    <t>Tignano</t>
  </si>
  <si>
    <t>4800310004</t>
  </si>
  <si>
    <t>Vico d'Elsa</t>
  </si>
  <si>
    <t>4800326612</t>
  </si>
  <si>
    <t>Vigliano</t>
  </si>
  <si>
    <t>4800320013</t>
  </si>
  <si>
    <t>Zambra</t>
  </si>
  <si>
    <t>4800310005</t>
  </si>
  <si>
    <t>Barga [LU]</t>
  </si>
  <si>
    <t>4600326717</t>
  </si>
  <si>
    <t>A Rigali</t>
  </si>
  <si>
    <t>4600310001</t>
  </si>
  <si>
    <t>Albiano</t>
  </si>
  <si>
    <t>4600320001</t>
  </si>
  <si>
    <t>Bardani</t>
  </si>
  <si>
    <t>4600310002</t>
  </si>
  <si>
    <t>Barga</t>
  </si>
  <si>
    <t>4600326618</t>
  </si>
  <si>
    <t>Bebbio</t>
  </si>
  <si>
    <t>4600326602</t>
  </si>
  <si>
    <t>Biagi</t>
  </si>
  <si>
    <t>4600326619</t>
  </si>
  <si>
    <t>Bugliano</t>
  </si>
  <si>
    <t>4600340000</t>
  </si>
  <si>
    <t>Case sparse_242</t>
  </si>
  <si>
    <t>4600310003</t>
  </si>
  <si>
    <t>Castelvecchio Pascoli</t>
  </si>
  <si>
    <t>4600320003</t>
  </si>
  <si>
    <t>Catagnana</t>
  </si>
  <si>
    <t>4600326604</t>
  </si>
  <si>
    <t>Conti</t>
  </si>
  <si>
    <t>4600320005</t>
  </si>
  <si>
    <t>Diversi</t>
  </si>
  <si>
    <t>4600310004</t>
  </si>
  <si>
    <t>Filecchio</t>
  </si>
  <si>
    <t>4600310005</t>
  </si>
  <si>
    <t>Fornaci di Barga</t>
  </si>
  <si>
    <t>4600320006</t>
  </si>
  <si>
    <t>Frascone</t>
  </si>
  <si>
    <t>4600320007</t>
  </si>
  <si>
    <t>Giannini</t>
  </si>
  <si>
    <t>4600326723</t>
  </si>
  <si>
    <t>La Serra</t>
  </si>
  <si>
    <t>4600326709</t>
  </si>
  <si>
    <t>Loppia di Sopra</t>
  </si>
  <si>
    <t>4600320010</t>
  </si>
  <si>
    <t>Loppia di Sotto</t>
  </si>
  <si>
    <t>4600310006</t>
  </si>
  <si>
    <t>Mologno</t>
  </si>
  <si>
    <t>4600326611</t>
  </si>
  <si>
    <t>Orsucci</t>
  </si>
  <si>
    <t>4600326712</t>
  </si>
  <si>
    <t>Pian di Gragno</t>
  </si>
  <si>
    <t>4600310011</t>
  </si>
  <si>
    <t>Ponte All'Ania</t>
  </si>
  <si>
    <t>4600320013</t>
  </si>
  <si>
    <t>Ponte di Catagnana</t>
  </si>
  <si>
    <t>4600310007</t>
  </si>
  <si>
    <t>Renaio</t>
  </si>
  <si>
    <t>4600326722</t>
  </si>
  <si>
    <t>San Bernardino</t>
  </si>
  <si>
    <t>4600310008</t>
  </si>
  <si>
    <t>San Pietro in Campo</t>
  </si>
  <si>
    <t>4600320014</t>
  </si>
  <si>
    <t>Santa Maria</t>
  </si>
  <si>
    <t>4600310009</t>
  </si>
  <si>
    <t>Sommocolonia</t>
  </si>
  <si>
    <t>4600320015</t>
  </si>
  <si>
    <t>Stefanetti</t>
  </si>
  <si>
    <t>4600326616</t>
  </si>
  <si>
    <t>Tiglio Alto</t>
  </si>
  <si>
    <t>4600310010</t>
  </si>
  <si>
    <t>Tiglio Basso</t>
  </si>
  <si>
    <t>Bibbiena [AR]</t>
  </si>
  <si>
    <t>5100420012</t>
  </si>
  <si>
    <t>Banzena</t>
  </si>
  <si>
    <t>5100410002</t>
  </si>
  <si>
    <t>Bibbiena</t>
  </si>
  <si>
    <t>5100420011</t>
  </si>
  <si>
    <t>5100420001</t>
  </si>
  <si>
    <t>Camprena</t>
  </si>
  <si>
    <t>5100426716</t>
  </si>
  <si>
    <t>Casa Marco</t>
  </si>
  <si>
    <t>5100440000</t>
  </si>
  <si>
    <t>Case sparse_29</t>
  </si>
  <si>
    <t>5100426717</t>
  </si>
  <si>
    <t>Caselle</t>
  </si>
  <si>
    <t>5100410010</t>
  </si>
  <si>
    <t>Corsalone</t>
  </si>
  <si>
    <t>5100426610</t>
  </si>
  <si>
    <t>Farneta</t>
  </si>
  <si>
    <t>5100420003</t>
  </si>
  <si>
    <t>Freggina</t>
  </si>
  <si>
    <t>5100420014</t>
  </si>
  <si>
    <t>Guazzi</t>
  </si>
  <si>
    <t>5100420013</t>
  </si>
  <si>
    <t>Il Pesco</t>
  </si>
  <si>
    <t>5100426615</t>
  </si>
  <si>
    <t>Il Pozzo</t>
  </si>
  <si>
    <t>5100420004</t>
  </si>
  <si>
    <t>La Fossa</t>
  </si>
  <si>
    <t>5100420009</t>
  </si>
  <si>
    <t>Marciano</t>
  </si>
  <si>
    <t>5100410006</t>
  </si>
  <si>
    <t>Partina</t>
  </si>
  <si>
    <t>5100420005</t>
  </si>
  <si>
    <t>Pian del Ponte</t>
  </si>
  <si>
    <t>5100420006</t>
  </si>
  <si>
    <t>Poggiolo</t>
  </si>
  <si>
    <t>5100420007</t>
  </si>
  <si>
    <t>Pollino</t>
  </si>
  <si>
    <t>5100426708</t>
  </si>
  <si>
    <t>Santa Maria del Sasso</t>
  </si>
  <si>
    <t>5100410007</t>
  </si>
  <si>
    <t>Serravalle</t>
  </si>
  <si>
    <t>5100410008</t>
  </si>
  <si>
    <t>Soci</t>
  </si>
  <si>
    <t>5100410009</t>
  </si>
  <si>
    <t>Terrossola</t>
  </si>
  <si>
    <t>Bibbona [LI]</t>
  </si>
  <si>
    <t>4900110001</t>
  </si>
  <si>
    <t>Bibbona</t>
  </si>
  <si>
    <t>4900140000</t>
  </si>
  <si>
    <t>Case sparse_182</t>
  </si>
  <si>
    <t>4900110002</t>
  </si>
  <si>
    <t>La California</t>
  </si>
  <si>
    <t>4900130001</t>
  </si>
  <si>
    <t>Mannaione</t>
  </si>
  <si>
    <t>4900110003</t>
  </si>
  <si>
    <t>Marina di Bibbona</t>
  </si>
  <si>
    <t>4900120001</t>
  </si>
  <si>
    <t>Stazione Bibbona</t>
  </si>
  <si>
    <t>4900120002</t>
  </si>
  <si>
    <t>Stazione Bolgheri</t>
  </si>
  <si>
    <t>Bientina [PI]</t>
  </si>
  <si>
    <t>5000110001</t>
  </si>
  <si>
    <t>Bientina</t>
  </si>
  <si>
    <t>5000110005</t>
  </si>
  <si>
    <t>Caccialupi</t>
  </si>
  <si>
    <t>5000126605</t>
  </si>
  <si>
    <t>Case Mazzantino</t>
  </si>
  <si>
    <t>5000140000</t>
  </si>
  <si>
    <t>Case sparse_202</t>
  </si>
  <si>
    <t>5000110006</t>
  </si>
  <si>
    <t>La Tura</t>
  </si>
  <si>
    <t>5000120007</t>
  </si>
  <si>
    <t>Podere Sant'Achille</t>
  </si>
  <si>
    <t>5000126610</t>
  </si>
  <si>
    <t>Poggio Tondo</t>
  </si>
  <si>
    <t>5000126606</t>
  </si>
  <si>
    <t>Ponte dell'Antico</t>
  </si>
  <si>
    <t>5000110002</t>
  </si>
  <si>
    <t>Puntone</t>
  </si>
  <si>
    <t>5000110003</t>
  </si>
  <si>
    <t>Quattro Strade</t>
  </si>
  <si>
    <t>5000110004</t>
  </si>
  <si>
    <t>Santa Colomba</t>
  </si>
  <si>
    <t>Borgo a Mozzano [LU]</t>
  </si>
  <si>
    <t>4600410001</t>
  </si>
  <si>
    <t>Anchiano</t>
  </si>
  <si>
    <t>4600410002</t>
  </si>
  <si>
    <t>Borgo a Mozzano</t>
  </si>
  <si>
    <t>4600440000</t>
  </si>
  <si>
    <t>Case sparse_243</t>
  </si>
  <si>
    <t>4600420002</t>
  </si>
  <si>
    <t>Castello</t>
  </si>
  <si>
    <t>4600410003</t>
  </si>
  <si>
    <t>Chifenti</t>
  </si>
  <si>
    <t>4600420003</t>
  </si>
  <si>
    <t>Chiusurli</t>
  </si>
  <si>
    <t>4600426604</t>
  </si>
  <si>
    <t>4600426605</t>
  </si>
  <si>
    <t>Colletto</t>
  </si>
  <si>
    <t>4600410004</t>
  </si>
  <si>
    <t>Corsagna</t>
  </si>
  <si>
    <t>4600410005</t>
  </si>
  <si>
    <t>Cune</t>
  </si>
  <si>
    <t>4600420006</t>
  </si>
  <si>
    <t>Dezza</t>
  </si>
  <si>
    <t>4600410006</t>
  </si>
  <si>
    <t>Diecimo</t>
  </si>
  <si>
    <t>4600410007</t>
  </si>
  <si>
    <t>Domazzano</t>
  </si>
  <si>
    <t>4600410008</t>
  </si>
  <si>
    <t>Gioviano</t>
  </si>
  <si>
    <t>4600410009</t>
  </si>
  <si>
    <t>Motrone</t>
  </si>
  <si>
    <t>4600410010</t>
  </si>
  <si>
    <t>Oneta</t>
  </si>
  <si>
    <t>4600420007</t>
  </si>
  <si>
    <t>Particelle</t>
  </si>
  <si>
    <t>4600410011</t>
  </si>
  <si>
    <t>Partigliano</t>
  </si>
  <si>
    <t>4600420008</t>
  </si>
  <si>
    <t>Pastino</t>
  </si>
  <si>
    <t>4600410012</t>
  </si>
  <si>
    <t>Pedogna</t>
  </si>
  <si>
    <t>4600410013</t>
  </si>
  <si>
    <t>Piano della Rocca</t>
  </si>
  <si>
    <t>4600426609</t>
  </si>
  <si>
    <t>Pieve di Cerreto</t>
  </si>
  <si>
    <t>4600426610</t>
  </si>
  <si>
    <t>Ponte della Maddalena</t>
  </si>
  <si>
    <t>4600420011</t>
  </si>
  <si>
    <t>Rocca</t>
  </si>
  <si>
    <t>4600420012</t>
  </si>
  <si>
    <t>Salita</t>
  </si>
  <si>
    <t>4600426613</t>
  </si>
  <si>
    <t>San Donato</t>
  </si>
  <si>
    <t>4600410014</t>
  </si>
  <si>
    <t>San Romano</t>
  </si>
  <si>
    <t>4600420014</t>
  </si>
  <si>
    <t>Socciglia</t>
  </si>
  <si>
    <t>4600410015</t>
  </si>
  <si>
    <t>Tempagnano</t>
  </si>
  <si>
    <t>4600420015</t>
  </si>
  <si>
    <t>Torre</t>
  </si>
  <si>
    <t>4600410016</t>
  </si>
  <si>
    <t>Valdottavo</t>
  </si>
  <si>
    <t>Borgo San Lorenzo [FI]</t>
  </si>
  <si>
    <t>4800410001</t>
  </si>
  <si>
    <t>Arliano</t>
  </si>
  <si>
    <t>4800420601</t>
  </si>
  <si>
    <t>Asilo Poggiolo</t>
  </si>
  <si>
    <t>4800420002</t>
  </si>
  <si>
    <t>Battiloro</t>
  </si>
  <si>
    <t>4800410002</t>
  </si>
  <si>
    <t>Borgo San Lorenzo</t>
  </si>
  <si>
    <t>4800426603</t>
  </si>
  <si>
    <t>Canicce</t>
  </si>
  <si>
    <t>4800410003</t>
  </si>
  <si>
    <t>Casaglia</t>
  </si>
  <si>
    <t>4800440000</t>
  </si>
  <si>
    <t>Case sparse_141</t>
  </si>
  <si>
    <t>4800426705</t>
  </si>
  <si>
    <t>Castellina di Sotto</t>
  </si>
  <si>
    <t>4800426706</t>
  </si>
  <si>
    <t>Corniolo</t>
  </si>
  <si>
    <t>4800410004</t>
  </si>
  <si>
    <t>Faltona</t>
  </si>
  <si>
    <t>4800420034</t>
  </si>
  <si>
    <t>Faltona Nuova</t>
  </si>
  <si>
    <t>4800420007</t>
  </si>
  <si>
    <t>Ferracciano</t>
  </si>
  <si>
    <t>4800426708</t>
  </si>
  <si>
    <t>Fontanelle</t>
  </si>
  <si>
    <t>4800410005</t>
  </si>
  <si>
    <t>Grezzano</t>
  </si>
  <si>
    <t>4800426609</t>
  </si>
  <si>
    <t>Gricignano</t>
  </si>
  <si>
    <t>4800420013</t>
  </si>
  <si>
    <t>4800420012</t>
  </si>
  <si>
    <t>Larciano</t>
  </si>
  <si>
    <t>4800420014</t>
  </si>
  <si>
    <t>Le Case di Risolaia</t>
  </si>
  <si>
    <t>4800410006</t>
  </si>
  <si>
    <t>Luco Mugello</t>
  </si>
  <si>
    <t>4800420033</t>
  </si>
  <si>
    <t>Lutiano Nuovo</t>
  </si>
  <si>
    <t>4800420017</t>
  </si>
  <si>
    <t>Madonna dei Tre Fiumi</t>
  </si>
  <si>
    <t>4800426718</t>
  </si>
  <si>
    <t>Madonna della Febbre</t>
  </si>
  <si>
    <t>4800426619</t>
  </si>
  <si>
    <t>Montepulico</t>
  </si>
  <si>
    <t>4800426720</t>
  </si>
  <si>
    <t>Mucciano</t>
  </si>
  <si>
    <t>4800410007</t>
  </si>
  <si>
    <t>Mulinaccio</t>
  </si>
  <si>
    <t>4800426621</t>
  </si>
  <si>
    <t>Ochi</t>
  </si>
  <si>
    <t>4800420022</t>
  </si>
  <si>
    <t>Olmi</t>
  </si>
  <si>
    <t>4800410008</t>
  </si>
  <si>
    <t>Panicaglia</t>
  </si>
  <si>
    <t>4800410009</t>
  </si>
  <si>
    <t>Piazzano</t>
  </si>
  <si>
    <t>4800410010</t>
  </si>
  <si>
    <t>Poggiolo-Salaiole</t>
  </si>
  <si>
    <t>4800410011</t>
  </si>
  <si>
    <t>Polcanto</t>
  </si>
  <si>
    <t>4800410012</t>
  </si>
  <si>
    <t>Rabatta</t>
  </si>
  <si>
    <t>4800410013</t>
  </si>
  <si>
    <t>Razzuolo</t>
  </si>
  <si>
    <t>4800410014</t>
  </si>
  <si>
    <t>Ronta</t>
  </si>
  <si>
    <t>4800410015</t>
  </si>
  <si>
    <t>Sagginale</t>
  </si>
  <si>
    <t>4800420026</t>
  </si>
  <si>
    <t>San Giorgio</t>
  </si>
  <si>
    <t>4800426627</t>
  </si>
  <si>
    <t>San Giovanni Maggiore</t>
  </si>
  <si>
    <t>4800426732</t>
  </si>
  <si>
    <t>Viterete</t>
  </si>
  <si>
    <t>Bucine [AR]</t>
  </si>
  <si>
    <t>5100510001</t>
  </si>
  <si>
    <t>Ambra</t>
  </si>
  <si>
    <t>5100510003</t>
  </si>
  <si>
    <t>Badia A Ruoti</t>
  </si>
  <si>
    <t>5100510002</t>
  </si>
  <si>
    <t>Badia Agnano</t>
  </si>
  <si>
    <t>5100520001</t>
  </si>
  <si>
    <t>Bellavista</t>
  </si>
  <si>
    <t>5100510004</t>
  </si>
  <si>
    <t>Bucine</t>
  </si>
  <si>
    <t>5100510005</t>
  </si>
  <si>
    <t>Capannole</t>
  </si>
  <si>
    <t>5100526602</t>
  </si>
  <si>
    <t>Casa Caroni</t>
  </si>
  <si>
    <t>5100526703</t>
  </si>
  <si>
    <t>Casa Mugnaini</t>
  </si>
  <si>
    <t>5100520004</t>
  </si>
  <si>
    <t>Case Mearino</t>
  </si>
  <si>
    <t>5100540000</t>
  </si>
  <si>
    <t>Case sparse_30</t>
  </si>
  <si>
    <t>5100510006</t>
  </si>
  <si>
    <t>Cennina</t>
  </si>
  <si>
    <t>5100520005</t>
  </si>
  <si>
    <t>Duddova</t>
  </si>
  <si>
    <t>5100520006</t>
  </si>
  <si>
    <t>Gavignano</t>
  </si>
  <si>
    <t>5100526607</t>
  </si>
  <si>
    <t>Il Prato</t>
  </si>
  <si>
    <t>5100526618</t>
  </si>
  <si>
    <t>La Pietrella</t>
  </si>
  <si>
    <t>5100526610</t>
  </si>
  <si>
    <t>Le Mura</t>
  </si>
  <si>
    <t>5100510007</t>
  </si>
  <si>
    <t>Levane</t>
  </si>
  <si>
    <t>5100526611</t>
  </si>
  <si>
    <t>Molino di Bucine</t>
  </si>
  <si>
    <t>5100526712</t>
  </si>
  <si>
    <t>Molino di Mezzo</t>
  </si>
  <si>
    <t>5100510008</t>
  </si>
  <si>
    <t>Montebenichi</t>
  </si>
  <si>
    <t>5100526619</t>
  </si>
  <si>
    <t>Mulin di Dino</t>
  </si>
  <si>
    <t>5100526720</t>
  </si>
  <si>
    <t>Palazzetto II</t>
  </si>
  <si>
    <t>5100526613</t>
  </si>
  <si>
    <t>Perelli</t>
  </si>
  <si>
    <t>5100510009</t>
  </si>
  <si>
    <t>Pietraviva</t>
  </si>
  <si>
    <t>5100510010</t>
  </si>
  <si>
    <t>Pogi</t>
  </si>
  <si>
    <t>5100510011</t>
  </si>
  <si>
    <t>Rapale</t>
  </si>
  <si>
    <t>5100510012</t>
  </si>
  <si>
    <t>San Leolino</t>
  </si>
  <si>
    <t>5100520014</t>
  </si>
  <si>
    <t>5100510013</t>
  </si>
  <si>
    <t>San Pancrazio</t>
  </si>
  <si>
    <t>5100524921</t>
  </si>
  <si>
    <t>Sogna</t>
  </si>
  <si>
    <t>5100520015</t>
  </si>
  <si>
    <t>Solata</t>
  </si>
  <si>
    <t>5100510014</t>
  </si>
  <si>
    <t>5100526622</t>
  </si>
  <si>
    <t>Vepri</t>
  </si>
  <si>
    <t>Buggiano [PT]</t>
  </si>
  <si>
    <t>4700326605</t>
  </si>
  <si>
    <t>4700310001</t>
  </si>
  <si>
    <t>Borgo a Buggiano</t>
  </si>
  <si>
    <t>4700310002</t>
  </si>
  <si>
    <t>Buggiano Castello</t>
  </si>
  <si>
    <t>4700340000</t>
  </si>
  <si>
    <t>Case sparse_277</t>
  </si>
  <si>
    <t>4700310003</t>
  </si>
  <si>
    <t>Colle di Buggiano</t>
  </si>
  <si>
    <t>4700326601</t>
  </si>
  <si>
    <t>La Pineta</t>
  </si>
  <si>
    <t>4700326602</t>
  </si>
  <si>
    <t>Malocchio</t>
  </si>
  <si>
    <t>4700326606</t>
  </si>
  <si>
    <t>Molinetto</t>
  </si>
  <si>
    <t>4700326603</t>
  </si>
  <si>
    <t>Selva</t>
  </si>
  <si>
    <t>4700310004</t>
  </si>
  <si>
    <t>Stignano</t>
  </si>
  <si>
    <t>4700326704</t>
  </si>
  <si>
    <t>Tavolaia</t>
  </si>
  <si>
    <t>Buonconvento [SI]</t>
  </si>
  <si>
    <t>5200310001</t>
  </si>
  <si>
    <t>Bibbiano</t>
  </si>
  <si>
    <t>5200310002</t>
  </si>
  <si>
    <t>Buonconvento</t>
  </si>
  <si>
    <t>5200340000</t>
  </si>
  <si>
    <t>Case sparse_67</t>
  </si>
  <si>
    <t>5200310003</t>
  </si>
  <si>
    <t>Ponte d'Arbia</t>
  </si>
  <si>
    <t>5200326602</t>
  </si>
  <si>
    <t>Buti [PI]</t>
  </si>
  <si>
    <t>5000210001</t>
  </si>
  <si>
    <t>Buti</t>
  </si>
  <si>
    <t>5000210002</t>
  </si>
  <si>
    <t>Cascine-La Croce</t>
  </si>
  <si>
    <t>5000240000</t>
  </si>
  <si>
    <t>Case sparse_203</t>
  </si>
  <si>
    <t>5000220001</t>
  </si>
  <si>
    <t>Castel di Nocco</t>
  </si>
  <si>
    <t>5000210003</t>
  </si>
  <si>
    <t>Dogana di Tiglio</t>
  </si>
  <si>
    <t>5000226602</t>
  </si>
  <si>
    <t>Valle di Badia</t>
  </si>
  <si>
    <t>Calci [PI]</t>
  </si>
  <si>
    <t>5000310001</t>
  </si>
  <si>
    <t>Calci</t>
  </si>
  <si>
    <t>5000340000</t>
  </si>
  <si>
    <t>Case sparse_204</t>
  </si>
  <si>
    <t>5000310002</t>
  </si>
  <si>
    <t>Gabella</t>
  </si>
  <si>
    <t>5000310003</t>
  </si>
  <si>
    <t>Montemagno</t>
  </si>
  <si>
    <t>5000330001</t>
  </si>
  <si>
    <t>Paduletto</t>
  </si>
  <si>
    <t>5000320005</t>
  </si>
  <si>
    <t>Villa</t>
  </si>
  <si>
    <t>Calcinaia [PI]</t>
  </si>
  <si>
    <t>5000410001</t>
  </si>
  <si>
    <t>Calcinaia</t>
  </si>
  <si>
    <t>5000420001</t>
  </si>
  <si>
    <t>Case Bianche</t>
  </si>
  <si>
    <t>5000410002</t>
  </si>
  <si>
    <t>Case Sardina</t>
  </si>
  <si>
    <t>5000440000</t>
  </si>
  <si>
    <t>Case sparse_205</t>
  </si>
  <si>
    <t>5000410003</t>
  </si>
  <si>
    <t>Chiesino-Collodi</t>
  </si>
  <si>
    <t>5000410004</t>
  </si>
  <si>
    <t>Fornacette</t>
  </si>
  <si>
    <t>5000420004</t>
  </si>
  <si>
    <t>Ponte alla Navetta</t>
  </si>
  <si>
    <t>5000420005</t>
  </si>
  <si>
    <t>San Teodoro-Cignoni</t>
  </si>
  <si>
    <t>Calenzano [FI]</t>
  </si>
  <si>
    <t>4800510001</t>
  </si>
  <si>
    <t>Calenzano</t>
  </si>
  <si>
    <t>4800510002</t>
  </si>
  <si>
    <t>Carraia</t>
  </si>
  <si>
    <t>4800540000</t>
  </si>
  <si>
    <t>Case sparse_142</t>
  </si>
  <si>
    <t>4800520001</t>
  </si>
  <si>
    <t>Collinuzza</t>
  </si>
  <si>
    <t>4800510003</t>
  </si>
  <si>
    <t>Croci di Calenzano</t>
  </si>
  <si>
    <t>4800520002</t>
  </si>
  <si>
    <t>Davanzello</t>
  </si>
  <si>
    <t>4800520003</t>
  </si>
  <si>
    <t>La Chiusa</t>
  </si>
  <si>
    <t>4800520009</t>
  </si>
  <si>
    <t>Le Vigne</t>
  </si>
  <si>
    <t>4800510004</t>
  </si>
  <si>
    <t>Legri</t>
  </si>
  <si>
    <t>4800520004</t>
  </si>
  <si>
    <t>Londolatico</t>
  </si>
  <si>
    <t>4800520010</t>
  </si>
  <si>
    <t>Muriccia</t>
  </si>
  <si>
    <t>4800526705</t>
  </si>
  <si>
    <t>Pratello</t>
  </si>
  <si>
    <t>4800521106</t>
  </si>
  <si>
    <t>San Pietro a Casaglia</t>
  </si>
  <si>
    <t>4800520007</t>
  </si>
  <si>
    <t>Sant'Angelo</t>
  </si>
  <si>
    <t>4800526608</t>
  </si>
  <si>
    <t>Travalle</t>
  </si>
  <si>
    <t>Camaiore [LU]</t>
  </si>
  <si>
    <t>4600520001</t>
  </si>
  <si>
    <t>Acquaviva</t>
  </si>
  <si>
    <t>4600520002</t>
  </si>
  <si>
    <t>Agliano Peralla</t>
  </si>
  <si>
    <t>4600520003</t>
  </si>
  <si>
    <t>Anticiana</t>
  </si>
  <si>
    <t>4600520004</t>
  </si>
  <si>
    <t>Bartoli</t>
  </si>
  <si>
    <t>4600520006</t>
  </si>
  <si>
    <t>Buchignano</t>
  </si>
  <si>
    <t>4600510001</t>
  </si>
  <si>
    <t>Camaiore</t>
  </si>
  <si>
    <t>4600520008</t>
  </si>
  <si>
    <t>Capanne</t>
  </si>
  <si>
    <t>4600526609</t>
  </si>
  <si>
    <t>Capanne di Licetro</t>
  </si>
  <si>
    <t>4600540000</t>
  </si>
  <si>
    <t>Case sparse_244</t>
  </si>
  <si>
    <t>4600510002</t>
  </si>
  <si>
    <t>4600526610</t>
  </si>
  <si>
    <t>4600510003</t>
  </si>
  <si>
    <t>Culla</t>
  </si>
  <si>
    <t>4600510004</t>
  </si>
  <si>
    <t>Fibbialla</t>
  </si>
  <si>
    <t>4600510005</t>
  </si>
  <si>
    <t>Fibbiano</t>
  </si>
  <si>
    <t>4600510006</t>
  </si>
  <si>
    <t>Gombitelli</t>
  </si>
  <si>
    <t>4600510007</t>
  </si>
  <si>
    <t>Greppolungo</t>
  </si>
  <si>
    <t>4600530001</t>
  </si>
  <si>
    <t>Le Bocchette</t>
  </si>
  <si>
    <t>4600526611</t>
  </si>
  <si>
    <t>Licetro</t>
  </si>
  <si>
    <t>4600510008</t>
  </si>
  <si>
    <t>Metato</t>
  </si>
  <si>
    <t>4600510009</t>
  </si>
  <si>
    <t>Migliano</t>
  </si>
  <si>
    <t>4600510010</t>
  </si>
  <si>
    <t>Monteggiori</t>
  </si>
  <si>
    <t>4600510011</t>
  </si>
  <si>
    <t>4600510012</t>
  </si>
  <si>
    <t>Nocchi</t>
  </si>
  <si>
    <t>4600510013</t>
  </si>
  <si>
    <t>Orbicciano</t>
  </si>
  <si>
    <t>4600520012</t>
  </si>
  <si>
    <t>Panicale</t>
  </si>
  <si>
    <t>4600510014</t>
  </si>
  <si>
    <t>Pedona</t>
  </si>
  <si>
    <t>4600510015</t>
  </si>
  <si>
    <t>Pontemazzori</t>
  </si>
  <si>
    <t>4600520013</t>
  </si>
  <si>
    <t>Prato di Sopra</t>
  </si>
  <si>
    <t>4600520014</t>
  </si>
  <si>
    <t>Salapreti</t>
  </si>
  <si>
    <t>4600510016</t>
  </si>
  <si>
    <t>4600510017</t>
  </si>
  <si>
    <t>4600510018</t>
  </si>
  <si>
    <t>Torcigliano</t>
  </si>
  <si>
    <t>4600526615</t>
  </si>
  <si>
    <t>Trina</t>
  </si>
  <si>
    <t>4600526716</t>
  </si>
  <si>
    <t>Vallone</t>
  </si>
  <si>
    <t>4600510019</t>
  </si>
  <si>
    <t>Valpromaro</t>
  </si>
  <si>
    <t>Campagnatico [GR]</t>
  </si>
  <si>
    <t>5300210001</t>
  </si>
  <si>
    <t>Arcille</t>
  </si>
  <si>
    <t>5300210002</t>
  </si>
  <si>
    <t>Campagnatico</t>
  </si>
  <si>
    <t>5300220001</t>
  </si>
  <si>
    <t>Campino</t>
  </si>
  <si>
    <t>5300240000</t>
  </si>
  <si>
    <t>Case sparse_102</t>
  </si>
  <si>
    <t>5300220002</t>
  </si>
  <si>
    <t>Granaione</t>
  </si>
  <si>
    <t>5300226703</t>
  </si>
  <si>
    <t>Migliorini</t>
  </si>
  <si>
    <t>5300210003</t>
  </si>
  <si>
    <t>Montorsaio</t>
  </si>
  <si>
    <t>5300220004</t>
  </si>
  <si>
    <t>Pianetto</t>
  </si>
  <si>
    <t>5300226705</t>
  </si>
  <si>
    <t>Sabatina</t>
  </si>
  <si>
    <t>5300220006</t>
  </si>
  <si>
    <t>Sant'Antonio</t>
  </si>
  <si>
    <t>5300220007</t>
  </si>
  <si>
    <t>Sticcianese</t>
  </si>
  <si>
    <t>Campi Bisenzio [FI]</t>
  </si>
  <si>
    <t>4800610001</t>
  </si>
  <si>
    <t>Campi Bisenzio</t>
  </si>
  <si>
    <t>4800620002</t>
  </si>
  <si>
    <t>Case Papucci</t>
  </si>
  <si>
    <t>4800640000</t>
  </si>
  <si>
    <t>Case sparse_143</t>
  </si>
  <si>
    <t>4800620003</t>
  </si>
  <si>
    <t>Centola</t>
  </si>
  <si>
    <t>4800620006</t>
  </si>
  <si>
    <t>Fornello</t>
  </si>
  <si>
    <t>4800610002</t>
  </si>
  <si>
    <t>Il Rosi</t>
  </si>
  <si>
    <t>4800620008</t>
  </si>
  <si>
    <t>La Madonnina</t>
  </si>
  <si>
    <t>4800620009</t>
  </si>
  <si>
    <t>Le Miccine</t>
  </si>
  <si>
    <t>4800620010</t>
  </si>
  <si>
    <t>Le Torri</t>
  </si>
  <si>
    <t>4800620011</t>
  </si>
  <si>
    <t>Limite</t>
  </si>
  <si>
    <t>4800620012</t>
  </si>
  <si>
    <t>Maccione</t>
  </si>
  <si>
    <t>4800610003</t>
  </si>
  <si>
    <t>Ponte all'Asse</t>
  </si>
  <si>
    <t>4800620013</t>
  </si>
  <si>
    <t>Prataccio</t>
  </si>
  <si>
    <t>4800610004</t>
  </si>
  <si>
    <t>San Donnino</t>
  </si>
  <si>
    <t>4800610005</t>
  </si>
  <si>
    <t>San Giorgio a Colonica</t>
  </si>
  <si>
    <t>4800610006</t>
  </si>
  <si>
    <t>4800610007</t>
  </si>
  <si>
    <t>Tre Ville</t>
  </si>
  <si>
    <t>4800610008</t>
  </si>
  <si>
    <t>Valico</t>
  </si>
  <si>
    <t>Campiglia Marittima [LI]</t>
  </si>
  <si>
    <t>4900220001</t>
  </si>
  <si>
    <t>Bandita</t>
  </si>
  <si>
    <t>4900220002</t>
  </si>
  <si>
    <t>Banditelle</t>
  </si>
  <si>
    <t>4900210001</t>
  </si>
  <si>
    <t>Cafaggio</t>
  </si>
  <si>
    <t>4900220008</t>
  </si>
  <si>
    <t>Campalto</t>
  </si>
  <si>
    <t>4900210002</t>
  </si>
  <si>
    <t>Campiglia Marittima</t>
  </si>
  <si>
    <t>4900230001</t>
  </si>
  <si>
    <t>Campo alla Croce</t>
  </si>
  <si>
    <t>4900226609</t>
  </si>
  <si>
    <t>Casalappi</t>
  </si>
  <si>
    <t>4900240000</t>
  </si>
  <si>
    <t>Case sparse_183</t>
  </si>
  <si>
    <t>4900224912</t>
  </si>
  <si>
    <t>Dieci vecchi</t>
  </si>
  <si>
    <t>4900226710</t>
  </si>
  <si>
    <t>Granai</t>
  </si>
  <si>
    <t>4900230002</t>
  </si>
  <si>
    <t>Localitá Produttiva Montevalerio</t>
  </si>
  <si>
    <t>4900220004</t>
  </si>
  <si>
    <t>Lumiere</t>
  </si>
  <si>
    <t>4900220005</t>
  </si>
  <si>
    <t>Montioncello</t>
  </si>
  <si>
    <t>4900220012</t>
  </si>
  <si>
    <t>Mulino Barani</t>
  </si>
  <si>
    <t>4900220011</t>
  </si>
  <si>
    <t>Parco Termale</t>
  </si>
  <si>
    <t>4900220006</t>
  </si>
  <si>
    <t>Rovinato</t>
  </si>
  <si>
    <t>4900220007</t>
  </si>
  <si>
    <t>Stazione di Campiglia Marittima</t>
  </si>
  <si>
    <t>4900210003</t>
  </si>
  <si>
    <t>Venturina</t>
  </si>
  <si>
    <t>Campo nell'Elba [LI]</t>
  </si>
  <si>
    <t>4900320001</t>
  </si>
  <si>
    <t>Bonalaccia-Filetto</t>
  </si>
  <si>
    <t>4900326612</t>
  </si>
  <si>
    <t>Capannili</t>
  </si>
  <si>
    <t>4900340000</t>
  </si>
  <si>
    <t>Case sparse_184</t>
  </si>
  <si>
    <t>4900320002</t>
  </si>
  <si>
    <t>Cavoli</t>
  </si>
  <si>
    <t>4900326603</t>
  </si>
  <si>
    <t>Colle di Palombaia</t>
  </si>
  <si>
    <t>4900320004</t>
  </si>
  <si>
    <t>Fetovaia</t>
  </si>
  <si>
    <t>4900320005</t>
  </si>
  <si>
    <t>Gli Alzi</t>
  </si>
  <si>
    <t>4900310001</t>
  </si>
  <si>
    <t>La Pila</t>
  </si>
  <si>
    <t>4900326610</t>
  </si>
  <si>
    <t>Literno</t>
  </si>
  <si>
    <t>4900310002</t>
  </si>
  <si>
    <t>Marina di Campo</t>
  </si>
  <si>
    <t>4900320009</t>
  </si>
  <si>
    <t>Pianosa</t>
  </si>
  <si>
    <t>4900310003</t>
  </si>
  <si>
    <t>Pomonte</t>
  </si>
  <si>
    <t>4900310004</t>
  </si>
  <si>
    <t>San Piero in Campo</t>
  </si>
  <si>
    <t>4900310005</t>
  </si>
  <si>
    <t>Sant'Ilario</t>
  </si>
  <si>
    <t>4900310006</t>
  </si>
  <si>
    <t>Secchetto</t>
  </si>
  <si>
    <t>4900320013</t>
  </si>
  <si>
    <t>Vallebuia</t>
  </si>
  <si>
    <t>4900320011</t>
  </si>
  <si>
    <t>Vigne Giunche</t>
  </si>
  <si>
    <t>Camporgiano [LU]</t>
  </si>
  <si>
    <t>4600620001</t>
  </si>
  <si>
    <t>Borelletta</t>
  </si>
  <si>
    <t>4600610001</t>
  </si>
  <si>
    <t>Camporgiano</t>
  </si>
  <si>
    <t>4600610002</t>
  </si>
  <si>
    <t>Casatico</t>
  </si>
  <si>
    <t>4600610003</t>
  </si>
  <si>
    <t>Casciana</t>
  </si>
  <si>
    <t>4600610004</t>
  </si>
  <si>
    <t>Cascianella</t>
  </si>
  <si>
    <t>4600640000</t>
  </si>
  <si>
    <t>Case sparse_245</t>
  </si>
  <si>
    <t>4600626602</t>
  </si>
  <si>
    <t>Colle Aprico</t>
  </si>
  <si>
    <t>4600610005</t>
  </si>
  <si>
    <t>Filicaia</t>
  </si>
  <si>
    <t>4600610006</t>
  </si>
  <si>
    <t>Poggio</t>
  </si>
  <si>
    <t>4600610007</t>
  </si>
  <si>
    <t>Puglianella</t>
  </si>
  <si>
    <t>4600610008</t>
  </si>
  <si>
    <t>Roccalberti</t>
  </si>
  <si>
    <t>4600610009</t>
  </si>
  <si>
    <t>Sillicano</t>
  </si>
  <si>
    <t>4600610010</t>
  </si>
  <si>
    <t>Vitoio</t>
  </si>
  <si>
    <t>Cantagallo [PO]</t>
  </si>
  <si>
    <t>10000120001</t>
  </si>
  <si>
    <t>Campagnana</t>
  </si>
  <si>
    <t>10000110001</t>
  </si>
  <si>
    <t>Cantagallo</t>
  </si>
  <si>
    <t>10000110002</t>
  </si>
  <si>
    <t>Carmignanello</t>
  </si>
  <si>
    <t>10000140000</t>
  </si>
  <si>
    <t>Case sparse_216</t>
  </si>
  <si>
    <t>10000120003</t>
  </si>
  <si>
    <t>10000110003</t>
  </si>
  <si>
    <t>Colle Bisenzio</t>
  </si>
  <si>
    <t>10000110004</t>
  </si>
  <si>
    <t>Fossato</t>
  </si>
  <si>
    <t>10000115705</t>
  </si>
  <si>
    <t>Gavigno</t>
  </si>
  <si>
    <t>10000110006</t>
  </si>
  <si>
    <t>Il Fabbro</t>
  </si>
  <si>
    <t>10000120004</t>
  </si>
  <si>
    <t>La Dogana</t>
  </si>
  <si>
    <t>10000120005</t>
  </si>
  <si>
    <t>La Villa</t>
  </si>
  <si>
    <t>10000110007</t>
  </si>
  <si>
    <t>L'Acqua</t>
  </si>
  <si>
    <t>10000110008</t>
  </si>
  <si>
    <t>Luicciana</t>
  </si>
  <si>
    <t>10000110009</t>
  </si>
  <si>
    <t>Migliana</t>
  </si>
  <si>
    <t>10000120006</t>
  </si>
  <si>
    <t>Santo Stefano</t>
  </si>
  <si>
    <t>10000120007</t>
  </si>
  <si>
    <t>Trebbio</t>
  </si>
  <si>
    <t>10000110010</t>
  </si>
  <si>
    <t>Usella</t>
  </si>
  <si>
    <t>Capalbio [GR]</t>
  </si>
  <si>
    <t>5300320001</t>
  </si>
  <si>
    <t>Ansedonia Sud I e III</t>
  </si>
  <si>
    <t>5300310001</t>
  </si>
  <si>
    <t>Borgo Carige</t>
  </si>
  <si>
    <t>5300310002</t>
  </si>
  <si>
    <t>Capalbio</t>
  </si>
  <si>
    <t>5300310003</t>
  </si>
  <si>
    <t>Capalbio Scalo</t>
  </si>
  <si>
    <t>5300320002</t>
  </si>
  <si>
    <t>Carige Alta</t>
  </si>
  <si>
    <t>5300340000</t>
  </si>
  <si>
    <t>Case sparse_103</t>
  </si>
  <si>
    <t>5300326603</t>
  </si>
  <si>
    <t>Centro A</t>
  </si>
  <si>
    <t>5300326704</t>
  </si>
  <si>
    <t>Centro B</t>
  </si>
  <si>
    <t>5300326605</t>
  </si>
  <si>
    <t>Centro C</t>
  </si>
  <si>
    <t>5300320006</t>
  </si>
  <si>
    <t>Centro D</t>
  </si>
  <si>
    <t>5300326707</t>
  </si>
  <si>
    <t>Centro E</t>
  </si>
  <si>
    <t>5300326608</t>
  </si>
  <si>
    <t>Centro F</t>
  </si>
  <si>
    <t>5300326609</t>
  </si>
  <si>
    <t>Centro G</t>
  </si>
  <si>
    <t>5300320010</t>
  </si>
  <si>
    <t>Centro H</t>
  </si>
  <si>
    <t>5300320011</t>
  </si>
  <si>
    <t>Centro I</t>
  </si>
  <si>
    <t>5300326612</t>
  </si>
  <si>
    <t>Centro L</t>
  </si>
  <si>
    <t>5300326613</t>
  </si>
  <si>
    <t>Centro M</t>
  </si>
  <si>
    <t>5300310006</t>
  </si>
  <si>
    <t>Chiarone Scalo</t>
  </si>
  <si>
    <t>5300326714</t>
  </si>
  <si>
    <t>Giardino</t>
  </si>
  <si>
    <t>5300310004</t>
  </si>
  <si>
    <t>La Torba</t>
  </si>
  <si>
    <t>5300310005</t>
  </si>
  <si>
    <t>Pescia Fiorentina</t>
  </si>
  <si>
    <t>5300324915</t>
  </si>
  <si>
    <t>Residence Manta</t>
  </si>
  <si>
    <t>5300326616</t>
  </si>
  <si>
    <t>Selva Nera</t>
  </si>
  <si>
    <t>Capannoli [PI]</t>
  </si>
  <si>
    <t>5000510001</t>
  </si>
  <si>
    <t>Capannoli</t>
  </si>
  <si>
    <t>5000540000</t>
  </si>
  <si>
    <t>Case sparse_206</t>
  </si>
  <si>
    <t>5000510002</t>
  </si>
  <si>
    <t>San Pietro Belvedere</t>
  </si>
  <si>
    <t>Capannori [LU]</t>
  </si>
  <si>
    <t>4600710003</t>
  </si>
  <si>
    <t>Ai Castagni</t>
  </si>
  <si>
    <t>4600726702</t>
  </si>
  <si>
    <t>Al Colle</t>
  </si>
  <si>
    <t>4600720003</t>
  </si>
  <si>
    <t>All'Erta</t>
  </si>
  <si>
    <t>4600726704</t>
  </si>
  <si>
    <t>Batano</t>
  </si>
  <si>
    <t>4600710001</t>
  </si>
  <si>
    <t>Capannori</t>
  </si>
  <si>
    <t>4600740000</t>
  </si>
  <si>
    <t>Case sparse_246</t>
  </si>
  <si>
    <t>4600726605</t>
  </si>
  <si>
    <t>Corte Franceschini</t>
  </si>
  <si>
    <t>4600710012</t>
  </si>
  <si>
    <t>Corte Grandi</t>
  </si>
  <si>
    <t>4600726706</t>
  </si>
  <si>
    <t>Corte Polito</t>
  </si>
  <si>
    <t>4600710004</t>
  </si>
  <si>
    <t>Corte Stanghellini</t>
  </si>
  <si>
    <t>4600710013</t>
  </si>
  <si>
    <t>4600726607</t>
  </si>
  <si>
    <t>Leccio</t>
  </si>
  <si>
    <t>4600710005</t>
  </si>
  <si>
    <t>Matraia</t>
  </si>
  <si>
    <t>4600710006</t>
  </si>
  <si>
    <t>4600710007</t>
  </si>
  <si>
    <t>Ruota</t>
  </si>
  <si>
    <t>4600710008</t>
  </si>
  <si>
    <t>San Gennaro</t>
  </si>
  <si>
    <t>4600710009</t>
  </si>
  <si>
    <t>San Pietro Marcigliano</t>
  </si>
  <si>
    <t>4600710010</t>
  </si>
  <si>
    <t>Sant'Andrea in Caprile</t>
  </si>
  <si>
    <t>4600710011</t>
  </si>
  <si>
    <t>Valgiano</t>
  </si>
  <si>
    <t>Capoliveri [LI]</t>
  </si>
  <si>
    <t>4900410001</t>
  </si>
  <si>
    <t>Capoliveri</t>
  </si>
  <si>
    <t>4900440000</t>
  </si>
  <si>
    <t>Case sparse_185</t>
  </si>
  <si>
    <t>4900420006</t>
  </si>
  <si>
    <t>Innamorata</t>
  </si>
  <si>
    <t>4900420007</t>
  </si>
  <si>
    <t>Lacona</t>
  </si>
  <si>
    <t>4900420009</t>
  </si>
  <si>
    <t>Lido</t>
  </si>
  <si>
    <t>4900420010</t>
  </si>
  <si>
    <t>Madonna delle Grazie</t>
  </si>
  <si>
    <t>4900426711</t>
  </si>
  <si>
    <t>Mola</t>
  </si>
  <si>
    <t>4900420013</t>
  </si>
  <si>
    <t>Morcone</t>
  </si>
  <si>
    <t>4900420014</t>
  </si>
  <si>
    <t>Naregno</t>
  </si>
  <si>
    <t>4900420016</t>
  </si>
  <si>
    <t>Pareti</t>
  </si>
  <si>
    <t>4900424917</t>
  </si>
  <si>
    <t>Peducelli</t>
  </si>
  <si>
    <t>4900420021</t>
  </si>
  <si>
    <t>Trappola</t>
  </si>
  <si>
    <t>4900420022</t>
  </si>
  <si>
    <t>Vigne Vecchie</t>
  </si>
  <si>
    <t>Capolona [AR]</t>
  </si>
  <si>
    <t>5100610001</t>
  </si>
  <si>
    <t>5100620001</t>
  </si>
  <si>
    <t>5100610002</t>
  </si>
  <si>
    <t>Capolona</t>
  </si>
  <si>
    <t>5100620002</t>
  </si>
  <si>
    <t>Casavecchia</t>
  </si>
  <si>
    <t>5100640000</t>
  </si>
  <si>
    <t>Case sparse_31</t>
  </si>
  <si>
    <t>5100610003</t>
  </si>
  <si>
    <t>Castelluccio</t>
  </si>
  <si>
    <t>5100620009</t>
  </si>
  <si>
    <t>Cenina</t>
  </si>
  <si>
    <t>5100626603</t>
  </si>
  <si>
    <t>Figline</t>
  </si>
  <si>
    <t>5100620004</t>
  </si>
  <si>
    <t>Il Pino</t>
  </si>
  <si>
    <t>5100621105</t>
  </si>
  <si>
    <t>Il Santo Belfiore</t>
  </si>
  <si>
    <t>5100626606</t>
  </si>
  <si>
    <t>Lorenzano</t>
  </si>
  <si>
    <t>5100610004</t>
  </si>
  <si>
    <t>Pieve San Giovanni</t>
  </si>
  <si>
    <t>5100620007</t>
  </si>
  <si>
    <t>Poggio al Pino</t>
  </si>
  <si>
    <t>5100610005</t>
  </si>
  <si>
    <t>San Martino Sopr'Arno</t>
  </si>
  <si>
    <t>5100620008</t>
  </si>
  <si>
    <t>Vado</t>
  </si>
  <si>
    <t>Capraia e Limite [FI]</t>
  </si>
  <si>
    <t>4800810001</t>
  </si>
  <si>
    <t>Capraia</t>
  </si>
  <si>
    <t>4800840000</t>
  </si>
  <si>
    <t>Case sparse_144</t>
  </si>
  <si>
    <t>4800810002</t>
  </si>
  <si>
    <t>Castra</t>
  </si>
  <si>
    <t>4800820001</t>
  </si>
  <si>
    <t>La Nave di Camaioni</t>
  </si>
  <si>
    <t>4800810003</t>
  </si>
  <si>
    <t>Capraia Isola [LI]</t>
  </si>
  <si>
    <t>4900510001</t>
  </si>
  <si>
    <t>Capraia Isola</t>
  </si>
  <si>
    <t>4900540000</t>
  </si>
  <si>
    <t>Case sparse_186</t>
  </si>
  <si>
    <t>4900520001</t>
  </si>
  <si>
    <t>Porto</t>
  </si>
  <si>
    <t>Caprese Michelangelo [AR]</t>
  </si>
  <si>
    <t>5100726601</t>
  </si>
  <si>
    <t>Baccanello</t>
  </si>
  <si>
    <t>5100720002</t>
  </si>
  <si>
    <t>Borgonuovo</t>
  </si>
  <si>
    <t>5100710001</t>
  </si>
  <si>
    <t>Caprese Michelangelo</t>
  </si>
  <si>
    <t>5100726604</t>
  </si>
  <si>
    <t>Casato</t>
  </si>
  <si>
    <t>5100740000</t>
  </si>
  <si>
    <t>Case sparse_32</t>
  </si>
  <si>
    <t>5100720005</t>
  </si>
  <si>
    <t>5100724906</t>
  </si>
  <si>
    <t>Faggeto</t>
  </si>
  <si>
    <t>5100710002</t>
  </si>
  <si>
    <t>Fragaiolo</t>
  </si>
  <si>
    <t>5100726607</t>
  </si>
  <si>
    <t>Gregnano</t>
  </si>
  <si>
    <t>5100726608</t>
  </si>
  <si>
    <t>Il Colle</t>
  </si>
  <si>
    <t>5100710003</t>
  </si>
  <si>
    <t>Lama</t>
  </si>
  <si>
    <t>5100720009</t>
  </si>
  <si>
    <t>Manzi</t>
  </si>
  <si>
    <t>5100726610</t>
  </si>
  <si>
    <t>Mazzole</t>
  </si>
  <si>
    <t>5100726611</t>
  </si>
  <si>
    <t>Papiano</t>
  </si>
  <si>
    <t>5100720012</t>
  </si>
  <si>
    <t>Ponte Singerna</t>
  </si>
  <si>
    <t>5100710004</t>
  </si>
  <si>
    <t>San Cristoforo-Caroni</t>
  </si>
  <si>
    <t>5100720013</t>
  </si>
  <si>
    <t>Selvaperugina</t>
  </si>
  <si>
    <t>5100726714</t>
  </si>
  <si>
    <t>Stifino</t>
  </si>
  <si>
    <t>5100720016</t>
  </si>
  <si>
    <t>Trecciano</t>
  </si>
  <si>
    <t>5100720017</t>
  </si>
  <si>
    <t>Valboncione</t>
  </si>
  <si>
    <t>Careggine [LU]</t>
  </si>
  <si>
    <t>4600810001</t>
  </si>
  <si>
    <t>4600810002</t>
  </si>
  <si>
    <t>Careggine</t>
  </si>
  <si>
    <t>4600840000</t>
  </si>
  <si>
    <t>Case sparse_247</t>
  </si>
  <si>
    <t>4600820001</t>
  </si>
  <si>
    <t>Colli</t>
  </si>
  <si>
    <t>4600820102</t>
  </si>
  <si>
    <t>Iapori</t>
  </si>
  <si>
    <t>4600810003</t>
  </si>
  <si>
    <t>Isola Santa</t>
  </si>
  <si>
    <t>4600820003</t>
  </si>
  <si>
    <t>Le Coste</t>
  </si>
  <si>
    <t>4600820004</t>
  </si>
  <si>
    <t>Mezzana</t>
  </si>
  <si>
    <t>4600810004</t>
  </si>
  <si>
    <t>Pierdiscini</t>
  </si>
  <si>
    <t>4600820005</t>
  </si>
  <si>
    <t>Porreta</t>
  </si>
  <si>
    <t>4600820006</t>
  </si>
  <si>
    <t>Vianova</t>
  </si>
  <si>
    <t>Carmignano [PO]</t>
  </si>
  <si>
    <t>10000210001</t>
  </si>
  <si>
    <t>Artimino</t>
  </si>
  <si>
    <t>10000210002</t>
  </si>
  <si>
    <t>Bacchereto</t>
  </si>
  <si>
    <t>10000220001</t>
  </si>
  <si>
    <t>Bagno</t>
  </si>
  <si>
    <t>10000220002</t>
  </si>
  <si>
    <t>Barche</t>
  </si>
  <si>
    <t>10000220003</t>
  </si>
  <si>
    <t>Bruceto</t>
  </si>
  <si>
    <t>10000210003</t>
  </si>
  <si>
    <t>Carmignano</t>
  </si>
  <si>
    <t>10000240000</t>
  </si>
  <si>
    <t>Case sparse_217</t>
  </si>
  <si>
    <t>10000210004</t>
  </si>
  <si>
    <t>Comeana</t>
  </si>
  <si>
    <t>10000220012</t>
  </si>
  <si>
    <t>10000230001</t>
  </si>
  <si>
    <t>La Lombarda</t>
  </si>
  <si>
    <t>10000220005</t>
  </si>
  <si>
    <t>10000220006</t>
  </si>
  <si>
    <t>Montalbiolo</t>
  </si>
  <si>
    <t>10000220004</t>
  </si>
  <si>
    <t>Podere Isola</t>
  </si>
  <si>
    <t>10000210005</t>
  </si>
  <si>
    <t>Poggio alla Malva</t>
  </si>
  <si>
    <t>10000220007</t>
  </si>
  <si>
    <t>Poggio dei Colli</t>
  </si>
  <si>
    <t>10000210006</t>
  </si>
  <si>
    <t>Seano</t>
  </si>
  <si>
    <t>10000210007</t>
  </si>
  <si>
    <t>10000226608</t>
  </si>
  <si>
    <t>Spazzavento</t>
  </si>
  <si>
    <t>10000226609</t>
  </si>
  <si>
    <t>Stazione</t>
  </si>
  <si>
    <t>10000220010</t>
  </si>
  <si>
    <t>Verghereto</t>
  </si>
  <si>
    <t>Carrara [MS]</t>
  </si>
  <si>
    <t>4500310001</t>
  </si>
  <si>
    <t>Bedizzano</t>
  </si>
  <si>
    <t>4500310002</t>
  </si>
  <si>
    <t>Bergiola</t>
  </si>
  <si>
    <t>4500320002</t>
  </si>
  <si>
    <t>Canaletto</t>
  </si>
  <si>
    <t>4500310003</t>
  </si>
  <si>
    <t>Carrara</t>
  </si>
  <si>
    <t>4500340000</t>
  </si>
  <si>
    <t>Case sparse_225</t>
  </si>
  <si>
    <t>4500310004</t>
  </si>
  <si>
    <t>Castelpoggio</t>
  </si>
  <si>
    <t>4500310005</t>
  </si>
  <si>
    <t>Codena</t>
  </si>
  <si>
    <t>4500310006</t>
  </si>
  <si>
    <t>Colonnata</t>
  </si>
  <si>
    <t>4500310007</t>
  </si>
  <si>
    <t>Fontia</t>
  </si>
  <si>
    <t>4500310008</t>
  </si>
  <si>
    <t>Gragnana</t>
  </si>
  <si>
    <t>4500320001</t>
  </si>
  <si>
    <t>La Foce</t>
  </si>
  <si>
    <t>4500320005</t>
  </si>
  <si>
    <t>Localitá Casalecchia</t>
  </si>
  <si>
    <t>4500320004</t>
  </si>
  <si>
    <t>Localitá Quarceta</t>
  </si>
  <si>
    <t>4500310009</t>
  </si>
  <si>
    <t>Miseglia</t>
  </si>
  <si>
    <t>4500320003</t>
  </si>
  <si>
    <t>Noceto</t>
  </si>
  <si>
    <t>4500310010</t>
  </si>
  <si>
    <t>Sorgnano</t>
  </si>
  <si>
    <t>4500310011</t>
  </si>
  <si>
    <t>Torano</t>
  </si>
  <si>
    <t>Casale Marittimo [PI]</t>
  </si>
  <si>
    <t>5000610001</t>
  </si>
  <si>
    <t>Casale Marittimo</t>
  </si>
  <si>
    <t>5000640000</t>
  </si>
  <si>
    <t>Case sparse_207</t>
  </si>
  <si>
    <t>5000626604</t>
  </si>
  <si>
    <t>5000620001</t>
  </si>
  <si>
    <t>La Casetta</t>
  </si>
  <si>
    <t>5000626602</t>
  </si>
  <si>
    <t>Montaleo</t>
  </si>
  <si>
    <t>5000630001</t>
  </si>
  <si>
    <t>Terra dei Ceci</t>
  </si>
  <si>
    <t>Casciana Terme [PI]</t>
  </si>
  <si>
    <t>5000710001</t>
  </si>
  <si>
    <t>Casciana Terme</t>
  </si>
  <si>
    <t>5000740000</t>
  </si>
  <si>
    <t>Case sparse_208</t>
  </si>
  <si>
    <t>5000710002</t>
  </si>
  <si>
    <t>Ceppato</t>
  </si>
  <si>
    <t>5000710003</t>
  </si>
  <si>
    <t>Collemontanino</t>
  </si>
  <si>
    <t>5000730001</t>
  </si>
  <si>
    <t>Il Nocino</t>
  </si>
  <si>
    <t>5000726601</t>
  </si>
  <si>
    <t>La Muraiola</t>
  </si>
  <si>
    <t>5000726602</t>
  </si>
  <si>
    <t>Le Cave</t>
  </si>
  <si>
    <t>5000710004</t>
  </si>
  <si>
    <t>Parlascio</t>
  </si>
  <si>
    <t>5000726703</t>
  </si>
  <si>
    <t>Sammuro</t>
  </si>
  <si>
    <t>5000720004</t>
  </si>
  <si>
    <t>San Martin del Colle</t>
  </si>
  <si>
    <t>5000710005</t>
  </si>
  <si>
    <t>Sant'Ermo</t>
  </si>
  <si>
    <t>Cascina [PI]</t>
  </si>
  <si>
    <t>5000810001</t>
  </si>
  <si>
    <t>Arnaccio</t>
  </si>
  <si>
    <t>5000810002</t>
  </si>
  <si>
    <t>Cascina</t>
  </si>
  <si>
    <t>5000840000</t>
  </si>
  <si>
    <t>Case sparse_209</t>
  </si>
  <si>
    <t>5000810003</t>
  </si>
  <si>
    <t>Chiesanuova</t>
  </si>
  <si>
    <t>5000826602</t>
  </si>
  <si>
    <t>La Gronchia</t>
  </si>
  <si>
    <t>5000810004</t>
  </si>
  <si>
    <t>Latignano</t>
  </si>
  <si>
    <t>5000820004</t>
  </si>
  <si>
    <t>Le Casette</t>
  </si>
  <si>
    <t>5000810005</t>
  </si>
  <si>
    <t>Pardossi</t>
  </si>
  <si>
    <t>5000830001</t>
  </si>
  <si>
    <t>Pian di Gello</t>
  </si>
  <si>
    <t>5000810006</t>
  </si>
  <si>
    <t>San Casciano</t>
  </si>
  <si>
    <t>5000820003</t>
  </si>
  <si>
    <t>Santo Stefano a Macerata</t>
  </si>
  <si>
    <t>Casola in Lunigiana [MS]</t>
  </si>
  <si>
    <t>4500410001</t>
  </si>
  <si>
    <t>Argigliano</t>
  </si>
  <si>
    <t>4500410002</t>
  </si>
  <si>
    <t>4500440000</t>
  </si>
  <si>
    <t>Case sparse_226</t>
  </si>
  <si>
    <t>4500410003</t>
  </si>
  <si>
    <t>Casola in Lunigiana</t>
  </si>
  <si>
    <t>4500420001</t>
  </si>
  <si>
    <t>Castiglioncello</t>
  </si>
  <si>
    <t>4500410004</t>
  </si>
  <si>
    <t>Codiponte</t>
  </si>
  <si>
    <t>4500410006</t>
  </si>
  <si>
    <t>Luscignano</t>
  </si>
  <si>
    <t>4500420003</t>
  </si>
  <si>
    <t>Montefiore</t>
  </si>
  <si>
    <t>4500420004</t>
  </si>
  <si>
    <t>Regnano-Castello</t>
  </si>
  <si>
    <t>4500410007</t>
  </si>
  <si>
    <t>Regnano-Villa</t>
  </si>
  <si>
    <t>4500410008</t>
  </si>
  <si>
    <t>Reusa</t>
  </si>
  <si>
    <t>4500410009</t>
  </si>
  <si>
    <t>Ugliancaldo</t>
  </si>
  <si>
    <t>4500420005</t>
  </si>
  <si>
    <t>Vedriano</t>
  </si>
  <si>
    <t>4500410010</t>
  </si>
  <si>
    <t>Vigneta</t>
  </si>
  <si>
    <t>Casole d'Elsa [SI]</t>
  </si>
  <si>
    <t>5200426709</t>
  </si>
  <si>
    <t>Capannino della Suvera</t>
  </si>
  <si>
    <t>5200440000</t>
  </si>
  <si>
    <t>Case sparse_68</t>
  </si>
  <si>
    <t>5200410001</t>
  </si>
  <si>
    <t>Casole d'Elsa</t>
  </si>
  <si>
    <t>5200420001</t>
  </si>
  <si>
    <t>Cavallano</t>
  </si>
  <si>
    <t>5200420002</t>
  </si>
  <si>
    <t>Il Merlo</t>
  </si>
  <si>
    <t>5200430001</t>
  </si>
  <si>
    <t>Il Piano</t>
  </si>
  <si>
    <t>5200420003</t>
  </si>
  <si>
    <t>La Corsina</t>
  </si>
  <si>
    <t>5200420004</t>
  </si>
  <si>
    <t>Lucciana</t>
  </si>
  <si>
    <t>5200420005</t>
  </si>
  <si>
    <t>Maggiano</t>
  </si>
  <si>
    <t>5200410002</t>
  </si>
  <si>
    <t>Mensano</t>
  </si>
  <si>
    <t>5200420008</t>
  </si>
  <si>
    <t>Molino d'Elsa</t>
  </si>
  <si>
    <t>5200410003</t>
  </si>
  <si>
    <t>Monteguidi</t>
  </si>
  <si>
    <t>5200410004</t>
  </si>
  <si>
    <t>Pievescola</t>
  </si>
  <si>
    <t>5200430002</t>
  </si>
  <si>
    <t>Ponti di Pievescola</t>
  </si>
  <si>
    <t>5200426707</t>
  </si>
  <si>
    <t>San Chimento</t>
  </si>
  <si>
    <t>Castagneto Carducci [LI]</t>
  </si>
  <si>
    <t>4900610001</t>
  </si>
  <si>
    <t>Bolgheri</t>
  </si>
  <si>
    <t>4900626608</t>
  </si>
  <si>
    <t>Bolgheri I</t>
  </si>
  <si>
    <t>4900640000</t>
  </si>
  <si>
    <t>Case sparse_187</t>
  </si>
  <si>
    <t>4900620001</t>
  </si>
  <si>
    <t>Casone</t>
  </si>
  <si>
    <t>4900610002</t>
  </si>
  <si>
    <t>Castagneto Carducci</t>
  </si>
  <si>
    <t>4900620010</t>
  </si>
  <si>
    <t>Debbiacci</t>
  </si>
  <si>
    <t>4900610003</t>
  </si>
  <si>
    <t>Donoratico</t>
  </si>
  <si>
    <t>4900626602</t>
  </si>
  <si>
    <t>4900610005</t>
  </si>
  <si>
    <t>Il Seggio</t>
  </si>
  <si>
    <t>4900610004</t>
  </si>
  <si>
    <t>Marina di Castagneto Carducci</t>
  </si>
  <si>
    <t>4900620009</t>
  </si>
  <si>
    <t>Osteria Vecchia</t>
  </si>
  <si>
    <t>4900620004</t>
  </si>
  <si>
    <t>San Giusto</t>
  </si>
  <si>
    <t>4900620005</t>
  </si>
  <si>
    <t>San Guido</t>
  </si>
  <si>
    <t>4900626611</t>
  </si>
  <si>
    <t>Sondraie</t>
  </si>
  <si>
    <t>4900624906</t>
  </si>
  <si>
    <t>Torinella</t>
  </si>
  <si>
    <t>Castel del Piano [GR]</t>
  </si>
  <si>
    <t>5300440000</t>
  </si>
  <si>
    <t>Case sparse_104</t>
  </si>
  <si>
    <t>5300410001</t>
  </si>
  <si>
    <t>Castel del Piano</t>
  </si>
  <si>
    <t>5300420002</t>
  </si>
  <si>
    <t>Collevergari</t>
  </si>
  <si>
    <t>5300426707</t>
  </si>
  <si>
    <t>Gallaccino</t>
  </si>
  <si>
    <t>5300420003</t>
  </si>
  <si>
    <t>5300410002</t>
  </si>
  <si>
    <t>Montegiovi</t>
  </si>
  <si>
    <t>5300410003</t>
  </si>
  <si>
    <t>Montenero</t>
  </si>
  <si>
    <t>5300420005</t>
  </si>
  <si>
    <t>Pian del Ballo</t>
  </si>
  <si>
    <t>5300420006</t>
  </si>
  <si>
    <t>Tepolini</t>
  </si>
  <si>
    <t>Castel Focognano [AR]</t>
  </si>
  <si>
    <t>5100830001</t>
  </si>
  <si>
    <t>Begliano</t>
  </si>
  <si>
    <t>5100820001</t>
  </si>
  <si>
    <t>Calleta</t>
  </si>
  <si>
    <t>5100826609</t>
  </si>
  <si>
    <t>Campaccio</t>
  </si>
  <si>
    <t>5100810001</t>
  </si>
  <si>
    <t>Carda</t>
  </si>
  <si>
    <t>5100820010</t>
  </si>
  <si>
    <t>Casa le Bizze</t>
  </si>
  <si>
    <t>5100820002</t>
  </si>
  <si>
    <t>Casalecchio</t>
  </si>
  <si>
    <t>5100840000</t>
  </si>
  <si>
    <t>Case sparse_33</t>
  </si>
  <si>
    <t>5100810002</t>
  </si>
  <si>
    <t>Castel Focognano</t>
  </si>
  <si>
    <t>5100821103</t>
  </si>
  <si>
    <t>Chiesa di Ornina</t>
  </si>
  <si>
    <t>5100821105</t>
  </si>
  <si>
    <t>Montanina</t>
  </si>
  <si>
    <t>5100810003</t>
  </si>
  <si>
    <t>Pieve A Socana</t>
  </si>
  <si>
    <t>5100810004</t>
  </si>
  <si>
    <t>Rassina</t>
  </si>
  <si>
    <t>5100810005</t>
  </si>
  <si>
    <t>Salutio</t>
  </si>
  <si>
    <t>5100820006</t>
  </si>
  <si>
    <t>5100820007</t>
  </si>
  <si>
    <t>Santa Maria di Carda</t>
  </si>
  <si>
    <t>5100826608</t>
  </si>
  <si>
    <t>Tulliano</t>
  </si>
  <si>
    <t>5100810006</t>
  </si>
  <si>
    <t>Zenna</t>
  </si>
  <si>
    <t>Castel San Niccolò [AR]</t>
  </si>
  <si>
    <t>5101020001</t>
  </si>
  <si>
    <t>Barbiano</t>
  </si>
  <si>
    <t>5101010001</t>
  </si>
  <si>
    <t>Borgo alla Collina</t>
  </si>
  <si>
    <t>5101010002</t>
  </si>
  <si>
    <t>Caiano</t>
  </si>
  <si>
    <t>5101020003</t>
  </si>
  <si>
    <t>Callagnolo</t>
  </si>
  <si>
    <t>5101026604</t>
  </si>
  <si>
    <t>Capezzi</t>
  </si>
  <si>
    <t>5101040000</t>
  </si>
  <si>
    <t>Case sparse_35</t>
  </si>
  <si>
    <t>5101026605</t>
  </si>
  <si>
    <t>Castagneto</t>
  </si>
  <si>
    <t>5101026622</t>
  </si>
  <si>
    <t>Cavolini</t>
  </si>
  <si>
    <t>5101010003</t>
  </si>
  <si>
    <t>Cetica</t>
  </si>
  <si>
    <t>5101020006</t>
  </si>
  <si>
    <t>Cortina</t>
  </si>
  <si>
    <t>5101024920</t>
  </si>
  <si>
    <t>Doccia</t>
  </si>
  <si>
    <t>5101020008</t>
  </si>
  <si>
    <t>5101010004</t>
  </si>
  <si>
    <t>Pagliericcio</t>
  </si>
  <si>
    <t>5101024911</t>
  </si>
  <si>
    <t>Poggio Vertelli</t>
  </si>
  <si>
    <t>5101020010</t>
  </si>
  <si>
    <t>Poggiolino</t>
  </si>
  <si>
    <t>5101030001</t>
  </si>
  <si>
    <t>Ponte d'Arno</t>
  </si>
  <si>
    <t>5101020012</t>
  </si>
  <si>
    <t>Pratalutoli</t>
  </si>
  <si>
    <t>5101010005</t>
  </si>
  <si>
    <t>Prato di Strada</t>
  </si>
  <si>
    <t>5101010006</t>
  </si>
  <si>
    <t>Rifiglio</t>
  </si>
  <si>
    <t>5101026614</t>
  </si>
  <si>
    <t>5101021115</t>
  </si>
  <si>
    <t>5101024921</t>
  </si>
  <si>
    <t>Spalanni Bivio</t>
  </si>
  <si>
    <t>5101010007</t>
  </si>
  <si>
    <t>Strada</t>
  </si>
  <si>
    <t>5101020018</t>
  </si>
  <si>
    <t>Valgianni</t>
  </si>
  <si>
    <t>5101020019</t>
  </si>
  <si>
    <t>Vertelli</t>
  </si>
  <si>
    <t>Castelfiorentino [FI]</t>
  </si>
  <si>
    <t>4801010001</t>
  </si>
  <si>
    <t>Cambiano</t>
  </si>
  <si>
    <t>4801026601</t>
  </si>
  <si>
    <t>Casanuova</t>
  </si>
  <si>
    <t>4801040000</t>
  </si>
  <si>
    <t>Case sparse_145</t>
  </si>
  <si>
    <t>4801026702</t>
  </si>
  <si>
    <t>Casino</t>
  </si>
  <si>
    <t>4801010002</t>
  </si>
  <si>
    <t>Castelfiorentino</t>
  </si>
  <si>
    <t>4801010003</t>
  </si>
  <si>
    <t>Castelnuovo d'Elsa</t>
  </si>
  <si>
    <t>4801026703</t>
  </si>
  <si>
    <t>Colombaie</t>
  </si>
  <si>
    <t>4801026604</t>
  </si>
  <si>
    <t>Conce Ferroni</t>
  </si>
  <si>
    <t>4801010004</t>
  </si>
  <si>
    <t>Dogana</t>
  </si>
  <si>
    <t>4801010005</t>
  </si>
  <si>
    <t>Fontanella</t>
  </si>
  <si>
    <t>4801026605</t>
  </si>
  <si>
    <t>Il Vallone</t>
  </si>
  <si>
    <t>4801026606</t>
  </si>
  <si>
    <t>La Valle</t>
  </si>
  <si>
    <t>4801020007</t>
  </si>
  <si>
    <t>Madonna della Tosse</t>
  </si>
  <si>
    <t>4801030001</t>
  </si>
  <si>
    <t>Malacoda Zona Industriale</t>
  </si>
  <si>
    <t>4801026609</t>
  </si>
  <si>
    <t>Molino di Granaiolo</t>
  </si>
  <si>
    <t>4801026610</t>
  </si>
  <si>
    <t>Montauto</t>
  </si>
  <si>
    <t>4801030002</t>
  </si>
  <si>
    <t>Pesciola</t>
  </si>
  <si>
    <t>4801010006</t>
  </si>
  <si>
    <t>Petrazzi</t>
  </si>
  <si>
    <t>4801026712</t>
  </si>
  <si>
    <t>Rimorti Suppa</t>
  </si>
  <si>
    <t>4801026613</t>
  </si>
  <si>
    <t>Sampiero Vecchio</t>
  </si>
  <si>
    <t>4801026614</t>
  </si>
  <si>
    <t>San Carlo</t>
  </si>
  <si>
    <t>4801030003</t>
  </si>
  <si>
    <t>San Matteo</t>
  </si>
  <si>
    <t>4801026718</t>
  </si>
  <si>
    <t>Vallone Ponte</t>
  </si>
  <si>
    <t>4801026619</t>
  </si>
  <si>
    <t>Villa Soyi</t>
  </si>
  <si>
    <t>Castelfranco di Sopra [AR]</t>
  </si>
  <si>
    <t>5100930003</t>
  </si>
  <si>
    <t>Botriolo</t>
  </si>
  <si>
    <t>5100940000</t>
  </si>
  <si>
    <t>Case sparse_34</t>
  </si>
  <si>
    <t>5100910001</t>
  </si>
  <si>
    <t>Caspri</t>
  </si>
  <si>
    <t>5100910002</t>
  </si>
  <si>
    <t>Castelfranco di Sopra</t>
  </si>
  <si>
    <t>5100910003</t>
  </si>
  <si>
    <t>Certignano</t>
  </si>
  <si>
    <t>5100926603</t>
  </si>
  <si>
    <t>Galligiano</t>
  </si>
  <si>
    <t>5100920001</t>
  </si>
  <si>
    <t>La Lama</t>
  </si>
  <si>
    <t>5100930002</t>
  </si>
  <si>
    <t>Pratigliolmi</t>
  </si>
  <si>
    <t>5100910004</t>
  </si>
  <si>
    <t>Pulicciano</t>
  </si>
  <si>
    <t>5100930001</t>
  </si>
  <si>
    <t>Zona industriale Chiusoli-Campo Cellani</t>
  </si>
  <si>
    <t>Castelfranco di Sotto [PI]</t>
  </si>
  <si>
    <t>5000940000</t>
  </si>
  <si>
    <t>Case sparse_210</t>
  </si>
  <si>
    <t>5000926633</t>
  </si>
  <si>
    <t>Casini</t>
  </si>
  <si>
    <t>5000910001</t>
  </si>
  <si>
    <t>Castelfranco di Sotto</t>
  </si>
  <si>
    <t>5000920004</t>
  </si>
  <si>
    <t>5000920006</t>
  </si>
  <si>
    <t>Corte Bistone</t>
  </si>
  <si>
    <t>5000926607</t>
  </si>
  <si>
    <t>Corte Brogi</t>
  </si>
  <si>
    <t>5000926605</t>
  </si>
  <si>
    <t>Corte Ciani</t>
  </si>
  <si>
    <t>5000920008</t>
  </si>
  <si>
    <t>Corte Dori</t>
  </si>
  <si>
    <t>5000926625</t>
  </si>
  <si>
    <t>Corte Menconi</t>
  </si>
  <si>
    <t>5000926609</t>
  </si>
  <si>
    <t>Corte Mennino</t>
  </si>
  <si>
    <t>5000920010</t>
  </si>
  <si>
    <t>Corte Nardi</t>
  </si>
  <si>
    <t>5000926617</t>
  </si>
  <si>
    <t>Corte Nencettino</t>
  </si>
  <si>
    <t>5000926720</t>
  </si>
  <si>
    <t>Corte Rossi</t>
  </si>
  <si>
    <t>5000920021</t>
  </si>
  <si>
    <t>Corte Seri</t>
  </si>
  <si>
    <t>5000926723</t>
  </si>
  <si>
    <t>Corte Urbani</t>
  </si>
  <si>
    <t>5000910002</t>
  </si>
  <si>
    <t>Galleno</t>
  </si>
  <si>
    <t>5000926637</t>
  </si>
  <si>
    <t>I Greppi</t>
  </si>
  <si>
    <t>5000926716</t>
  </si>
  <si>
    <t>Montanelli</t>
  </si>
  <si>
    <t>5000910003</t>
  </si>
  <si>
    <t>Orentano</t>
  </si>
  <si>
    <t>5000926719</t>
  </si>
  <si>
    <t>Poggetto</t>
  </si>
  <si>
    <t>5000910004</t>
  </si>
  <si>
    <t>Staffoli</t>
  </si>
  <si>
    <t>5000910005</t>
  </si>
  <si>
    <t>Villa Campanile</t>
  </si>
  <si>
    <t>Castell'Azzara [GR]</t>
  </si>
  <si>
    <t>5300540000</t>
  </si>
  <si>
    <t>Case sparse_105</t>
  </si>
  <si>
    <t>5300510001</t>
  </si>
  <si>
    <t>Castell'Azzara</t>
  </si>
  <si>
    <t>5300526701</t>
  </si>
  <si>
    <t>Poggio Montone</t>
  </si>
  <si>
    <t>5300520002</t>
  </si>
  <si>
    <t>Querciolaia</t>
  </si>
  <si>
    <t>5300510002</t>
  </si>
  <si>
    <t>Selvena</t>
  </si>
  <si>
    <t>Castellina in Chianti [SI]</t>
  </si>
  <si>
    <t>5200526701</t>
  </si>
  <si>
    <t>5200526602</t>
  </si>
  <si>
    <t>Casanuova di Pietrafitta</t>
  </si>
  <si>
    <t>5200540000</t>
  </si>
  <si>
    <t>Case sparse_69</t>
  </si>
  <si>
    <t>5200510001</t>
  </si>
  <si>
    <t>Castellina in Chianti</t>
  </si>
  <si>
    <t>5200526604</t>
  </si>
  <si>
    <t>Cavallari</t>
  </si>
  <si>
    <t>5200526613</t>
  </si>
  <si>
    <t>Cignanbianco</t>
  </si>
  <si>
    <t>5200526614</t>
  </si>
  <si>
    <t>Cogne</t>
  </si>
  <si>
    <t>5200520005</t>
  </si>
  <si>
    <t>Crocefiorentina</t>
  </si>
  <si>
    <t>5200520006</t>
  </si>
  <si>
    <t>Fioraie</t>
  </si>
  <si>
    <t>5200510002</t>
  </si>
  <si>
    <t>Fonterutoli</t>
  </si>
  <si>
    <t>5200526607</t>
  </si>
  <si>
    <t>Lilliano</t>
  </si>
  <si>
    <t>5200520009</t>
  </si>
  <si>
    <t>Piazza</t>
  </si>
  <si>
    <t>5200510003</t>
  </si>
  <si>
    <t>San Leonino</t>
  </si>
  <si>
    <t>5200526610</t>
  </si>
  <si>
    <t>Santa Maria A Grignano</t>
  </si>
  <si>
    <t>5200526717</t>
  </si>
  <si>
    <t>Tolena</t>
  </si>
  <si>
    <t>5200520018</t>
  </si>
  <si>
    <t>Topina</t>
  </si>
  <si>
    <t>5200526611</t>
  </si>
  <si>
    <t>Tregole</t>
  </si>
  <si>
    <t>Castellina Marittima [PI]</t>
  </si>
  <si>
    <t>5001020001</t>
  </si>
  <si>
    <t>Badie</t>
  </si>
  <si>
    <t>5001026702</t>
  </si>
  <si>
    <t>Badione</t>
  </si>
  <si>
    <t>5001040000</t>
  </si>
  <si>
    <t>Case sparse_211</t>
  </si>
  <si>
    <t>5001010001</t>
  </si>
  <si>
    <t>Castellina Marittima</t>
  </si>
  <si>
    <t>5001026604</t>
  </si>
  <si>
    <t>Farsiche</t>
  </si>
  <si>
    <t>5001020005</t>
  </si>
  <si>
    <t>5001020007</t>
  </si>
  <si>
    <t>Le Conche</t>
  </si>
  <si>
    <t>5001020008</t>
  </si>
  <si>
    <t>Malandrone</t>
  </si>
  <si>
    <t>5001030002</t>
  </si>
  <si>
    <t>Nencini</t>
  </si>
  <si>
    <t>5001030001</t>
  </si>
  <si>
    <t>Paradiso</t>
  </si>
  <si>
    <t>5001026610</t>
  </si>
  <si>
    <t>Poggio al Sasso</t>
  </si>
  <si>
    <t>5001020012</t>
  </si>
  <si>
    <t>San Girolamo</t>
  </si>
  <si>
    <t>5001026613</t>
  </si>
  <si>
    <t>Spicciano</t>
  </si>
  <si>
    <t>5001026614</t>
  </si>
  <si>
    <t>Terriccio</t>
  </si>
  <si>
    <t>Castelnuovo Berardenga [SI]</t>
  </si>
  <si>
    <t>5200620001</t>
  </si>
  <si>
    <t>Bossi</t>
  </si>
  <si>
    <t>5200640000</t>
  </si>
  <si>
    <t>Case sparse_70</t>
  </si>
  <si>
    <t>5200610001</t>
  </si>
  <si>
    <t>Casetta</t>
  </si>
  <si>
    <t>5200620002</t>
  </si>
  <si>
    <t>Castell'In Villa</t>
  </si>
  <si>
    <t>5200610002</t>
  </si>
  <si>
    <t>Castelnuovo Berardenga</t>
  </si>
  <si>
    <t>5200620018</t>
  </si>
  <si>
    <t>Castelnuovo Scalo</t>
  </si>
  <si>
    <t>5200626719</t>
  </si>
  <si>
    <t>Cignano</t>
  </si>
  <si>
    <t>5200620003</t>
  </si>
  <si>
    <t>Colonna di Grillo</t>
  </si>
  <si>
    <t>5200620004</t>
  </si>
  <si>
    <t>Corsignano</t>
  </si>
  <si>
    <t>5200620005</t>
  </si>
  <si>
    <t>Geggiano</t>
  </si>
  <si>
    <t>5200620006</t>
  </si>
  <si>
    <t>Guistrigona</t>
  </si>
  <si>
    <t>5200610003</t>
  </si>
  <si>
    <t>Monteaperti</t>
  </si>
  <si>
    <t>5200626608</t>
  </si>
  <si>
    <t>Pacina</t>
  </si>
  <si>
    <t>5200610004</t>
  </si>
  <si>
    <t>Pianella</t>
  </si>
  <si>
    <t>5200610005</t>
  </si>
  <si>
    <t>Pievasciata</t>
  </si>
  <si>
    <t>5200620009</t>
  </si>
  <si>
    <t>Poggiarello-Ripa</t>
  </si>
  <si>
    <t>5200610006</t>
  </si>
  <si>
    <t>Ponte A Bozzone</t>
  </si>
  <si>
    <t>5200626610</t>
  </si>
  <si>
    <t>Pontignanello</t>
  </si>
  <si>
    <t>5200626711</t>
  </si>
  <si>
    <t>Pontignano</t>
  </si>
  <si>
    <t>5200610007</t>
  </si>
  <si>
    <t>Quercegrossa</t>
  </si>
  <si>
    <t>5200626612</t>
  </si>
  <si>
    <t>San Felice</t>
  </si>
  <si>
    <t>5200610008</t>
  </si>
  <si>
    <t>San Giovanni A Cerreto</t>
  </si>
  <si>
    <t>5200620022</t>
  </si>
  <si>
    <t>San Giovanni a Cerreto-Via del Bosco</t>
  </si>
  <si>
    <t>5200610009</t>
  </si>
  <si>
    <t>San Gusmè</t>
  </si>
  <si>
    <t>5200620013</t>
  </si>
  <si>
    <t>San Piero</t>
  </si>
  <si>
    <t>5200626614</t>
  </si>
  <si>
    <t>5200620015</t>
  </si>
  <si>
    <t>Santa Margherita-La Suvera</t>
  </si>
  <si>
    <t>5200620016</t>
  </si>
  <si>
    <t>Stellino</t>
  </si>
  <si>
    <t>5200610010</t>
  </si>
  <si>
    <t>Vagliagli</t>
  </si>
  <si>
    <t>5200620021</t>
  </si>
  <si>
    <t>5200610011</t>
  </si>
  <si>
    <t>Villa A Sesta</t>
  </si>
  <si>
    <t>5200626717</t>
  </si>
  <si>
    <t>Vitignano</t>
  </si>
  <si>
    <t>Castelnuovo di Garfagnana [LU]</t>
  </si>
  <si>
    <t>4600910001</t>
  </si>
  <si>
    <t>Antisciana</t>
  </si>
  <si>
    <t>4600926602</t>
  </si>
  <si>
    <t>4600940000</t>
  </si>
  <si>
    <t>Case sparse_248</t>
  </si>
  <si>
    <t>4600910002</t>
  </si>
  <si>
    <t>Castelnuovo di Garfagnana</t>
  </si>
  <si>
    <t>4600910003</t>
  </si>
  <si>
    <t>Cerretoli</t>
  </si>
  <si>
    <t>4600910004</t>
  </si>
  <si>
    <t>4600920003</t>
  </si>
  <si>
    <t>Croce-Stazzana</t>
  </si>
  <si>
    <t>4600910005</t>
  </si>
  <si>
    <t>Gragnanella</t>
  </si>
  <si>
    <t>4600926604</t>
  </si>
  <si>
    <t>Metello</t>
  </si>
  <si>
    <t>4600926605</t>
  </si>
  <si>
    <t>Monterotondo</t>
  </si>
  <si>
    <t>4600926606</t>
  </si>
  <si>
    <t>Monticello-Casetta</t>
  </si>
  <si>
    <t>4600910006</t>
  </si>
  <si>
    <t>Palleroso</t>
  </si>
  <si>
    <t>4600910007</t>
  </si>
  <si>
    <t>Rontano</t>
  </si>
  <si>
    <t>4600926610</t>
  </si>
  <si>
    <t>Volcascio</t>
  </si>
  <si>
    <t>Castelnuovo di Val di Cecina [PI]</t>
  </si>
  <si>
    <t>5001120003</t>
  </si>
  <si>
    <t>Bagno a Morbo</t>
  </si>
  <si>
    <t>5001140000</t>
  </si>
  <si>
    <t>Case sparse_212</t>
  </si>
  <si>
    <t>5001110002</t>
  </si>
  <si>
    <t>Castelnuovo di Val di Cecina</t>
  </si>
  <si>
    <t>5001130001</t>
  </si>
  <si>
    <t>La Colombaia</t>
  </si>
  <si>
    <t>5001110003</t>
  </si>
  <si>
    <t>Lagoni del Sasso</t>
  </si>
  <si>
    <t>5001120002</t>
  </si>
  <si>
    <t>Leccia</t>
  </si>
  <si>
    <t>5001110005</t>
  </si>
  <si>
    <t>Montecastelli Pisano</t>
  </si>
  <si>
    <t>5001110004</t>
  </si>
  <si>
    <t>Sasso Pisano</t>
  </si>
  <si>
    <t>Castiglion Fibocchi [AR]</t>
  </si>
  <si>
    <t>5101140000</t>
  </si>
  <si>
    <t>Case sparse_36</t>
  </si>
  <si>
    <t>5101110001</t>
  </si>
  <si>
    <t>Castiglion Fibocchi</t>
  </si>
  <si>
    <t>5101110002</t>
  </si>
  <si>
    <t>Gello Biscardo</t>
  </si>
  <si>
    <t>5101120001</t>
  </si>
  <si>
    <t>Via Sant'Agata</t>
  </si>
  <si>
    <t>Castiglion Fiorentino [AR]</t>
  </si>
  <si>
    <t>5101226701</t>
  </si>
  <si>
    <t>Bigurro</t>
  </si>
  <si>
    <t>5101226702</t>
  </si>
  <si>
    <t>Cá Dè Baldi</t>
  </si>
  <si>
    <t>5101226704</t>
  </si>
  <si>
    <t>Cardeta di Sopra</t>
  </si>
  <si>
    <t>5101220006</t>
  </si>
  <si>
    <t>Casa del Re</t>
  </si>
  <si>
    <t>5101220007</t>
  </si>
  <si>
    <t>Casa Vanni-Le Selve</t>
  </si>
  <si>
    <t>5101240000</t>
  </si>
  <si>
    <t>Case sparse_37</t>
  </si>
  <si>
    <t>5101210001</t>
  </si>
  <si>
    <t>Castiglion Fiorentino</t>
  </si>
  <si>
    <t>5101210002</t>
  </si>
  <si>
    <t>Castroncello</t>
  </si>
  <si>
    <t>5101220009</t>
  </si>
  <si>
    <t>Colle Secco</t>
  </si>
  <si>
    <t>5101220011</t>
  </si>
  <si>
    <t>Fattoria</t>
  </si>
  <si>
    <t>5101226712</t>
  </si>
  <si>
    <t>Ferioli</t>
  </si>
  <si>
    <t>5101220013</t>
  </si>
  <si>
    <t>Fonte del Mazza</t>
  </si>
  <si>
    <t>5101226614</t>
  </si>
  <si>
    <t>Gaggioleto</t>
  </si>
  <si>
    <t>5101226715</t>
  </si>
  <si>
    <t>Gambaroncia</t>
  </si>
  <si>
    <t>5101226717</t>
  </si>
  <si>
    <t>Il Toppo</t>
  </si>
  <si>
    <t>5101210003</t>
  </si>
  <si>
    <t>La Nave</t>
  </si>
  <si>
    <t>5101210004</t>
  </si>
  <si>
    <t>La Strada-Santa Cristina</t>
  </si>
  <si>
    <t>5101220022</t>
  </si>
  <si>
    <t>Mammi</t>
  </si>
  <si>
    <t>5101210005</t>
  </si>
  <si>
    <t>Manciano</t>
  </si>
  <si>
    <t>5101210006</t>
  </si>
  <si>
    <t>Montecchio</t>
  </si>
  <si>
    <t>5101226725</t>
  </si>
  <si>
    <t>Moriello</t>
  </si>
  <si>
    <t>5101226727</t>
  </si>
  <si>
    <t>5101226728</t>
  </si>
  <si>
    <t>Orzale</t>
  </si>
  <si>
    <t>5101210007</t>
  </si>
  <si>
    <t>Osteria</t>
  </si>
  <si>
    <t>5101220030</t>
  </si>
  <si>
    <t>Pergognano</t>
  </si>
  <si>
    <t>5101220031</t>
  </si>
  <si>
    <t>Petreto</t>
  </si>
  <si>
    <t>5101220032</t>
  </si>
  <si>
    <t>Pieve di Chio</t>
  </si>
  <si>
    <t>5101226633</t>
  </si>
  <si>
    <t>Pievuccia</t>
  </si>
  <si>
    <t>5101220034</t>
  </si>
  <si>
    <t>Podere Viti</t>
  </si>
  <si>
    <t>5101226735</t>
  </si>
  <si>
    <t>5101220037</t>
  </si>
  <si>
    <t>Ristonchia</t>
  </si>
  <si>
    <t>5101226638</t>
  </si>
  <si>
    <t>5101226739</t>
  </si>
  <si>
    <t>Santa Lucia II</t>
  </si>
  <si>
    <t>5101220040</t>
  </si>
  <si>
    <t>Santa Margherita</t>
  </si>
  <si>
    <t>5101226741</t>
  </si>
  <si>
    <t>Sant'Enea</t>
  </si>
  <si>
    <t>5101226742</t>
  </si>
  <si>
    <t>Castiglione della Pescaia [GR]</t>
  </si>
  <si>
    <t>5300620001</t>
  </si>
  <si>
    <t>Ampio</t>
  </si>
  <si>
    <t>5300610001</t>
  </si>
  <si>
    <t>Buriano</t>
  </si>
  <si>
    <t>5300640000</t>
  </si>
  <si>
    <t>Case sparse_106</t>
  </si>
  <si>
    <t>5300610002</t>
  </si>
  <si>
    <t>Castiglione della Pescaia</t>
  </si>
  <si>
    <t>5300626602</t>
  </si>
  <si>
    <t>Le Palazzine</t>
  </si>
  <si>
    <t>5300620003</t>
  </si>
  <si>
    <t>Pian d'Alma</t>
  </si>
  <si>
    <t>5300620004</t>
  </si>
  <si>
    <t>Pian di Rocca</t>
  </si>
  <si>
    <t>5300620007</t>
  </si>
  <si>
    <t>Ponti di Badia</t>
  </si>
  <si>
    <t>5300630001</t>
  </si>
  <si>
    <t>Porta a Colle</t>
  </si>
  <si>
    <t>5300610003</t>
  </si>
  <si>
    <t>Punta Ala</t>
  </si>
  <si>
    <t>5300620005</t>
  </si>
  <si>
    <t>Roccamare</t>
  </si>
  <si>
    <t>5300626608</t>
  </si>
  <si>
    <t>Rocchette</t>
  </si>
  <si>
    <t>5300610004</t>
  </si>
  <si>
    <t>Tirli</t>
  </si>
  <si>
    <t>5300620006</t>
  </si>
  <si>
    <t>Vaticino</t>
  </si>
  <si>
    <t>5300610005</t>
  </si>
  <si>
    <t>Vetulonia</t>
  </si>
  <si>
    <t>Castiglione di Garfagnana [LU]</t>
  </si>
  <si>
    <t>4601026612</t>
  </si>
  <si>
    <t>Bamborino</t>
  </si>
  <si>
    <t>4601020010</t>
  </si>
  <si>
    <t>Borghetto</t>
  </si>
  <si>
    <t>4601010001</t>
  </si>
  <si>
    <t>Campori</t>
  </si>
  <si>
    <t>4601040000</t>
  </si>
  <si>
    <t>Case sparse_249</t>
  </si>
  <si>
    <t>4601020003</t>
  </si>
  <si>
    <t>4601010002</t>
  </si>
  <si>
    <t>Castiglione di Garfagnana</t>
  </si>
  <si>
    <t>4601010003</t>
  </si>
  <si>
    <t>Cerageto</t>
  </si>
  <si>
    <t>4601010004</t>
  </si>
  <si>
    <t>Chiozza</t>
  </si>
  <si>
    <t>4601020011</t>
  </si>
  <si>
    <t>Crociale-Mozzanella</t>
  </si>
  <si>
    <t>4601010007</t>
  </si>
  <si>
    <t>4601026607</t>
  </si>
  <si>
    <t>Marcione</t>
  </si>
  <si>
    <t>4601010008</t>
  </si>
  <si>
    <t>Mozzanella</t>
  </si>
  <si>
    <t>4601010005</t>
  </si>
  <si>
    <t>Pian di Cerreto</t>
  </si>
  <si>
    <t>4601020009</t>
  </si>
  <si>
    <t>Prunecchio</t>
  </si>
  <si>
    <t>4601010006</t>
  </si>
  <si>
    <t>San Pellegrino</t>
  </si>
  <si>
    <t>4601010009</t>
  </si>
  <si>
    <t>Valbona</t>
  </si>
  <si>
    <t>Castiglione d'Orcia [SI]</t>
  </si>
  <si>
    <t>5200710001</t>
  </si>
  <si>
    <t>Bagni San Filippo</t>
  </si>
  <si>
    <t>5200726601</t>
  </si>
  <si>
    <t>Belvedere</t>
  </si>
  <si>
    <t>5200710002</t>
  </si>
  <si>
    <t>Campiglia d'Orcia</t>
  </si>
  <si>
    <t>5200740000</t>
  </si>
  <si>
    <t>Case sparse_71</t>
  </si>
  <si>
    <t>5200710003</t>
  </si>
  <si>
    <t>Castiglione d'Orcia</t>
  </si>
  <si>
    <t>5200710004</t>
  </si>
  <si>
    <t>Gallina</t>
  </si>
  <si>
    <t>5200720002</t>
  </si>
  <si>
    <t>Monte Amiata</t>
  </si>
  <si>
    <t>5200726603</t>
  </si>
  <si>
    <t>Montieri</t>
  </si>
  <si>
    <t>5200726604</t>
  </si>
  <si>
    <t>Pietrineri</t>
  </si>
  <si>
    <t>5200710005</t>
  </si>
  <si>
    <t>Poggio Rosa</t>
  </si>
  <si>
    <t>5200710006</t>
  </si>
  <si>
    <t>Rocca d'Orcia</t>
  </si>
  <si>
    <t>5200710007</t>
  </si>
  <si>
    <t>Vivo d'Orcia</t>
  </si>
  <si>
    <t>Cavriglia [AR]</t>
  </si>
  <si>
    <t>5101326701</t>
  </si>
  <si>
    <t>Batelli</t>
  </si>
  <si>
    <t>5101326702</t>
  </si>
  <si>
    <t>Bellosguardo</t>
  </si>
  <si>
    <t>5101330001</t>
  </si>
  <si>
    <t>Bomba</t>
  </si>
  <si>
    <t>5101340000</t>
  </si>
  <si>
    <t>Case sparse_38</t>
  </si>
  <si>
    <t>5101310001</t>
  </si>
  <si>
    <t>Castelnuovo dei Sabbioni</t>
  </si>
  <si>
    <t>5101310002</t>
  </si>
  <si>
    <t>Cavriglia-Monastero</t>
  </si>
  <si>
    <t>5101326715</t>
  </si>
  <si>
    <t>Fontebussi</t>
  </si>
  <si>
    <t>5101320003</t>
  </si>
  <si>
    <t>Ghiandelli</t>
  </si>
  <si>
    <t>5101320004</t>
  </si>
  <si>
    <t>Grimoli</t>
  </si>
  <si>
    <t>5101326614</t>
  </si>
  <si>
    <t>Le Corti</t>
  </si>
  <si>
    <t>5101326605</t>
  </si>
  <si>
    <t>Macie</t>
  </si>
  <si>
    <t>5101310003</t>
  </si>
  <si>
    <t>Massa</t>
  </si>
  <si>
    <t>5101310004</t>
  </si>
  <si>
    <t>Meleto</t>
  </si>
  <si>
    <t>5101326606</t>
  </si>
  <si>
    <t>Montaio</t>
  </si>
  <si>
    <t>5101320007</t>
  </si>
  <si>
    <t>5101310005</t>
  </si>
  <si>
    <t>Montegonzi</t>
  </si>
  <si>
    <t>5101320008</t>
  </si>
  <si>
    <t>5101310006</t>
  </si>
  <si>
    <t>Neri</t>
  </si>
  <si>
    <t>5101326709</t>
  </si>
  <si>
    <t>Pian di Colle</t>
  </si>
  <si>
    <t>5101326710</t>
  </si>
  <si>
    <t>Poggio alle Monache</t>
  </si>
  <si>
    <t>5101310007</t>
  </si>
  <si>
    <t>San Cipriano-Santa Barbara-Centinale</t>
  </si>
  <si>
    <t>5101326611</t>
  </si>
  <si>
    <t>5101326612</t>
  </si>
  <si>
    <t>Secciano</t>
  </si>
  <si>
    <t>5101310008</t>
  </si>
  <si>
    <t>Vacchereccia</t>
  </si>
  <si>
    <t>5101326713</t>
  </si>
  <si>
    <t>Villini</t>
  </si>
  <si>
    <t>Cecina [LI]</t>
  </si>
  <si>
    <t>4900720003</t>
  </si>
  <si>
    <t>Case sparse Via Pasubio</t>
  </si>
  <si>
    <t>4900740000</t>
  </si>
  <si>
    <t>Case sparse_188</t>
  </si>
  <si>
    <t>4900710001</t>
  </si>
  <si>
    <t>Cecina</t>
  </si>
  <si>
    <t>4900726701</t>
  </si>
  <si>
    <t>Colle Mezzano</t>
  </si>
  <si>
    <t>4900720002</t>
  </si>
  <si>
    <t>La Cinquantina</t>
  </si>
  <si>
    <t>4900710002</t>
  </si>
  <si>
    <t>Mazzanta</t>
  </si>
  <si>
    <t>4900710003</t>
  </si>
  <si>
    <t>Pacchione</t>
  </si>
  <si>
    <t>4900710004</t>
  </si>
  <si>
    <t>SP in Palazzi</t>
  </si>
  <si>
    <t>4900724903</t>
  </si>
  <si>
    <t>Villaggio turistico Le Gorette</t>
  </si>
  <si>
    <t>4900730001</t>
  </si>
  <si>
    <t>Zona Industriale Localitá Cedrino</t>
  </si>
  <si>
    <t>Cerreto Guidi [FI]</t>
  </si>
  <si>
    <t>4801120001</t>
  </si>
  <si>
    <t>Acqueratina</t>
  </si>
  <si>
    <t>4801120002</t>
  </si>
  <si>
    <t>Appalto</t>
  </si>
  <si>
    <t>4801110001</t>
  </si>
  <si>
    <t>Bassa</t>
  </si>
  <si>
    <t>4801126603</t>
  </si>
  <si>
    <t>Bertolucci</t>
  </si>
  <si>
    <t>4801120004</t>
  </si>
  <si>
    <t>Biondi</t>
  </si>
  <si>
    <t>4801126605</t>
  </si>
  <si>
    <t>Cacciapolli</t>
  </si>
  <si>
    <t>4801140000</t>
  </si>
  <si>
    <t>Case sparse_146</t>
  </si>
  <si>
    <t>4801110002</t>
  </si>
  <si>
    <t>Cerreto Guidi</t>
  </si>
  <si>
    <t>4801126609</t>
  </si>
  <si>
    <t>Colle Alberti</t>
  </si>
  <si>
    <t>4801126710</t>
  </si>
  <si>
    <t>Colonia-Foreste</t>
  </si>
  <si>
    <t>4801120012</t>
  </si>
  <si>
    <t>Fornace</t>
  </si>
  <si>
    <t>4801120013</t>
  </si>
  <si>
    <t>Fornace-Torribina</t>
  </si>
  <si>
    <t>4801126714</t>
  </si>
  <si>
    <t>Gavena</t>
  </si>
  <si>
    <t>4801120015</t>
  </si>
  <si>
    <t>4801110003</t>
  </si>
  <si>
    <t>Lazzeretto</t>
  </si>
  <si>
    <t>4801126617</t>
  </si>
  <si>
    <t>Lotti-Sant'Anna</t>
  </si>
  <si>
    <t>4801120018</t>
  </si>
  <si>
    <t>Lungo</t>
  </si>
  <si>
    <t>4801120021</t>
  </si>
  <si>
    <t>Morelli</t>
  </si>
  <si>
    <t>4801120022</t>
  </si>
  <si>
    <t>Mori</t>
  </si>
  <si>
    <t>4801126620</t>
  </si>
  <si>
    <t>Mostagnana</t>
  </si>
  <si>
    <t>4801126723</t>
  </si>
  <si>
    <t>Osteriaccia</t>
  </si>
  <si>
    <t>4801120025</t>
  </si>
  <si>
    <t>Poggio Tempesti</t>
  </si>
  <si>
    <t>4801110004</t>
  </si>
  <si>
    <t>Poggioni</t>
  </si>
  <si>
    <t>4801126726</t>
  </si>
  <si>
    <t>Querciola</t>
  </si>
  <si>
    <t>4801120027</t>
  </si>
  <si>
    <t>Ripoli</t>
  </si>
  <si>
    <t>4801120029</t>
  </si>
  <si>
    <t>Soldaini-Buche</t>
  </si>
  <si>
    <t>4801110005</t>
  </si>
  <si>
    <t>Stabbia</t>
  </si>
  <si>
    <t>4801130003</t>
  </si>
  <si>
    <t>Zona Industriale di Bassa</t>
  </si>
  <si>
    <t>4801110006</t>
  </si>
  <si>
    <t>Zona Industriale di San Zio</t>
  </si>
  <si>
    <t>Certaldo [FI]</t>
  </si>
  <si>
    <t>4801226701</t>
  </si>
  <si>
    <t>Bassetti</t>
  </si>
  <si>
    <t>4801230002</t>
  </si>
  <si>
    <t>Bassetto</t>
  </si>
  <si>
    <t>4801226602</t>
  </si>
  <si>
    <t>Betto</t>
  </si>
  <si>
    <t>4801226620</t>
  </si>
  <si>
    <t>Casa Bianca</t>
  </si>
  <si>
    <t>4801240000</t>
  </si>
  <si>
    <t>Case sparse_147</t>
  </si>
  <si>
    <t>4801210001</t>
  </si>
  <si>
    <t>Certaldo</t>
  </si>
  <si>
    <t>4801226603</t>
  </si>
  <si>
    <t>Creato</t>
  </si>
  <si>
    <t>4801210002</t>
  </si>
  <si>
    <t>Fiano</t>
  </si>
  <si>
    <t>4801220004</t>
  </si>
  <si>
    <t>Gorgognano</t>
  </si>
  <si>
    <t>4801226605</t>
  </si>
  <si>
    <t>I Casotti</t>
  </si>
  <si>
    <t>4801210003</t>
  </si>
  <si>
    <t>4801226606</t>
  </si>
  <si>
    <t>Le Case</t>
  </si>
  <si>
    <t>4801210004</t>
  </si>
  <si>
    <t>Le Case di Sciano</t>
  </si>
  <si>
    <t>4801220007</t>
  </si>
  <si>
    <t>Le Murate</t>
  </si>
  <si>
    <t>4801226608</t>
  </si>
  <si>
    <t>Luia</t>
  </si>
  <si>
    <t>4801210005</t>
  </si>
  <si>
    <t>4801220009</t>
  </si>
  <si>
    <t>Montaccio</t>
  </si>
  <si>
    <t>4801220010</t>
  </si>
  <si>
    <t>Montebello</t>
  </si>
  <si>
    <t>4801230003</t>
  </si>
  <si>
    <t>Montebello Due</t>
  </si>
  <si>
    <t>4801226611</t>
  </si>
  <si>
    <t>Podere di Poggetto</t>
  </si>
  <si>
    <t>4801220012</t>
  </si>
  <si>
    <t>Poggio ai Grilli</t>
  </si>
  <si>
    <t>4801220016</t>
  </si>
  <si>
    <t>Pozzo Fresco</t>
  </si>
  <si>
    <t>4801220018</t>
  </si>
  <si>
    <t>4801226613</t>
  </si>
  <si>
    <t>4801221114</t>
  </si>
  <si>
    <t>San Lazzaro</t>
  </si>
  <si>
    <t>4801226619</t>
  </si>
  <si>
    <t>Santa Maria a Sciano</t>
  </si>
  <si>
    <t>4801226617</t>
  </si>
  <si>
    <t>Scarpeto di Sopra</t>
  </si>
  <si>
    <t>4801226715</t>
  </si>
  <si>
    <t>Sciano</t>
  </si>
  <si>
    <t>Cetona [SI]</t>
  </si>
  <si>
    <t>5200840000</t>
  </si>
  <si>
    <t>Case sparse_72</t>
  </si>
  <si>
    <t>5200810001</t>
  </si>
  <si>
    <t>Cetona</t>
  </si>
  <si>
    <t>5200820001</t>
  </si>
  <si>
    <t>Patarnione</t>
  </si>
  <si>
    <t>5200810002</t>
  </si>
  <si>
    <t>Piazze</t>
  </si>
  <si>
    <t>5200826702</t>
  </si>
  <si>
    <t>Poggio alla Vecchia</t>
  </si>
  <si>
    <t>5200820004</t>
  </si>
  <si>
    <t>Vecciano</t>
  </si>
  <si>
    <t>Chianciano Terme [SI]</t>
  </si>
  <si>
    <t>5200940000</t>
  </si>
  <si>
    <t>Case sparse_73</t>
  </si>
  <si>
    <t>5200910001</t>
  </si>
  <si>
    <t>Chianciano Terme</t>
  </si>
  <si>
    <t>Chianni [PI]</t>
  </si>
  <si>
    <t>5001240000</t>
  </si>
  <si>
    <t>Case sparse_213</t>
  </si>
  <si>
    <t>5001210001</t>
  </si>
  <si>
    <t>Chianni</t>
  </si>
  <si>
    <t>5001226608</t>
  </si>
  <si>
    <t>Garetto Basso</t>
  </si>
  <si>
    <t>5001226602</t>
  </si>
  <si>
    <t>I Gulfi</t>
  </si>
  <si>
    <t>5001226603</t>
  </si>
  <si>
    <t>La Fornace</t>
  </si>
  <si>
    <t>5001220005</t>
  </si>
  <si>
    <t>La Pieve</t>
  </si>
  <si>
    <t>5001220006</t>
  </si>
  <si>
    <t>Rivalto</t>
  </si>
  <si>
    <t>5001220007</t>
  </si>
  <si>
    <t>Sassi Bianchi</t>
  </si>
  <si>
    <t>Chiesina Uzzanese [PT]</t>
  </si>
  <si>
    <t>4702240000</t>
  </si>
  <si>
    <t>Case sparse_137</t>
  </si>
  <si>
    <t>4702210001</t>
  </si>
  <si>
    <t>4702210002</t>
  </si>
  <si>
    <t>Chiesina Uzzanese</t>
  </si>
  <si>
    <t>4702220001</t>
  </si>
  <si>
    <t>Foschi</t>
  </si>
  <si>
    <t>4702210003</t>
  </si>
  <si>
    <t>La Capanna</t>
  </si>
  <si>
    <t>4702230001</t>
  </si>
  <si>
    <t>4702210004</t>
  </si>
  <si>
    <t>4702220002</t>
  </si>
  <si>
    <t>Orsi</t>
  </si>
  <si>
    <t>Chitignano [AR]</t>
  </si>
  <si>
    <t>5101440000</t>
  </si>
  <si>
    <t>Case sparse_39</t>
  </si>
  <si>
    <t>5101410001</t>
  </si>
  <si>
    <t>Chitignano</t>
  </si>
  <si>
    <t>5101420001</t>
  </si>
  <si>
    <t>Croce di Sarna</t>
  </si>
  <si>
    <t>5101420002</t>
  </si>
  <si>
    <t>La Casa</t>
  </si>
  <si>
    <t>5101410002</t>
  </si>
  <si>
    <t>Rosina</t>
  </si>
  <si>
    <t>5101420004</t>
  </si>
  <si>
    <t>Taena</t>
  </si>
  <si>
    <t>Chiusdino [SI]</t>
  </si>
  <si>
    <t>5201040000</t>
  </si>
  <si>
    <t>Case sparse_74</t>
  </si>
  <si>
    <t>5201020002</t>
  </si>
  <si>
    <t>5201026603</t>
  </si>
  <si>
    <t>Causa</t>
  </si>
  <si>
    <t>5201010001</t>
  </si>
  <si>
    <t>Chiusdino</t>
  </si>
  <si>
    <t>5201010002</t>
  </si>
  <si>
    <t>Ciciano</t>
  </si>
  <si>
    <t>5201020004</t>
  </si>
  <si>
    <t>Ciglierese</t>
  </si>
  <si>
    <t>5201026605</t>
  </si>
  <si>
    <t>Colordesoli</t>
  </si>
  <si>
    <t>5201010003</t>
  </si>
  <si>
    <t>Frassini</t>
  </si>
  <si>
    <t>5201010004</t>
  </si>
  <si>
    <t>Frosini</t>
  </si>
  <si>
    <t>5201010005</t>
  </si>
  <si>
    <t>Montalcinello</t>
  </si>
  <si>
    <t>5201026707</t>
  </si>
  <si>
    <t>Moscofuli</t>
  </si>
  <si>
    <t>5201010006</t>
  </si>
  <si>
    <t>Palazzetto</t>
  </si>
  <si>
    <t>5201022108</t>
  </si>
  <si>
    <t>Chiusi [SI]</t>
  </si>
  <si>
    <t>5201140000</t>
  </si>
  <si>
    <t>Case sparse_75</t>
  </si>
  <si>
    <t>5201110001</t>
  </si>
  <si>
    <t>Chiusi</t>
  </si>
  <si>
    <t>5201110002</t>
  </si>
  <si>
    <t>Chiusi Scalo</t>
  </si>
  <si>
    <t>5201120001</t>
  </si>
  <si>
    <t>Giovancorso</t>
  </si>
  <si>
    <t>5201110005</t>
  </si>
  <si>
    <t>Localitá Asso di Picche</t>
  </si>
  <si>
    <t>5201120013</t>
  </si>
  <si>
    <t>Localitá Fonteregina</t>
  </si>
  <si>
    <t>5201126608</t>
  </si>
  <si>
    <t>Localitá Pignattaia</t>
  </si>
  <si>
    <t>5201120009</t>
  </si>
  <si>
    <t>Localitá Poggio Olivo</t>
  </si>
  <si>
    <t>5201126604</t>
  </si>
  <si>
    <t>Localitá Quattro Poderi</t>
  </si>
  <si>
    <t>5201126610</t>
  </si>
  <si>
    <t>Localitá Toppo Basso</t>
  </si>
  <si>
    <t>5201126702</t>
  </si>
  <si>
    <t>Macciano</t>
  </si>
  <si>
    <t>5201110003</t>
  </si>
  <si>
    <t>Montallese</t>
  </si>
  <si>
    <t>5201110004</t>
  </si>
  <si>
    <t>Montevenere</t>
  </si>
  <si>
    <t>5201126606</t>
  </si>
  <si>
    <t>Podere Caselle</t>
  </si>
  <si>
    <t>5201120003</t>
  </si>
  <si>
    <t>Querce al Pino</t>
  </si>
  <si>
    <t>5201126712</t>
  </si>
  <si>
    <t>San Gregorio</t>
  </si>
  <si>
    <t>Chiusi della Verna [AR]</t>
  </si>
  <si>
    <t>5101510001</t>
  </si>
  <si>
    <t>Biforco</t>
  </si>
  <si>
    <t>5101540000</t>
  </si>
  <si>
    <t>Case sparse_40</t>
  </si>
  <si>
    <t>5101526601</t>
  </si>
  <si>
    <t>Casenuove</t>
  </si>
  <si>
    <t>5101510002</t>
  </si>
  <si>
    <t>Chiusi della Verna</t>
  </si>
  <si>
    <t>5101510003</t>
  </si>
  <si>
    <t>Compito</t>
  </si>
  <si>
    <t>5101510004</t>
  </si>
  <si>
    <t>Corezzo</t>
  </si>
  <si>
    <t>5101510005</t>
  </si>
  <si>
    <t>5101520002</t>
  </si>
  <si>
    <t>5101510006</t>
  </si>
  <si>
    <t>Dama</t>
  </si>
  <si>
    <t>5101526603</t>
  </si>
  <si>
    <t>Frassineta</t>
  </si>
  <si>
    <t>5101520004</t>
  </si>
  <si>
    <t>Gargiano</t>
  </si>
  <si>
    <t>5101520005</t>
  </si>
  <si>
    <t>La Beccia</t>
  </si>
  <si>
    <t>5101520006</t>
  </si>
  <si>
    <t>5101520007</t>
  </si>
  <si>
    <t>La Lappola</t>
  </si>
  <si>
    <t>5101520011</t>
  </si>
  <si>
    <t>Rimbocchi</t>
  </si>
  <si>
    <t>5101520012</t>
  </si>
  <si>
    <t>Sarna</t>
  </si>
  <si>
    <t>5101520013</t>
  </si>
  <si>
    <t>Val della Meta</t>
  </si>
  <si>
    <t>Cinigiano [GR]</t>
  </si>
  <si>
    <t>5300720001</t>
  </si>
  <si>
    <t>Borgo Santa Rita</t>
  </si>
  <si>
    <t>5300740000</t>
  </si>
  <si>
    <t>Case sparse_107</t>
  </si>
  <si>
    <t>5300710001</t>
  </si>
  <si>
    <t>Castiglioncello Bandini</t>
  </si>
  <si>
    <t>5300710002</t>
  </si>
  <si>
    <t>Cinigiano</t>
  </si>
  <si>
    <t>5300726602</t>
  </si>
  <si>
    <t>La Cava</t>
  </si>
  <si>
    <t>5300726603</t>
  </si>
  <si>
    <t>Le Cosole</t>
  </si>
  <si>
    <t>5300726607</t>
  </si>
  <si>
    <t>Localitá Piantaverna</t>
  </si>
  <si>
    <t>5300726608</t>
  </si>
  <si>
    <t>Localitá Tribolone</t>
  </si>
  <si>
    <t>5300710003</t>
  </si>
  <si>
    <t>Monticello Amiata</t>
  </si>
  <si>
    <t>5300720009</t>
  </si>
  <si>
    <t>Piaggiano</t>
  </si>
  <si>
    <t>5300710004</t>
  </si>
  <si>
    <t>Poggi del Sasso</t>
  </si>
  <si>
    <t>5300720010</t>
  </si>
  <si>
    <t>Poggio Paolo</t>
  </si>
  <si>
    <t>5300720004</t>
  </si>
  <si>
    <t>Porrona</t>
  </si>
  <si>
    <t>5300710005</t>
  </si>
  <si>
    <t>Sasso d'Ombrone</t>
  </si>
  <si>
    <t>5300726605</t>
  </si>
  <si>
    <t>5300720006</t>
  </si>
  <si>
    <t>Volpaio</t>
  </si>
  <si>
    <t>Civitella in Val di Chiana [AR]</t>
  </si>
  <si>
    <t>5101610001</t>
  </si>
  <si>
    <t>Albergo</t>
  </si>
  <si>
    <t>5101630001</t>
  </si>
  <si>
    <t>Area Produttiva</t>
  </si>
  <si>
    <t>5101610002</t>
  </si>
  <si>
    <t>Badia al Pino</t>
  </si>
  <si>
    <t>5101620001</t>
  </si>
  <si>
    <t>Casali</t>
  </si>
  <si>
    <t>5101640000</t>
  </si>
  <si>
    <t>Case sparse_41</t>
  </si>
  <si>
    <t>5101610003</t>
  </si>
  <si>
    <t>Ciggiano</t>
  </si>
  <si>
    <t>5101610004</t>
  </si>
  <si>
    <t>Civitella in Val di Chiana</t>
  </si>
  <si>
    <t>5101630002</t>
  </si>
  <si>
    <t>Le Poggiole</t>
  </si>
  <si>
    <t>5101620004</t>
  </si>
  <si>
    <t>Malpertuso</t>
  </si>
  <si>
    <t>5101626605</t>
  </si>
  <si>
    <t>Matroia</t>
  </si>
  <si>
    <t>5101610005</t>
  </si>
  <si>
    <t>Oliveto</t>
  </si>
  <si>
    <t>5101610007</t>
  </si>
  <si>
    <t>Pieve A Maiano</t>
  </si>
  <si>
    <t>5101610006</t>
  </si>
  <si>
    <t>Pieve al Toppo</t>
  </si>
  <si>
    <t>5101626706</t>
  </si>
  <si>
    <t>Poggio Basso</t>
  </si>
  <si>
    <t>5101620007</t>
  </si>
  <si>
    <t>Spoiano</t>
  </si>
  <si>
    <t>5101610008</t>
  </si>
  <si>
    <t>Tegoleto</t>
  </si>
  <si>
    <t>5101610009</t>
  </si>
  <si>
    <t>Tuori</t>
  </si>
  <si>
    <t>5101610010</t>
  </si>
  <si>
    <t>Viciomaggio</t>
  </si>
  <si>
    <t>Civitella Paganico [GR]</t>
  </si>
  <si>
    <t>5300810001</t>
  </si>
  <si>
    <t>Casale di Pari</t>
  </si>
  <si>
    <t>5300826606</t>
  </si>
  <si>
    <t>Casalmaggiore</t>
  </si>
  <si>
    <t>5300840000</t>
  </si>
  <si>
    <t>Case sparse_108</t>
  </si>
  <si>
    <t>5300810002</t>
  </si>
  <si>
    <t>Civitella Marittima</t>
  </si>
  <si>
    <t>5300820002</t>
  </si>
  <si>
    <t>5300826603</t>
  </si>
  <si>
    <t>Fercole</t>
  </si>
  <si>
    <t>5300820007</t>
  </si>
  <si>
    <t>5300820009</t>
  </si>
  <si>
    <t>Monte Antico Alto</t>
  </si>
  <si>
    <t>5300826608</t>
  </si>
  <si>
    <t>Monteverdi</t>
  </si>
  <si>
    <t>5300810003</t>
  </si>
  <si>
    <t>Paganico</t>
  </si>
  <si>
    <t>5300810004</t>
  </si>
  <si>
    <t>Pari</t>
  </si>
  <si>
    <t>5300826604</t>
  </si>
  <si>
    <t>Pietratonda</t>
  </si>
  <si>
    <t>5300820005</t>
  </si>
  <si>
    <t>Stazione di Civitella Paganico</t>
  </si>
  <si>
    <t>5300810005</t>
  </si>
  <si>
    <t>Stazione di Monte Antico</t>
  </si>
  <si>
    <t>Colle di Val d'Elsa [SI]</t>
  </si>
  <si>
    <t>5201230001</t>
  </si>
  <si>
    <t>5201210001</t>
  </si>
  <si>
    <t>5201210002</t>
  </si>
  <si>
    <t>Borgatello</t>
  </si>
  <si>
    <t>5201220001</t>
  </si>
  <si>
    <t>Boscona</t>
  </si>
  <si>
    <t>5201210003</t>
  </si>
  <si>
    <t>Campiglia</t>
  </si>
  <si>
    <t>5201240000</t>
  </si>
  <si>
    <t>Case sparse_76</t>
  </si>
  <si>
    <t>5201210004</t>
  </si>
  <si>
    <t>Castel San Gimignano</t>
  </si>
  <si>
    <t>5201220002</t>
  </si>
  <si>
    <t>Collalto</t>
  </si>
  <si>
    <t>5201210005</t>
  </si>
  <si>
    <t>Colle di Val d'Elsa</t>
  </si>
  <si>
    <t>5201220003</t>
  </si>
  <si>
    <t>Coneo</t>
  </si>
  <si>
    <t>5201220004</t>
  </si>
  <si>
    <t>Lano</t>
  </si>
  <si>
    <t>5201226605</t>
  </si>
  <si>
    <t>Mensanello</t>
  </si>
  <si>
    <t>5201226606</t>
  </si>
  <si>
    <t>5201226607</t>
  </si>
  <si>
    <t>Montegabbro</t>
  </si>
  <si>
    <t>5201220008</t>
  </si>
  <si>
    <t>Onci</t>
  </si>
  <si>
    <t>5201230002</t>
  </si>
  <si>
    <t>Pian dell'Olmino</t>
  </si>
  <si>
    <t>5201210006</t>
  </si>
  <si>
    <t>Quartaia</t>
  </si>
  <si>
    <t>5201220009</t>
  </si>
  <si>
    <t>5201220010</t>
  </si>
  <si>
    <t>Scarna</t>
  </si>
  <si>
    <t>5201220011</t>
  </si>
  <si>
    <t>Selvamaggio</t>
  </si>
  <si>
    <t>Collesalvetti [LI]</t>
  </si>
  <si>
    <t>4900826701</t>
  </si>
  <si>
    <t>Aiaccia</t>
  </si>
  <si>
    <t>4900820023</t>
  </si>
  <si>
    <t>Badia II</t>
  </si>
  <si>
    <t>4900830001</t>
  </si>
  <si>
    <t>C.M.F.</t>
  </si>
  <si>
    <t>4900840000</t>
  </si>
  <si>
    <t>Case sparse_189</t>
  </si>
  <si>
    <t>4900810001</t>
  </si>
  <si>
    <t>Castell'Anselmo</t>
  </si>
  <si>
    <t>4900810002</t>
  </si>
  <si>
    <t>Collesalvetti</t>
  </si>
  <si>
    <t>4900826602</t>
  </si>
  <si>
    <t>Colliromboli</t>
  </si>
  <si>
    <t>4900810003</t>
  </si>
  <si>
    <t>Colognole</t>
  </si>
  <si>
    <t>4900810004</t>
  </si>
  <si>
    <t>Crocino</t>
  </si>
  <si>
    <t>4900810005</t>
  </si>
  <si>
    <t>Guasticce</t>
  </si>
  <si>
    <t>4900820020</t>
  </si>
  <si>
    <t>Guinceri</t>
  </si>
  <si>
    <t>4900830004</t>
  </si>
  <si>
    <t>Interporto Amerigo Vespucci</t>
  </si>
  <si>
    <t>4900826604</t>
  </si>
  <si>
    <t>4900830002</t>
  </si>
  <si>
    <t>4900820005</t>
  </si>
  <si>
    <t>Le Buchette</t>
  </si>
  <si>
    <t>4900826706</t>
  </si>
  <si>
    <t>Le Case I</t>
  </si>
  <si>
    <t>4900820007</t>
  </si>
  <si>
    <t>Le Case II</t>
  </si>
  <si>
    <t>4900826608</t>
  </si>
  <si>
    <t>Le Murelle</t>
  </si>
  <si>
    <t>4900826717</t>
  </si>
  <si>
    <t>Loti</t>
  </si>
  <si>
    <t>4900820009</t>
  </si>
  <si>
    <t>Mortaiolo</t>
  </si>
  <si>
    <t>4900810012</t>
  </si>
  <si>
    <t>Nugola</t>
  </si>
  <si>
    <t>4900820016</t>
  </si>
  <si>
    <t>Pandoiano</t>
  </si>
  <si>
    <t>4900810008</t>
  </si>
  <si>
    <t>Parrana San Giusto</t>
  </si>
  <si>
    <t>4900810009</t>
  </si>
  <si>
    <t>Parrana San Martino</t>
  </si>
  <si>
    <t>4900820010</t>
  </si>
  <si>
    <t>Pietreto</t>
  </si>
  <si>
    <t>4900826618</t>
  </si>
  <si>
    <t>Poggio Ai Grilli</t>
  </si>
  <si>
    <t>4900826711</t>
  </si>
  <si>
    <t>Poggio Badia</t>
  </si>
  <si>
    <t>4900826612</t>
  </si>
  <si>
    <t>Ponte Biscottino</t>
  </si>
  <si>
    <t>4900826721</t>
  </si>
  <si>
    <t>Punta degli Alessandrini</t>
  </si>
  <si>
    <t>4900810010</t>
  </si>
  <si>
    <t>Stagno</t>
  </si>
  <si>
    <t>4900820013</t>
  </si>
  <si>
    <t>Tanna Alta</t>
  </si>
  <si>
    <t>4900826614</t>
  </si>
  <si>
    <t>Tanna Bassa</t>
  </si>
  <si>
    <t>4900820015</t>
  </si>
  <si>
    <t>Torretta Vecchia</t>
  </si>
  <si>
    <t>4900810011</t>
  </si>
  <si>
    <t>Vicarello</t>
  </si>
  <si>
    <t>4900826725</t>
  </si>
  <si>
    <t>Villa Marcacci</t>
  </si>
  <si>
    <t>Comano [MS]</t>
  </si>
  <si>
    <t>4500520001</t>
  </si>
  <si>
    <t>Camporaghena</t>
  </si>
  <si>
    <t>4500524917</t>
  </si>
  <si>
    <t>Canola</t>
  </si>
  <si>
    <t>4500524916</t>
  </si>
  <si>
    <t>Casa Pelati</t>
  </si>
  <si>
    <t>4500540000</t>
  </si>
  <si>
    <t>Case sparse_227</t>
  </si>
  <si>
    <t>4500520002</t>
  </si>
  <si>
    <t>4500520003</t>
  </si>
  <si>
    <t>Castello di Camporaghena</t>
  </si>
  <si>
    <t>4500520004</t>
  </si>
  <si>
    <t>Cattognano</t>
  </si>
  <si>
    <t>4500510001</t>
  </si>
  <si>
    <t>Comano</t>
  </si>
  <si>
    <t>4500510002</t>
  </si>
  <si>
    <t>Crespiano</t>
  </si>
  <si>
    <t>4500526605</t>
  </si>
  <si>
    <t>Croce</t>
  </si>
  <si>
    <t>4500524918</t>
  </si>
  <si>
    <t>Groppo San Pietro</t>
  </si>
  <si>
    <t>4500526607</t>
  </si>
  <si>
    <t>La Greta</t>
  </si>
  <si>
    <t>4500524920</t>
  </si>
  <si>
    <t>Lagastrello</t>
  </si>
  <si>
    <t>4500520009</t>
  </si>
  <si>
    <t>Montale</t>
  </si>
  <si>
    <t>4500524915</t>
  </si>
  <si>
    <t>Piagneto</t>
  </si>
  <si>
    <t>4500520010</t>
  </si>
  <si>
    <t>Piano</t>
  </si>
  <si>
    <t>4500520011</t>
  </si>
  <si>
    <t>Prota</t>
  </si>
  <si>
    <t>4500524919</t>
  </si>
  <si>
    <t>Scanderaruola</t>
  </si>
  <si>
    <t>4500524912</t>
  </si>
  <si>
    <t>Torsana</t>
  </si>
  <si>
    <t>Coreglia Antelminelli [LU]</t>
  </si>
  <si>
    <t>4601140000</t>
  </si>
  <si>
    <t>Case sparse_250</t>
  </si>
  <si>
    <t>4601110001</t>
  </si>
  <si>
    <t>Coreglia Antelminelli</t>
  </si>
  <si>
    <t>4601110002</t>
  </si>
  <si>
    <t>Gromignana</t>
  </si>
  <si>
    <t>4601110003</t>
  </si>
  <si>
    <t>Lucignana</t>
  </si>
  <si>
    <t>4601110004</t>
  </si>
  <si>
    <t>Piano di Coreglia-Ghivizzano</t>
  </si>
  <si>
    <t>4601120002</t>
  </si>
  <si>
    <t>Piastroso</t>
  </si>
  <si>
    <t>4601110005</t>
  </si>
  <si>
    <t>Tereglio</t>
  </si>
  <si>
    <t>4601110006</t>
  </si>
  <si>
    <t>Vitiana</t>
  </si>
  <si>
    <t>Cortona [AR]</t>
  </si>
  <si>
    <t>5101723802</t>
  </si>
  <si>
    <t>Adatti</t>
  </si>
  <si>
    <t>5101720003</t>
  </si>
  <si>
    <t>5101710001</t>
  </si>
  <si>
    <t>Barullo-Centoia</t>
  </si>
  <si>
    <t>5101726604</t>
  </si>
  <si>
    <t>Battifollo</t>
  </si>
  <si>
    <t>5101720005</t>
  </si>
  <si>
    <t>Bivio Riccio</t>
  </si>
  <si>
    <t>5101726606</t>
  </si>
  <si>
    <t>Cá di Masino</t>
  </si>
  <si>
    <t>5101720007</t>
  </si>
  <si>
    <t>5101710002</t>
  </si>
  <si>
    <t>Camucia-Monsigliolo</t>
  </si>
  <si>
    <t>5101740000</t>
  </si>
  <si>
    <t>Case sparse_42</t>
  </si>
  <si>
    <t>5101720008</t>
  </si>
  <si>
    <t>Casorbica-Salcotto</t>
  </si>
  <si>
    <t>5101726609</t>
  </si>
  <si>
    <t>Catrosse</t>
  </si>
  <si>
    <t>5101720010</t>
  </si>
  <si>
    <t>Cegliolo</t>
  </si>
  <si>
    <t>5101720055</t>
  </si>
  <si>
    <t>Centoia I</t>
  </si>
  <si>
    <t>5101710003</t>
  </si>
  <si>
    <t>Chianacce</t>
  </si>
  <si>
    <t>5101710004</t>
  </si>
  <si>
    <t>5101710005</t>
  </si>
  <si>
    <t>Col di Morro</t>
  </si>
  <si>
    <t>5101710006</t>
  </si>
  <si>
    <t>Cortona</t>
  </si>
  <si>
    <t>5101720012</t>
  </si>
  <si>
    <t>Cortoreggio</t>
  </si>
  <si>
    <t>5101710007</t>
  </si>
  <si>
    <t>Creti</t>
  </si>
  <si>
    <t>5101720013</t>
  </si>
  <si>
    <t>Farinaio</t>
  </si>
  <si>
    <t>5101726752</t>
  </si>
  <si>
    <t>Farneta I</t>
  </si>
  <si>
    <t>5101726653</t>
  </si>
  <si>
    <t>Farneta II</t>
  </si>
  <si>
    <t>5101720014</t>
  </si>
  <si>
    <t>Fasciano</t>
  </si>
  <si>
    <t>5101726615</t>
  </si>
  <si>
    <t>Ferretto</t>
  </si>
  <si>
    <t>5101720016</t>
  </si>
  <si>
    <t>Fossa del Lupo</t>
  </si>
  <si>
    <t>5101710009</t>
  </si>
  <si>
    <t>Fratta-Santa Caterina</t>
  </si>
  <si>
    <t>5101710008</t>
  </si>
  <si>
    <t>Fratticciola</t>
  </si>
  <si>
    <t>5101720017</t>
  </si>
  <si>
    <t>Gabbiano</t>
  </si>
  <si>
    <t>5101720018</t>
  </si>
  <si>
    <t>Il Borgo</t>
  </si>
  <si>
    <t>5101720051</t>
  </si>
  <si>
    <t>Il Castagno</t>
  </si>
  <si>
    <t>5101720019</t>
  </si>
  <si>
    <t>Il Mulino</t>
  </si>
  <si>
    <t>5101720020</t>
  </si>
  <si>
    <t>Il Passaggio</t>
  </si>
  <si>
    <t>5101726611</t>
  </si>
  <si>
    <t>La Chiesa</t>
  </si>
  <si>
    <t>5101720021</t>
  </si>
  <si>
    <t>5101720033</t>
  </si>
  <si>
    <t>La Mucchia</t>
  </si>
  <si>
    <t>5101710010</t>
  </si>
  <si>
    <t>La Villa-Farneta</t>
  </si>
  <si>
    <t>5101720024</t>
  </si>
  <si>
    <t>Le Casine</t>
  </si>
  <si>
    <t>5101720825</t>
  </si>
  <si>
    <t>Le Contesse</t>
  </si>
  <si>
    <t>5101726626</t>
  </si>
  <si>
    <t>Le Corchie</t>
  </si>
  <si>
    <t>5101726627</t>
  </si>
  <si>
    <t>Le Fosse</t>
  </si>
  <si>
    <t>5101726628</t>
  </si>
  <si>
    <t>Lombriciano</t>
  </si>
  <si>
    <t>5101720022</t>
  </si>
  <si>
    <t>Macchia della Madonna I</t>
  </si>
  <si>
    <t>5101726729</t>
  </si>
  <si>
    <t>Mencaglia</t>
  </si>
  <si>
    <t>5101720030</t>
  </si>
  <si>
    <t>Mengaccini</t>
  </si>
  <si>
    <t>5101710011</t>
  </si>
  <si>
    <t>Mercatale</t>
  </si>
  <si>
    <t>5101721131</t>
  </si>
  <si>
    <t>Metelliano</t>
  </si>
  <si>
    <t>5101710012</t>
  </si>
  <si>
    <t>Mezzavia</t>
  </si>
  <si>
    <t>5101710014</t>
  </si>
  <si>
    <t>Montalla</t>
  </si>
  <si>
    <t>5101726632</t>
  </si>
  <si>
    <t>Montanare</t>
  </si>
  <si>
    <t>5101710015</t>
  </si>
  <si>
    <t>5101720034</t>
  </si>
  <si>
    <t>Ospizio</t>
  </si>
  <si>
    <t>5101710016</t>
  </si>
  <si>
    <t>Ossaia</t>
  </si>
  <si>
    <t>5101720036</t>
  </si>
  <si>
    <t>Pergaccio</t>
  </si>
  <si>
    <t>5101726637</t>
  </si>
  <si>
    <t>Pergo</t>
  </si>
  <si>
    <t>5101720057</t>
  </si>
  <si>
    <t>Pergo I</t>
  </si>
  <si>
    <t>5101710017</t>
  </si>
  <si>
    <t>Pierle</t>
  </si>
  <si>
    <t>5101710018</t>
  </si>
  <si>
    <t>Pietraia</t>
  </si>
  <si>
    <t>5101710019</t>
  </si>
  <si>
    <t>5101726635</t>
  </si>
  <si>
    <t>Potassa</t>
  </si>
  <si>
    <t>5101720038</t>
  </si>
  <si>
    <t>Renaia</t>
  </si>
  <si>
    <t>5101710020</t>
  </si>
  <si>
    <t>Riccio</t>
  </si>
  <si>
    <t>5101710021</t>
  </si>
  <si>
    <t>Ronzano</t>
  </si>
  <si>
    <t>5101726640</t>
  </si>
  <si>
    <t>San Marco in Villa</t>
  </si>
  <si>
    <t>5101720041</t>
  </si>
  <si>
    <t>Sant'Agata</t>
  </si>
  <si>
    <t>5101710022</t>
  </si>
  <si>
    <t>Sant'Andrea di Sorbello</t>
  </si>
  <si>
    <t>5101726642</t>
  </si>
  <si>
    <t>5101710023</t>
  </si>
  <si>
    <t>Scanizza</t>
  </si>
  <si>
    <t>5101726643</t>
  </si>
  <si>
    <t>Schiavazzolo</t>
  </si>
  <si>
    <t>5101710024</t>
  </si>
  <si>
    <t>Sodo</t>
  </si>
  <si>
    <t>5101720044</t>
  </si>
  <si>
    <t>Tavernelle-Sant'Eusebio</t>
  </si>
  <si>
    <t>5101710026</t>
  </si>
  <si>
    <t>Terontola</t>
  </si>
  <si>
    <t>5101710025</t>
  </si>
  <si>
    <t>Terontola Alta</t>
  </si>
  <si>
    <t>5101726746</t>
  </si>
  <si>
    <t>Toppello</t>
  </si>
  <si>
    <t>5101710027</t>
  </si>
  <si>
    <t>Toppo di Moro</t>
  </si>
  <si>
    <t>5101710028</t>
  </si>
  <si>
    <t>Tornia</t>
  </si>
  <si>
    <t>5101710029</t>
  </si>
  <si>
    <t>Torreone</t>
  </si>
  <si>
    <t>5101720049</t>
  </si>
  <si>
    <t>5101730001</t>
  </si>
  <si>
    <t>Vallone P.I.P.</t>
  </si>
  <si>
    <t>Crespina [PI]</t>
  </si>
  <si>
    <t>5001320001</t>
  </si>
  <si>
    <t>Botteghino</t>
  </si>
  <si>
    <t>5001340000</t>
  </si>
  <si>
    <t>Case sparse_214</t>
  </si>
  <si>
    <t>5001310001</t>
  </si>
  <si>
    <t>Cenaia</t>
  </si>
  <si>
    <t>5001310002</t>
  </si>
  <si>
    <t>Ceppaiano</t>
  </si>
  <si>
    <t>5001310003</t>
  </si>
  <si>
    <t>Crespina</t>
  </si>
  <si>
    <t>5001320002</t>
  </si>
  <si>
    <t>Lavoria</t>
  </si>
  <si>
    <t>5001320003</t>
  </si>
  <si>
    <t>Le Lame</t>
  </si>
  <si>
    <t>5001326704</t>
  </si>
  <si>
    <t>5001326605</t>
  </si>
  <si>
    <t>Poggio al Tesoro</t>
  </si>
  <si>
    <t>5001320006</t>
  </si>
  <si>
    <t>Siberia</t>
  </si>
  <si>
    <t>5001310004</t>
  </si>
  <si>
    <t>Tripalle</t>
  </si>
  <si>
    <t>5001320007</t>
  </si>
  <si>
    <t>Villa Il Poggio</t>
  </si>
  <si>
    <t>5001310005</t>
  </si>
  <si>
    <t>Volpaia</t>
  </si>
  <si>
    <t>Cutigliano [PT]</t>
  </si>
  <si>
    <t>4700440000</t>
  </si>
  <si>
    <t>Case sparse_278</t>
  </si>
  <si>
    <t>4700420001</t>
  </si>
  <si>
    <t>Casotti-Ponte Sestaione</t>
  </si>
  <si>
    <t>4700410001</t>
  </si>
  <si>
    <t>Cutigliano</t>
  </si>
  <si>
    <t>4700424902</t>
  </si>
  <si>
    <t>Doganaccia</t>
  </si>
  <si>
    <t>4700410002</t>
  </si>
  <si>
    <t>Melo</t>
  </si>
  <si>
    <t>4700410004</t>
  </si>
  <si>
    <t>Pian degli Ontani</t>
  </si>
  <si>
    <t>4700420003</t>
  </si>
  <si>
    <t>Pian dei Sisi</t>
  </si>
  <si>
    <t>4700410003</t>
  </si>
  <si>
    <t>Pian di Novello</t>
  </si>
  <si>
    <t>4700410005</t>
  </si>
  <si>
    <t>Pianosinatico</t>
  </si>
  <si>
    <t>4700410006</t>
  </si>
  <si>
    <t>Rivoreta</t>
  </si>
  <si>
    <t>Dicomano [FI]</t>
  </si>
  <si>
    <t>4801310001</t>
  </si>
  <si>
    <t>Carbonile</t>
  </si>
  <si>
    <t>4801340000</t>
  </si>
  <si>
    <t>Case sparse_148</t>
  </si>
  <si>
    <t>4801320001</t>
  </si>
  <si>
    <t>Chiesa di Celle</t>
  </si>
  <si>
    <t>4801310002</t>
  </si>
  <si>
    <t>Corella</t>
  </si>
  <si>
    <t>4801310003</t>
  </si>
  <si>
    <t>Dicomano</t>
  </si>
  <si>
    <t>4801310005</t>
  </si>
  <si>
    <t>I filipponi</t>
  </si>
  <si>
    <t>4801326602</t>
  </si>
  <si>
    <t>Passerini</t>
  </si>
  <si>
    <t>4801320003</t>
  </si>
  <si>
    <t>Piandrati</t>
  </si>
  <si>
    <t>4801310004</t>
  </si>
  <si>
    <t>Sandetole</t>
  </si>
  <si>
    <t>Empoli [FI]</t>
  </si>
  <si>
    <t>4801420001</t>
  </si>
  <si>
    <t>Bastia</t>
  </si>
  <si>
    <t>4801410001</t>
  </si>
  <si>
    <t>Brusciana</t>
  </si>
  <si>
    <t>4801420002</t>
  </si>
  <si>
    <t>Capanne di Sopra</t>
  </si>
  <si>
    <t>4801420003</t>
  </si>
  <si>
    <t>Capannone</t>
  </si>
  <si>
    <t>4801420010</t>
  </si>
  <si>
    <t>Case Bosco</t>
  </si>
  <si>
    <t>4801426716</t>
  </si>
  <si>
    <t>Case Chiassoli</t>
  </si>
  <si>
    <t>4801440000</t>
  </si>
  <si>
    <t>Case sparse_149</t>
  </si>
  <si>
    <t>4801430002</t>
  </si>
  <si>
    <t>4801410002</t>
  </si>
  <si>
    <t>Cerbaiola</t>
  </si>
  <si>
    <t>4801410003</t>
  </si>
  <si>
    <t>Empoli</t>
  </si>
  <si>
    <t>4801426715</t>
  </si>
  <si>
    <t>4801420006</t>
  </si>
  <si>
    <t>4801430004</t>
  </si>
  <si>
    <t>Lucchese Est</t>
  </si>
  <si>
    <t>4801430003</t>
  </si>
  <si>
    <t>Lucchese Ovest</t>
  </si>
  <si>
    <t>4801410004</t>
  </si>
  <si>
    <t>Marcignana</t>
  </si>
  <si>
    <t>4801410005</t>
  </si>
  <si>
    <t>Martignana</t>
  </si>
  <si>
    <t>4801410006</t>
  </si>
  <si>
    <t>4801426707</t>
  </si>
  <si>
    <t>Montemagnoli</t>
  </si>
  <si>
    <t>4801410007</t>
  </si>
  <si>
    <t>Monterappoli</t>
  </si>
  <si>
    <t>4801410008</t>
  </si>
  <si>
    <t>Osteria Bianca-Ponte a Elsa</t>
  </si>
  <si>
    <t>4801410009</t>
  </si>
  <si>
    <t>Pianezzoli</t>
  </si>
  <si>
    <t>4801426714</t>
  </si>
  <si>
    <t>4801410010</t>
  </si>
  <si>
    <t>Pozzale-Case Nuove</t>
  </si>
  <si>
    <t>4801420008</t>
  </si>
  <si>
    <t>San Frediano</t>
  </si>
  <si>
    <t>4801410011</t>
  </si>
  <si>
    <t>Sant'Andrea-Fontanella</t>
  </si>
  <si>
    <t>4801426609</t>
  </si>
  <si>
    <t>Tartagliana</t>
  </si>
  <si>
    <t>4801430001</t>
  </si>
  <si>
    <t>Terrafino</t>
  </si>
  <si>
    <t>4801410012</t>
  </si>
  <si>
    <t>Tinaia</t>
  </si>
  <si>
    <t>4801426613</t>
  </si>
  <si>
    <t>4801410013</t>
  </si>
  <si>
    <t>Villanuova</t>
  </si>
  <si>
    <t>Fabbriche di Vallico [LU]</t>
  </si>
  <si>
    <t>4601220001</t>
  </si>
  <si>
    <t>4601240000</t>
  </si>
  <si>
    <t>Case sparse_251</t>
  </si>
  <si>
    <t>4601210001</t>
  </si>
  <si>
    <t>Fabbriche di Vallico</t>
  </si>
  <si>
    <t>4601210004</t>
  </si>
  <si>
    <t>Gragliana</t>
  </si>
  <si>
    <t>4601210002</t>
  </si>
  <si>
    <t>Vallico di Sopra</t>
  </si>
  <si>
    <t>4601210003</t>
  </si>
  <si>
    <t>Vallico di Sotto</t>
  </si>
  <si>
    <t>Fauglia [PI]</t>
  </si>
  <si>
    <t>5001410001</t>
  </si>
  <si>
    <t>Acciaiolo</t>
  </si>
  <si>
    <t>5001430002</t>
  </si>
  <si>
    <t>Area Produttiva Acciaiolo</t>
  </si>
  <si>
    <t>5001426701</t>
  </si>
  <si>
    <t>5001426610</t>
  </si>
  <si>
    <t>Case Nuove</t>
  </si>
  <si>
    <t>5001440000</t>
  </si>
  <si>
    <t>Case sparse_215</t>
  </si>
  <si>
    <t>5001410002</t>
  </si>
  <si>
    <t>Fauglia</t>
  </si>
  <si>
    <t>5001410003</t>
  </si>
  <si>
    <t>Luciana</t>
  </si>
  <si>
    <t>5001410013</t>
  </si>
  <si>
    <t>Poggio Pallone</t>
  </si>
  <si>
    <t>5001426606</t>
  </si>
  <si>
    <t>Pontita</t>
  </si>
  <si>
    <t>5001420007</t>
  </si>
  <si>
    <t>Pugnano</t>
  </si>
  <si>
    <t>5001426608</t>
  </si>
  <si>
    <t>San Regolo</t>
  </si>
  <si>
    <t>5001430003</t>
  </si>
  <si>
    <t>Torretta</t>
  </si>
  <si>
    <t>5001430004</t>
  </si>
  <si>
    <t>Vallicella</t>
  </si>
  <si>
    <t>5001410004</t>
  </si>
  <si>
    <t>Valtriano</t>
  </si>
  <si>
    <t>5001422909</t>
  </si>
  <si>
    <t>Villa Petri Montalto</t>
  </si>
  <si>
    <t>5001430001</t>
  </si>
  <si>
    <t>Zona Commerciale Valtriano</t>
  </si>
  <si>
    <t>Fiesole [FI]</t>
  </si>
  <si>
    <t>4801510001</t>
  </si>
  <si>
    <t>Caldine</t>
  </si>
  <si>
    <t>4801540000</t>
  </si>
  <si>
    <t>Case sparse_150</t>
  </si>
  <si>
    <t>4801520003</t>
  </si>
  <si>
    <t>Cave di Maiano</t>
  </si>
  <si>
    <t>4801526604</t>
  </si>
  <si>
    <t>Citerno</t>
  </si>
  <si>
    <t>4801510002</t>
  </si>
  <si>
    <t>Compiobbi</t>
  </si>
  <si>
    <t>4801510003</t>
  </si>
  <si>
    <t>Ellera</t>
  </si>
  <si>
    <t>4801510004</t>
  </si>
  <si>
    <t>Fiesole</t>
  </si>
  <si>
    <t>4801520006</t>
  </si>
  <si>
    <t>Le Molina</t>
  </si>
  <si>
    <t>4801526607</t>
  </si>
  <si>
    <t>Maiano</t>
  </si>
  <si>
    <t>4801520017</t>
  </si>
  <si>
    <t>Montalto</t>
  </si>
  <si>
    <t>4801510005</t>
  </si>
  <si>
    <t>Montebeni</t>
  </si>
  <si>
    <t>4801520008</t>
  </si>
  <si>
    <t>Olmo</t>
  </si>
  <si>
    <t>4801526709</t>
  </si>
  <si>
    <t>Ontignano</t>
  </si>
  <si>
    <t>4801510006</t>
  </si>
  <si>
    <t>Pian di Mugnone</t>
  </si>
  <si>
    <t>4801510007</t>
  </si>
  <si>
    <t>Pian di San Bartolo-Trespiano</t>
  </si>
  <si>
    <t>4801510008</t>
  </si>
  <si>
    <t>Poggio Gherardo</t>
  </si>
  <si>
    <t>4801510009</t>
  </si>
  <si>
    <t>Ponte alla Badia</t>
  </si>
  <si>
    <t>4801520011</t>
  </si>
  <si>
    <t>4801526613</t>
  </si>
  <si>
    <t>San Donato a Torri</t>
  </si>
  <si>
    <t>4801510010</t>
  </si>
  <si>
    <t>San Jacopo al Girone</t>
  </si>
  <si>
    <t>4801526614</t>
  </si>
  <si>
    <t>Santa Margherita a Saletta</t>
  </si>
  <si>
    <t>4801526615</t>
  </si>
  <si>
    <t>Torre di Buiano</t>
  </si>
  <si>
    <t>4801526616</t>
  </si>
  <si>
    <t>Vincigliata</t>
  </si>
  <si>
    <t>Figline Valdarno [FI]</t>
  </si>
  <si>
    <t>4801620001</t>
  </si>
  <si>
    <t>4801610001</t>
  </si>
  <si>
    <t>Brollo</t>
  </si>
  <si>
    <t>4801620002</t>
  </si>
  <si>
    <t>Carresi</t>
  </si>
  <si>
    <t>4801640000</t>
  </si>
  <si>
    <t>Case sparse_151</t>
  </si>
  <si>
    <t>4801620015</t>
  </si>
  <si>
    <t>Ex Avicolo</t>
  </si>
  <si>
    <t>4801610002</t>
  </si>
  <si>
    <t>Figline Valdarno</t>
  </si>
  <si>
    <t>4801626604</t>
  </si>
  <si>
    <t>Gagliana</t>
  </si>
  <si>
    <t>4801610003</t>
  </si>
  <si>
    <t>Gaville</t>
  </si>
  <si>
    <t>4801626605</t>
  </si>
  <si>
    <t>I Cappuccini</t>
  </si>
  <si>
    <t>4801626706</t>
  </si>
  <si>
    <t>4801620008</t>
  </si>
  <si>
    <t>4801626709</t>
  </si>
  <si>
    <t>La Poggerina</t>
  </si>
  <si>
    <t>4801620007</t>
  </si>
  <si>
    <t>Lagaccioni</t>
  </si>
  <si>
    <t>4801620010</t>
  </si>
  <si>
    <t>Madonna del Cesto</t>
  </si>
  <si>
    <t>4801625815</t>
  </si>
  <si>
    <t>Norcenni</t>
  </si>
  <si>
    <t>4801626711</t>
  </si>
  <si>
    <t>Pavelli</t>
  </si>
  <si>
    <t>4801620012</t>
  </si>
  <si>
    <t>Pian delle Macchie</t>
  </si>
  <si>
    <t>4801620013</t>
  </si>
  <si>
    <t>4801610004</t>
  </si>
  <si>
    <t>Ponte Agli Stolli</t>
  </si>
  <si>
    <t>4801610005</t>
  </si>
  <si>
    <t>Porcellino</t>
  </si>
  <si>
    <t>4801610006</t>
  </si>
  <si>
    <t>Restone</t>
  </si>
  <si>
    <t>4801620014</t>
  </si>
  <si>
    <t>Ripalta</t>
  </si>
  <si>
    <t>Filattiera [MS]</t>
  </si>
  <si>
    <t>4500620001</t>
  </si>
  <si>
    <t>Arnuzzolo</t>
  </si>
  <si>
    <t>4500626602</t>
  </si>
  <si>
    <t>Calizzana</t>
  </si>
  <si>
    <t>4500620003</t>
  </si>
  <si>
    <t>4500610001</t>
  </si>
  <si>
    <t>Cantiere-Ponticello</t>
  </si>
  <si>
    <t>4500610002</t>
  </si>
  <si>
    <t>Caprio</t>
  </si>
  <si>
    <t>4500640000</t>
  </si>
  <si>
    <t>Case sparse_228</t>
  </si>
  <si>
    <t>4500610003</t>
  </si>
  <si>
    <t>Cavallana</t>
  </si>
  <si>
    <t>4500610004</t>
  </si>
  <si>
    <t>Filattiera</t>
  </si>
  <si>
    <t>4500610005</t>
  </si>
  <si>
    <t>Gigliana</t>
  </si>
  <si>
    <t>4500620004</t>
  </si>
  <si>
    <t>Macerie</t>
  </si>
  <si>
    <t>4500610006</t>
  </si>
  <si>
    <t>Migliarina</t>
  </si>
  <si>
    <t>4500620006</t>
  </si>
  <si>
    <t>Pala</t>
  </si>
  <si>
    <t>4500620007</t>
  </si>
  <si>
    <t>Posponte di Lusignana</t>
  </si>
  <si>
    <t>4500610007</t>
  </si>
  <si>
    <t>Rocca Sigillina</t>
  </si>
  <si>
    <t>4500626608</t>
  </si>
  <si>
    <t>Rottigliana di Sotto</t>
  </si>
  <si>
    <t>4500610008</t>
  </si>
  <si>
    <t>Scorcetoli-Monteluscio</t>
  </si>
  <si>
    <t>4500610009</t>
  </si>
  <si>
    <t>4500620009</t>
  </si>
  <si>
    <t>Tarasco</t>
  </si>
  <si>
    <t>4500620010</t>
  </si>
  <si>
    <t>Vignolo di Lusignana</t>
  </si>
  <si>
    <t>Firenze [FI]</t>
  </si>
  <si>
    <t>4801726601</t>
  </si>
  <si>
    <t>Baronta</t>
  </si>
  <si>
    <t>4801710001</t>
  </si>
  <si>
    <t>Cascine Del Riccio</t>
  </si>
  <si>
    <t>4801740000</t>
  </si>
  <si>
    <t>Case sparse_152</t>
  </si>
  <si>
    <t>4801726704</t>
  </si>
  <si>
    <t>Ema I</t>
  </si>
  <si>
    <t>4801726705</t>
  </si>
  <si>
    <t>Ema II</t>
  </si>
  <si>
    <t>4801710002</t>
  </si>
  <si>
    <t>Firenze</t>
  </si>
  <si>
    <t>4801710003</t>
  </si>
  <si>
    <t>Mantignano-Ugnano</t>
  </si>
  <si>
    <t>4801726607</t>
  </si>
  <si>
    <t>Parigi</t>
  </si>
  <si>
    <t>4801720008</t>
  </si>
  <si>
    <t>Piazza Calda</t>
  </si>
  <si>
    <t>4801720010</t>
  </si>
  <si>
    <t>Pontignale</t>
  </si>
  <si>
    <t>4801726612</t>
  </si>
  <si>
    <t>San Michele a Monteripaldi</t>
  </si>
  <si>
    <t>4801720013</t>
  </si>
  <si>
    <t>Stilicone</t>
  </si>
  <si>
    <t>Firenzuola [FI]</t>
  </si>
  <si>
    <t>4801820001</t>
  </si>
  <si>
    <t>Barco</t>
  </si>
  <si>
    <t>4801810001</t>
  </si>
  <si>
    <t>Bruscoli</t>
  </si>
  <si>
    <t>4801820004</t>
  </si>
  <si>
    <t>Ca' Nove</t>
  </si>
  <si>
    <t>4801820005</t>
  </si>
  <si>
    <t>4801840000</t>
  </si>
  <si>
    <t>Case sparse_153</t>
  </si>
  <si>
    <t>4801820006</t>
  </si>
  <si>
    <t>4801826607</t>
  </si>
  <si>
    <t>Castelvecchio</t>
  </si>
  <si>
    <t>4801810002</t>
  </si>
  <si>
    <t>Castro San Martino</t>
  </si>
  <si>
    <t>4801810003</t>
  </si>
  <si>
    <t>Coniale</t>
  </si>
  <si>
    <t>4801810004</t>
  </si>
  <si>
    <t>Cornacchiaia</t>
  </si>
  <si>
    <t>4801820008</t>
  </si>
  <si>
    <t>4801810005</t>
  </si>
  <si>
    <t>Covigliaio</t>
  </si>
  <si>
    <t>4801820009</t>
  </si>
  <si>
    <t>Filigare</t>
  </si>
  <si>
    <t>4801810006</t>
  </si>
  <si>
    <t>Firenzuola</t>
  </si>
  <si>
    <t>4801820010</t>
  </si>
  <si>
    <t>Fognano</t>
  </si>
  <si>
    <t>4801820011</t>
  </si>
  <si>
    <t>Fratte</t>
  </si>
  <si>
    <t>4801810007</t>
  </si>
  <si>
    <t>Giugnola</t>
  </si>
  <si>
    <t>4801820012</t>
  </si>
  <si>
    <t>4801810008</t>
  </si>
  <si>
    <t>Istia-Sigliola-Greta</t>
  </si>
  <si>
    <t>4801826613</t>
  </si>
  <si>
    <t>La Posta</t>
  </si>
  <si>
    <t>4801810009</t>
  </si>
  <si>
    <t>Le Valli</t>
  </si>
  <si>
    <t>4801810010</t>
  </si>
  <si>
    <t>Montalbano</t>
  </si>
  <si>
    <t>4801810011</t>
  </si>
  <si>
    <t>Moraduccio</t>
  </si>
  <si>
    <t>4801826614</t>
  </si>
  <si>
    <t>Osteto</t>
  </si>
  <si>
    <t>4801820015</t>
  </si>
  <si>
    <t>Pagliana</t>
  </si>
  <si>
    <t>4801820016</t>
  </si>
  <si>
    <t>Peglio</t>
  </si>
  <si>
    <t>4801810012</t>
  </si>
  <si>
    <t>Piancaldoli</t>
  </si>
  <si>
    <t>4801810013</t>
  </si>
  <si>
    <t>Pietramala</t>
  </si>
  <si>
    <t>4801820017</t>
  </si>
  <si>
    <t>Poggio Tignoso</t>
  </si>
  <si>
    <t>4801810014</t>
  </si>
  <si>
    <t>Rifredo</t>
  </si>
  <si>
    <t>4801810015</t>
  </si>
  <si>
    <t>4801820019</t>
  </si>
  <si>
    <t>4801810016</t>
  </si>
  <si>
    <t>Traversa</t>
  </si>
  <si>
    <t>4801826620</t>
  </si>
  <si>
    <t>Violla</t>
  </si>
  <si>
    <t>4801820021</t>
  </si>
  <si>
    <t>Visignano</t>
  </si>
  <si>
    <t>Fivizzano [MS]</t>
  </si>
  <si>
    <t>4500710001</t>
  </si>
  <si>
    <t>Agnino</t>
  </si>
  <si>
    <t>4500710002</t>
  </si>
  <si>
    <t>Aiola</t>
  </si>
  <si>
    <t>4500726601</t>
  </si>
  <si>
    <t>Alebbio</t>
  </si>
  <si>
    <t>4500720002</t>
  </si>
  <si>
    <t>Antigo</t>
  </si>
  <si>
    <t>4500720003</t>
  </si>
  <si>
    <t>Arlia</t>
  </si>
  <si>
    <t>4500720004</t>
  </si>
  <si>
    <t>4500710003</t>
  </si>
  <si>
    <t>Bardine di San Terenzo</t>
  </si>
  <si>
    <t>4500724954</t>
  </si>
  <si>
    <t>Bottignana</t>
  </si>
  <si>
    <t>4500710004</t>
  </si>
  <si>
    <t>Campiglione-Vezzanello</t>
  </si>
  <si>
    <t>4500720006</t>
  </si>
  <si>
    <t>Casa Giannino</t>
  </si>
  <si>
    <t>4500740000</t>
  </si>
  <si>
    <t>Case sparse_229</t>
  </si>
  <si>
    <t>4500720007</t>
  </si>
  <si>
    <t>4500720008</t>
  </si>
  <si>
    <t>Caugliano</t>
  </si>
  <si>
    <t>4500710005</t>
  </si>
  <si>
    <t>4500720057</t>
  </si>
  <si>
    <t>Cerignano</t>
  </si>
  <si>
    <t>4500720009</t>
  </si>
  <si>
    <t>Certardola-Motta</t>
  </si>
  <si>
    <t>4500710006</t>
  </si>
  <si>
    <t>Ceserano</t>
  </si>
  <si>
    <t>4500710007</t>
  </si>
  <si>
    <t>Colla</t>
  </si>
  <si>
    <t>4500726711</t>
  </si>
  <si>
    <t>Colle di Cerignano</t>
  </si>
  <si>
    <t>4500720010</t>
  </si>
  <si>
    <t>Collecchia</t>
  </si>
  <si>
    <t>4500710008</t>
  </si>
  <si>
    <t>Collegnago</t>
  </si>
  <si>
    <t>4500720012</t>
  </si>
  <si>
    <t>Colognola</t>
  </si>
  <si>
    <t>4500726613</t>
  </si>
  <si>
    <t>Cormezzano</t>
  </si>
  <si>
    <t>4500720014</t>
  </si>
  <si>
    <t>Corsano</t>
  </si>
  <si>
    <t>4500710009</t>
  </si>
  <si>
    <t>Cortila</t>
  </si>
  <si>
    <t>4500720015</t>
  </si>
  <si>
    <t>Cotto</t>
  </si>
  <si>
    <t>4500726616</t>
  </si>
  <si>
    <t>Debicò</t>
  </si>
  <si>
    <t>4500710010</t>
  </si>
  <si>
    <t>Equi Terme</t>
  </si>
  <si>
    <t>4500720018</t>
  </si>
  <si>
    <t>Fazzano</t>
  </si>
  <si>
    <t>4500726656</t>
  </si>
  <si>
    <t>Fiacciano</t>
  </si>
  <si>
    <t>4500710011</t>
  </si>
  <si>
    <t>Fivizzano</t>
  </si>
  <si>
    <t>4500720019</t>
  </si>
  <si>
    <t>Folegnano</t>
  </si>
  <si>
    <t>4500726620</t>
  </si>
  <si>
    <t>Gallogna</t>
  </si>
  <si>
    <t>4500710012</t>
  </si>
  <si>
    <t>Gassano</t>
  </si>
  <si>
    <t>4500710013</t>
  </si>
  <si>
    <t>Gragnola</t>
  </si>
  <si>
    <t>4500720021</t>
  </si>
  <si>
    <t>Groppoli</t>
  </si>
  <si>
    <t>4500720022</t>
  </si>
  <si>
    <t>Isolano</t>
  </si>
  <si>
    <t>4500726623</t>
  </si>
  <si>
    <t>La Funicolare</t>
  </si>
  <si>
    <t>4500720024</t>
  </si>
  <si>
    <t>La Giunca-Mozzano</t>
  </si>
  <si>
    <t>4500726625</t>
  </si>
  <si>
    <t>La Traggiara</t>
  </si>
  <si>
    <t>4500724955</t>
  </si>
  <si>
    <t>Localitá Castelletto</t>
  </si>
  <si>
    <t>4500720026</t>
  </si>
  <si>
    <t>Lorano</t>
  </si>
  <si>
    <t>4500710014</t>
  </si>
  <si>
    <t>Magliano</t>
  </si>
  <si>
    <t>4500720027</t>
  </si>
  <si>
    <t>Maglietola</t>
  </si>
  <si>
    <t>4500710015</t>
  </si>
  <si>
    <t>Mezzana-Monte de' Bianchi</t>
  </si>
  <si>
    <t>4500710016</t>
  </si>
  <si>
    <t>Molina di Equi Terme</t>
  </si>
  <si>
    <t>4500720028</t>
  </si>
  <si>
    <t>Mommio</t>
  </si>
  <si>
    <t>4500710017</t>
  </si>
  <si>
    <t>Moncigoli</t>
  </si>
  <si>
    <t>4500720029</t>
  </si>
  <si>
    <t>Montecurto</t>
  </si>
  <si>
    <t>4500720030</t>
  </si>
  <si>
    <t>Montevalese</t>
  </si>
  <si>
    <t>4500710018</t>
  </si>
  <si>
    <t>Monzone</t>
  </si>
  <si>
    <t>4500720032</t>
  </si>
  <si>
    <t>Panigaletto</t>
  </si>
  <si>
    <t>4500720033</t>
  </si>
  <si>
    <t>Pian di Molino</t>
  </si>
  <si>
    <t>4500710019</t>
  </si>
  <si>
    <t>Piano di Collecchia</t>
  </si>
  <si>
    <t>4500720034</t>
  </si>
  <si>
    <t>Pieve San Paolo</t>
  </si>
  <si>
    <t>4500720035</t>
  </si>
  <si>
    <t>Po’</t>
  </si>
  <si>
    <t>4500710020</t>
  </si>
  <si>
    <t>Pognana</t>
  </si>
  <si>
    <t>4500726736</t>
  </si>
  <si>
    <t>Ponte di Posara</t>
  </si>
  <si>
    <t>4500726737</t>
  </si>
  <si>
    <t>Ponte di Turano</t>
  </si>
  <si>
    <t>4500710021</t>
  </si>
  <si>
    <t>Posara</t>
  </si>
  <si>
    <t>4500720038</t>
  </si>
  <si>
    <t>Pratolungo</t>
  </si>
  <si>
    <t>4500720039</t>
  </si>
  <si>
    <t>Quarazzana</t>
  </si>
  <si>
    <t>4500710022</t>
  </si>
  <si>
    <t>Rometta</t>
  </si>
  <si>
    <t>4500710023</t>
  </si>
  <si>
    <t>San Terenzo Monti</t>
  </si>
  <si>
    <t>4500710024</t>
  </si>
  <si>
    <t>Sassalbo</t>
  </si>
  <si>
    <t>4500726640</t>
  </si>
  <si>
    <t>Sercognano</t>
  </si>
  <si>
    <t>4500726641</t>
  </si>
  <si>
    <t>Serrarola</t>
  </si>
  <si>
    <t>4500720042</t>
  </si>
  <si>
    <t>Signano</t>
  </si>
  <si>
    <t>4500710025</t>
  </si>
  <si>
    <t>Soliera</t>
  </si>
  <si>
    <t>4500720043</t>
  </si>
  <si>
    <t>4500720044</t>
  </si>
  <si>
    <t>Stazione di Fivizzano</t>
  </si>
  <si>
    <t>4500710026</t>
  </si>
  <si>
    <t>Tenerano</t>
  </si>
  <si>
    <t>4500720045</t>
  </si>
  <si>
    <t>Terenzano</t>
  </si>
  <si>
    <t>4500720046</t>
  </si>
  <si>
    <t>Terma</t>
  </si>
  <si>
    <t>4500720047</t>
  </si>
  <si>
    <t>Turano</t>
  </si>
  <si>
    <t>4500720048</t>
  </si>
  <si>
    <t>Turlago</t>
  </si>
  <si>
    <t>4500724949</t>
  </si>
  <si>
    <t>Uglianfreddo ai Cerri</t>
  </si>
  <si>
    <t>4500720050</t>
  </si>
  <si>
    <t>Valazzana</t>
  </si>
  <si>
    <t>4500720051</t>
  </si>
  <si>
    <t>Valle Ombrosa</t>
  </si>
  <si>
    <t>4500720052</t>
  </si>
  <si>
    <t>Vendaso</t>
  </si>
  <si>
    <t>4500720053</t>
  </si>
  <si>
    <t>Verrucola</t>
  </si>
  <si>
    <t>4500710027</t>
  </si>
  <si>
    <t>Viano</t>
  </si>
  <si>
    <t>4500710028</t>
  </si>
  <si>
    <t>Vinca</t>
  </si>
  <si>
    <t>Foiano della Chiana [AR]</t>
  </si>
  <si>
    <t>5101826601</t>
  </si>
  <si>
    <t>Anatraia</t>
  </si>
  <si>
    <t>5101840000</t>
  </si>
  <si>
    <t>Case sparse_43</t>
  </si>
  <si>
    <t>5101810003</t>
  </si>
  <si>
    <t>Farniole</t>
  </si>
  <si>
    <t>5101810001</t>
  </si>
  <si>
    <t>Foiano della Chiana</t>
  </si>
  <si>
    <t>5101820003</t>
  </si>
  <si>
    <t>Fontelunga</t>
  </si>
  <si>
    <t>5101826604</t>
  </si>
  <si>
    <t>La Querce</t>
  </si>
  <si>
    <t>5101820011</t>
  </si>
  <si>
    <t>La Selce</t>
  </si>
  <si>
    <t>5101820005</t>
  </si>
  <si>
    <t>Ponte al Rame</t>
  </si>
  <si>
    <t>5101810002</t>
  </si>
  <si>
    <t>Pozzo della Chiana</t>
  </si>
  <si>
    <t>5101826606</t>
  </si>
  <si>
    <t>Pratomaggio</t>
  </si>
  <si>
    <t>5101826607</t>
  </si>
  <si>
    <t>Santa Luce</t>
  </si>
  <si>
    <t>5101820008</t>
  </si>
  <si>
    <t>Stazione Ferroviaria</t>
  </si>
  <si>
    <t>5101820009</t>
  </si>
  <si>
    <t>Via del Duca</t>
  </si>
  <si>
    <t>5101826610</t>
  </si>
  <si>
    <t>Via del Filo</t>
  </si>
  <si>
    <t>Follonica [GR]</t>
  </si>
  <si>
    <t>5300940000</t>
  </si>
  <si>
    <t>Case sparse_109</t>
  </si>
  <si>
    <t>5300910001</t>
  </si>
  <si>
    <t>Follonica</t>
  </si>
  <si>
    <t>5300926702</t>
  </si>
  <si>
    <t>Localitá Casa Valli</t>
  </si>
  <si>
    <t>Forte dei Marmi [LU]</t>
  </si>
  <si>
    <t>4601340000</t>
  </si>
  <si>
    <t>Case sparse_252</t>
  </si>
  <si>
    <t>4601310001</t>
  </si>
  <si>
    <t>Forte dei Marmi</t>
  </si>
  <si>
    <t>Fosciandora [LU]</t>
  </si>
  <si>
    <t>4601440000</t>
  </si>
  <si>
    <t>Case sparse_253</t>
  </si>
  <si>
    <t>4601410001</t>
  </si>
  <si>
    <t>Ceserana</t>
  </si>
  <si>
    <t>4601410002</t>
  </si>
  <si>
    <t>Fosciandora</t>
  </si>
  <si>
    <t>4601410003</t>
  </si>
  <si>
    <t>Lupinaia</t>
  </si>
  <si>
    <t>4601410004</t>
  </si>
  <si>
    <t>Riana</t>
  </si>
  <si>
    <t>4601410005</t>
  </si>
  <si>
    <t>Treppignana</t>
  </si>
  <si>
    <t>Fosdinovo [MS]</t>
  </si>
  <si>
    <t>4500810001</t>
  </si>
  <si>
    <t>Borghetto-Melara</t>
  </si>
  <si>
    <t>4500810002</t>
  </si>
  <si>
    <t>Canepari</t>
  </si>
  <si>
    <t>4500810003</t>
  </si>
  <si>
    <t>Caniparola</t>
  </si>
  <si>
    <t>4500820001</t>
  </si>
  <si>
    <t>Caprognano</t>
  </si>
  <si>
    <t>4500810004</t>
  </si>
  <si>
    <t>Carignano</t>
  </si>
  <si>
    <t>4500840000</t>
  </si>
  <si>
    <t>Case sparse_230</t>
  </si>
  <si>
    <t>4500820002</t>
  </si>
  <si>
    <t>Celso</t>
  </si>
  <si>
    <t>4500826603</t>
  </si>
  <si>
    <t>4500810005</t>
  </si>
  <si>
    <t>Fosdinovo</t>
  </si>
  <si>
    <t>4500820004</t>
  </si>
  <si>
    <t>Gignola</t>
  </si>
  <si>
    <t>4500810006</t>
  </si>
  <si>
    <t>Giucano</t>
  </si>
  <si>
    <t>4500820006</t>
  </si>
  <si>
    <t>La Vagina</t>
  </si>
  <si>
    <t>4500810007</t>
  </si>
  <si>
    <t>Marciaso</t>
  </si>
  <si>
    <t>4500820007</t>
  </si>
  <si>
    <t>Monte Carboli</t>
  </si>
  <si>
    <t>4500820008</t>
  </si>
  <si>
    <t>Paghezzana</t>
  </si>
  <si>
    <t>4500810009</t>
  </si>
  <si>
    <t>Ponzanello</t>
  </si>
  <si>
    <t>4500820009</t>
  </si>
  <si>
    <t>Porredo</t>
  </si>
  <si>
    <t>4500810010</t>
  </si>
  <si>
    <t>Posterla</t>
  </si>
  <si>
    <t>4500810011</t>
  </si>
  <si>
    <t>Pulica</t>
  </si>
  <si>
    <t>4500810012</t>
  </si>
  <si>
    <t>Tendola</t>
  </si>
  <si>
    <t>4500820010</t>
  </si>
  <si>
    <t>Vercalda</t>
  </si>
  <si>
    <t>4500826611</t>
  </si>
  <si>
    <t>Villaggio Bertani</t>
  </si>
  <si>
    <t>Fucecchio [FI]</t>
  </si>
  <si>
    <t>4801920001</t>
  </si>
  <si>
    <t>Balzello</t>
  </si>
  <si>
    <t>4801920002</t>
  </si>
  <si>
    <t>4801926603</t>
  </si>
  <si>
    <t>Caino</t>
  </si>
  <si>
    <t>4801940000</t>
  </si>
  <si>
    <t>Case sparse_154</t>
  </si>
  <si>
    <t>4801920005</t>
  </si>
  <si>
    <t>4801920006</t>
  </si>
  <si>
    <t>Cinelli</t>
  </si>
  <si>
    <t>4801920007</t>
  </si>
  <si>
    <t>Cioni</t>
  </si>
  <si>
    <t>4801926627</t>
  </si>
  <si>
    <t>Dreoli</t>
  </si>
  <si>
    <t>4801926723</t>
  </si>
  <si>
    <t>Fornino</t>
  </si>
  <si>
    <t>4801920020</t>
  </si>
  <si>
    <t>Frattino</t>
  </si>
  <si>
    <t>4801910001</t>
  </si>
  <si>
    <t>Fucecchio</t>
  </si>
  <si>
    <t>4801910002</t>
  </si>
  <si>
    <t>4801926725</t>
  </si>
  <si>
    <t>Gazzarrini</t>
  </si>
  <si>
    <t>4801920008</t>
  </si>
  <si>
    <t>4801926628</t>
  </si>
  <si>
    <t>Giovacchini</t>
  </si>
  <si>
    <t>4801910003</t>
  </si>
  <si>
    <t>Le Botteghe</t>
  </si>
  <si>
    <t>4801920009</t>
  </si>
  <si>
    <t>4801920010</t>
  </si>
  <si>
    <t>Le Vendute</t>
  </si>
  <si>
    <t>4801926724</t>
  </si>
  <si>
    <t>Lucchesi</t>
  </si>
  <si>
    <t>4801926611</t>
  </si>
  <si>
    <t>Luigioni</t>
  </si>
  <si>
    <t>4801926621</t>
  </si>
  <si>
    <t>Macone</t>
  </si>
  <si>
    <t>4801910004</t>
  </si>
  <si>
    <t>Massarella</t>
  </si>
  <si>
    <t>4801920012</t>
  </si>
  <si>
    <t>Niccoletti</t>
  </si>
  <si>
    <t>4801926622</t>
  </si>
  <si>
    <t>Palagina</t>
  </si>
  <si>
    <t>4801930001</t>
  </si>
  <si>
    <t>Petroio</t>
  </si>
  <si>
    <t>4801910005</t>
  </si>
  <si>
    <t>Pinete</t>
  </si>
  <si>
    <t>4801920013</t>
  </si>
  <si>
    <t>Poggio Pieracci</t>
  </si>
  <si>
    <t>4801920014</t>
  </si>
  <si>
    <t>Porto dei Pescatori</t>
  </si>
  <si>
    <t>4801910006</t>
  </si>
  <si>
    <t>Querce</t>
  </si>
  <si>
    <t>4801920015</t>
  </si>
  <si>
    <t>Salto alle Vecchie</t>
  </si>
  <si>
    <t>4801926626</t>
  </si>
  <si>
    <t>San Bartolomeo</t>
  </si>
  <si>
    <t>4801910007</t>
  </si>
  <si>
    <t>San Pierino</t>
  </si>
  <si>
    <t>4801920016</t>
  </si>
  <si>
    <t>Tacchio</t>
  </si>
  <si>
    <t>4801920017</t>
  </si>
  <si>
    <t>Taccino</t>
  </si>
  <si>
    <t>4801910008</t>
  </si>
  <si>
    <t>4801920018</t>
  </si>
  <si>
    <t>Urbano</t>
  </si>
  <si>
    <t>4801920019</t>
  </si>
  <si>
    <t>Ventignano</t>
  </si>
  <si>
    <t>Gaiole in Chianti [SI]</t>
  </si>
  <si>
    <t>5201326616</t>
  </si>
  <si>
    <t>Adine</t>
  </si>
  <si>
    <t>5201326619</t>
  </si>
  <si>
    <t>Ama</t>
  </si>
  <si>
    <t>5201326701</t>
  </si>
  <si>
    <t>Badia Coltibuono</t>
  </si>
  <si>
    <t>5201326602</t>
  </si>
  <si>
    <t>Barbischio</t>
  </si>
  <si>
    <t>5201326603</t>
  </si>
  <si>
    <t>Casanova d'Ama</t>
  </si>
  <si>
    <t>5201340000</t>
  </si>
  <si>
    <t>Case sparse_77</t>
  </si>
  <si>
    <t>5201310001</t>
  </si>
  <si>
    <t>Castagnoli</t>
  </si>
  <si>
    <t>5201310002</t>
  </si>
  <si>
    <t>Gaiole in Chianti</t>
  </si>
  <si>
    <t>5201326606</t>
  </si>
  <si>
    <t>Galenda</t>
  </si>
  <si>
    <t>5201320004</t>
  </si>
  <si>
    <t>5201310007</t>
  </si>
  <si>
    <t>La Madonna</t>
  </si>
  <si>
    <t>5201310003</t>
  </si>
  <si>
    <t>Lecchi</t>
  </si>
  <si>
    <t>5201326617</t>
  </si>
  <si>
    <t>Lucignano</t>
  </si>
  <si>
    <t>5201326608</t>
  </si>
  <si>
    <t>Montegrossi</t>
  </si>
  <si>
    <t>5201310004</t>
  </si>
  <si>
    <t>Monti</t>
  </si>
  <si>
    <t>5201320010</t>
  </si>
  <si>
    <t>Nusenna</t>
  </si>
  <si>
    <t>5201326614</t>
  </si>
  <si>
    <t>Poggio San Polo</t>
  </si>
  <si>
    <t>5201320011</t>
  </si>
  <si>
    <t>Rietine</t>
  </si>
  <si>
    <t>5201326612</t>
  </si>
  <si>
    <t>San Giusto alle Monache</t>
  </si>
  <si>
    <t>5201320013</t>
  </si>
  <si>
    <t>5201310005</t>
  </si>
  <si>
    <t>5201310006</t>
  </si>
  <si>
    <t>San Sano</t>
  </si>
  <si>
    <t>5201326618</t>
  </si>
  <si>
    <t>San Vincenti</t>
  </si>
  <si>
    <t>5201320015</t>
  </si>
  <si>
    <t>Vertine</t>
  </si>
  <si>
    <t>Gallicano [LU]</t>
  </si>
  <si>
    <t>4601510001</t>
  </si>
  <si>
    <t>Bolognana</t>
  </si>
  <si>
    <t>4601526701</t>
  </si>
  <si>
    <t>Busdagno</t>
  </si>
  <si>
    <t>4601510006</t>
  </si>
  <si>
    <t>Campia</t>
  </si>
  <si>
    <t>4601510007</t>
  </si>
  <si>
    <t>Campo</t>
  </si>
  <si>
    <t>4601510002</t>
  </si>
  <si>
    <t>Cardoso</t>
  </si>
  <si>
    <t>4601540000</t>
  </si>
  <si>
    <t>Case sparse_254</t>
  </si>
  <si>
    <t>4601526602</t>
  </si>
  <si>
    <t>Chieva</t>
  </si>
  <si>
    <t>4601520003</t>
  </si>
  <si>
    <t>Colle Aginaia</t>
  </si>
  <si>
    <t>4601510008</t>
  </si>
  <si>
    <t>Fiattone</t>
  </si>
  <si>
    <t>4601510003</t>
  </si>
  <si>
    <t>Gallicano</t>
  </si>
  <si>
    <t>4601510009</t>
  </si>
  <si>
    <t>La Barca</t>
  </si>
  <si>
    <t>4601520005</t>
  </si>
  <si>
    <t>Perpoli</t>
  </si>
  <si>
    <t>4601526606</t>
  </si>
  <si>
    <t>Piezza</t>
  </si>
  <si>
    <t>4601510004</t>
  </si>
  <si>
    <t>Trassilico</t>
  </si>
  <si>
    <t>4601526604</t>
  </si>
  <si>
    <t>Turritecava</t>
  </si>
  <si>
    <t>4601510005</t>
  </si>
  <si>
    <t>Verni</t>
  </si>
  <si>
    <t>Gambassi Terme [FI]</t>
  </si>
  <si>
    <t>4802010001</t>
  </si>
  <si>
    <t>Badia a Cerreto</t>
  </si>
  <si>
    <t>4802026601</t>
  </si>
  <si>
    <t>Borgoforte</t>
  </si>
  <si>
    <t>4802010002</t>
  </si>
  <si>
    <t>4802040000</t>
  </si>
  <si>
    <t>Case sparse_155</t>
  </si>
  <si>
    <t>4802026605</t>
  </si>
  <si>
    <t>4802010003</t>
  </si>
  <si>
    <t>Catignano</t>
  </si>
  <si>
    <t>4802026602</t>
  </si>
  <si>
    <t>4802010004</t>
  </si>
  <si>
    <t>Gambassi Terme</t>
  </si>
  <si>
    <t>4802020003</t>
  </si>
  <si>
    <t>4802010005</t>
  </si>
  <si>
    <t>Pillo</t>
  </si>
  <si>
    <t>4802026606</t>
  </si>
  <si>
    <t>Sant'Agostino</t>
  </si>
  <si>
    <t>4802010006</t>
  </si>
  <si>
    <t>Varna</t>
  </si>
  <si>
    <t>Gavorrano [GR]</t>
  </si>
  <si>
    <t>5301010001</t>
  </si>
  <si>
    <t>Bagno di Gavorrano</t>
  </si>
  <si>
    <t>5301020001</t>
  </si>
  <si>
    <t>Basse Di Caldana</t>
  </si>
  <si>
    <t>5301010002</t>
  </si>
  <si>
    <t>Bivio di Ravi</t>
  </si>
  <si>
    <t>5301010003</t>
  </si>
  <si>
    <t>Caldana</t>
  </si>
  <si>
    <t>5301040000</t>
  </si>
  <si>
    <t>Case sparse_110</t>
  </si>
  <si>
    <t>5301010004</t>
  </si>
  <si>
    <t>Castellaccia</t>
  </si>
  <si>
    <t>5301020003</t>
  </si>
  <si>
    <t>Collacchia</t>
  </si>
  <si>
    <t>5301010005</t>
  </si>
  <si>
    <t>Filare-Boschetto-Miniera</t>
  </si>
  <si>
    <t>5301026704</t>
  </si>
  <si>
    <t>Fonte Brizzi</t>
  </si>
  <si>
    <t>5301010006</t>
  </si>
  <si>
    <t>Gavorrano</t>
  </si>
  <si>
    <t>5301010007</t>
  </si>
  <si>
    <t>Giuncarico</t>
  </si>
  <si>
    <t>5301010008</t>
  </si>
  <si>
    <t>Grilli</t>
  </si>
  <si>
    <t>5301020005</t>
  </si>
  <si>
    <t>I Forni</t>
  </si>
  <si>
    <t>5301020007</t>
  </si>
  <si>
    <t>Miniera Marchi</t>
  </si>
  <si>
    <t>5301025809</t>
  </si>
  <si>
    <t>Pelagone</t>
  </si>
  <si>
    <t>5301010009</t>
  </si>
  <si>
    <t>5301010010</t>
  </si>
  <si>
    <t>Ravi</t>
  </si>
  <si>
    <t>5301026608</t>
  </si>
  <si>
    <t>Stazione di Giuncarico</t>
  </si>
  <si>
    <t>Giuncugnano [LU]</t>
  </si>
  <si>
    <t>4601620001</t>
  </si>
  <si>
    <t>Capoli</t>
  </si>
  <si>
    <t>4601640000</t>
  </si>
  <si>
    <t>Case sparse_255</t>
  </si>
  <si>
    <t>4601620002</t>
  </si>
  <si>
    <t>4601610001</t>
  </si>
  <si>
    <t>Giuncugnano</t>
  </si>
  <si>
    <t>4601610002</t>
  </si>
  <si>
    <t>4601610003</t>
  </si>
  <si>
    <t>Ponteccio</t>
  </si>
  <si>
    <t>4601626604</t>
  </si>
  <si>
    <t>Varliano</t>
  </si>
  <si>
    <t>Greve in Chianti [FI]</t>
  </si>
  <si>
    <t>4802126701</t>
  </si>
  <si>
    <t>Borgo di Dudda</t>
  </si>
  <si>
    <t>4802126602</t>
  </si>
  <si>
    <t>Case di Dudda</t>
  </si>
  <si>
    <t>4802120003</t>
  </si>
  <si>
    <t>Case Poggio</t>
  </si>
  <si>
    <t>4802140000</t>
  </si>
  <si>
    <t>Case sparse_156</t>
  </si>
  <si>
    <t>4802120004</t>
  </si>
  <si>
    <t>Casole</t>
  </si>
  <si>
    <t>4802126605</t>
  </si>
  <si>
    <t>Castellinuzza</t>
  </si>
  <si>
    <t>4802126606</t>
  </si>
  <si>
    <t>Castello di Cintoia</t>
  </si>
  <si>
    <t>4802126625</t>
  </si>
  <si>
    <t>Castello di Lamole</t>
  </si>
  <si>
    <t>4802110001</t>
  </si>
  <si>
    <t>Chiocchio</t>
  </si>
  <si>
    <t>4802120007</t>
  </si>
  <si>
    <t>Cintoia</t>
  </si>
  <si>
    <t>4802126608</t>
  </si>
  <si>
    <t>Dimezzano</t>
  </si>
  <si>
    <t>4802110002</t>
  </si>
  <si>
    <t>Dudda</t>
  </si>
  <si>
    <t>4802120009</t>
  </si>
  <si>
    <t>Giobbole</t>
  </si>
  <si>
    <t>4802110003</t>
  </si>
  <si>
    <t>Greti</t>
  </si>
  <si>
    <t>4802110004</t>
  </si>
  <si>
    <t>Greve in Chianti</t>
  </si>
  <si>
    <t>4802110005</t>
  </si>
  <si>
    <t>Il Ferrone</t>
  </si>
  <si>
    <t>4802120010</t>
  </si>
  <si>
    <t>Il Ferruzzi</t>
  </si>
  <si>
    <t>4802126711</t>
  </si>
  <si>
    <t>4802120012</t>
  </si>
  <si>
    <t>La Panca</t>
  </si>
  <si>
    <t>4802120013</t>
  </si>
  <si>
    <t>La Presura</t>
  </si>
  <si>
    <t>4802126614</t>
  </si>
  <si>
    <t>4802110006</t>
  </si>
  <si>
    <t>Lamole</t>
  </si>
  <si>
    <t>4802126615</t>
  </si>
  <si>
    <t>Le Masse</t>
  </si>
  <si>
    <t>4802110007</t>
  </si>
  <si>
    <t>Lucolena in Chianti</t>
  </si>
  <si>
    <t>4802130001</t>
  </si>
  <si>
    <t>4802110008</t>
  </si>
  <si>
    <t>Montefioralle</t>
  </si>
  <si>
    <t>4802110009</t>
  </si>
  <si>
    <t>Panzano in Chianti</t>
  </si>
  <si>
    <t>4802110010</t>
  </si>
  <si>
    <t>Passo dei Pecorai</t>
  </si>
  <si>
    <t>4802120016</t>
  </si>
  <si>
    <t>Pescina</t>
  </si>
  <si>
    <t>4802120017</t>
  </si>
  <si>
    <t>Pieve di Panzano</t>
  </si>
  <si>
    <t>4802110011</t>
  </si>
  <si>
    <t>Poggio alla Croce</t>
  </si>
  <si>
    <t>4802120018</t>
  </si>
  <si>
    <t>Rinforzati</t>
  </si>
  <si>
    <t>4802120019</t>
  </si>
  <si>
    <t>Ruffoli</t>
  </si>
  <si>
    <t>4802110012</t>
  </si>
  <si>
    <t>San Polo in Chianti</t>
  </si>
  <si>
    <t>4802120020</t>
  </si>
  <si>
    <t>Santa Cristina</t>
  </si>
  <si>
    <t>4802120021</t>
  </si>
  <si>
    <t>Solaia</t>
  </si>
  <si>
    <t>4802120022</t>
  </si>
  <si>
    <t>Spedaluzzo</t>
  </si>
  <si>
    <t>4802110013</t>
  </si>
  <si>
    <t>Strada in Chianti</t>
  </si>
  <si>
    <t>4802126623</t>
  </si>
  <si>
    <t>Torsoli</t>
  </si>
  <si>
    <t>Grosseto [GR]</t>
  </si>
  <si>
    <t>5301110001</t>
  </si>
  <si>
    <t>Alberese</t>
  </si>
  <si>
    <t>5301120001</t>
  </si>
  <si>
    <t>Alberese Scalo</t>
  </si>
  <si>
    <t>5301110002</t>
  </si>
  <si>
    <t>Bagno Roselle</t>
  </si>
  <si>
    <t>5301110003</t>
  </si>
  <si>
    <t>Batignano</t>
  </si>
  <si>
    <t>5301110004</t>
  </si>
  <si>
    <t>Braccagni</t>
  </si>
  <si>
    <t>5301110013</t>
  </si>
  <si>
    <t>Casalecci</t>
  </si>
  <si>
    <t>5301140000</t>
  </si>
  <si>
    <t>Case sparse_111</t>
  </si>
  <si>
    <t>5301110005</t>
  </si>
  <si>
    <t>Centro Raccolta Quadrupedi</t>
  </si>
  <si>
    <t>5301126605</t>
  </si>
  <si>
    <t>E.N.A.O.L.I.</t>
  </si>
  <si>
    <t>5301120008</t>
  </si>
  <si>
    <t>Fattoria Grancia</t>
  </si>
  <si>
    <t>5301110006</t>
  </si>
  <si>
    <t>Grosseto</t>
  </si>
  <si>
    <t>5301126610</t>
  </si>
  <si>
    <t>Il Colombaio</t>
  </si>
  <si>
    <t>5301120020</t>
  </si>
  <si>
    <t>Il Cristo</t>
  </si>
  <si>
    <t>5301110007</t>
  </si>
  <si>
    <t>Istia D'Ombrone-Le Stiacciole</t>
  </si>
  <si>
    <t>5301120012</t>
  </si>
  <si>
    <t>Le Colonne</t>
  </si>
  <si>
    <t>5301120013</t>
  </si>
  <si>
    <t>Magazzini Alberese</t>
  </si>
  <si>
    <t>5301110008</t>
  </si>
  <si>
    <t>Marina di Grosseto</t>
  </si>
  <si>
    <t>5301110009</t>
  </si>
  <si>
    <t>Montepescali</t>
  </si>
  <si>
    <t>5301110014</t>
  </si>
  <si>
    <t>Nomadelfia</t>
  </si>
  <si>
    <t>5301110010</t>
  </si>
  <si>
    <t>Principina a Mare</t>
  </si>
  <si>
    <t>5301110012</t>
  </si>
  <si>
    <t>Principina Terra</t>
  </si>
  <si>
    <t>5301126602</t>
  </si>
  <si>
    <t>Quercesecche</t>
  </si>
  <si>
    <t>5301120003</t>
  </si>
  <si>
    <t>Rio Grande</t>
  </si>
  <si>
    <t>5301110011</t>
  </si>
  <si>
    <t>Rispescia</t>
  </si>
  <si>
    <t>5301126618</t>
  </si>
  <si>
    <t>Rugginosina</t>
  </si>
  <si>
    <t>5301120004</t>
  </si>
  <si>
    <t>5301126721</t>
  </si>
  <si>
    <t>Spergolaia</t>
  </si>
  <si>
    <t>Guardistallo [PI]</t>
  </si>
  <si>
    <t>5001540000</t>
  </si>
  <si>
    <t>Case sparse_1</t>
  </si>
  <si>
    <t>5001520001</t>
  </si>
  <si>
    <t>Casino di Terra</t>
  </si>
  <si>
    <t>5001510001</t>
  </si>
  <si>
    <t>Guardistallo</t>
  </si>
  <si>
    <t>5001520802</t>
  </si>
  <si>
    <t>Valserena</t>
  </si>
  <si>
    <t>Impruneta [FI]</t>
  </si>
  <si>
    <t>4802210001</t>
  </si>
  <si>
    <t>Bagnolo-Cantagallo</t>
  </si>
  <si>
    <t>4802220002</t>
  </si>
  <si>
    <t>Baruffi</t>
  </si>
  <si>
    <t>4802220003</t>
  </si>
  <si>
    <t>Borgaccio</t>
  </si>
  <si>
    <t>4802220004</t>
  </si>
  <si>
    <t>Borgo di Sopra</t>
  </si>
  <si>
    <t>4802210002</t>
  </si>
  <si>
    <t>Bottai</t>
  </si>
  <si>
    <t>4802240000</t>
  </si>
  <si>
    <t>Case sparse_157</t>
  </si>
  <si>
    <t>4802226705</t>
  </si>
  <si>
    <t>Codaccio</t>
  </si>
  <si>
    <t>4802220006</t>
  </si>
  <si>
    <t>Collegramole Case Nuove</t>
  </si>
  <si>
    <t>4802220807</t>
  </si>
  <si>
    <t>Convento di San Paolo</t>
  </si>
  <si>
    <t>4802220008</t>
  </si>
  <si>
    <t>Fabbiolle</t>
  </si>
  <si>
    <t>4802210003</t>
  </si>
  <si>
    <t>Falciani</t>
  </si>
  <si>
    <t>4802210004</t>
  </si>
  <si>
    <t>4802220009</t>
  </si>
  <si>
    <t>4802210005</t>
  </si>
  <si>
    <t>Impruneta</t>
  </si>
  <si>
    <t>4802226710</t>
  </si>
  <si>
    <t>Invalidi di Guerra</t>
  </si>
  <si>
    <t>4802220011</t>
  </si>
  <si>
    <t>La Casina</t>
  </si>
  <si>
    <t>4802220012</t>
  </si>
  <si>
    <t>Le Rose</t>
  </si>
  <si>
    <t>4802210006</t>
  </si>
  <si>
    <t>L'Ugolino</t>
  </si>
  <si>
    <t>4802220013</t>
  </si>
  <si>
    <t>Mezzomonte</t>
  </si>
  <si>
    <t>4802220014</t>
  </si>
  <si>
    <t>Monte Oriolo</t>
  </si>
  <si>
    <t>4802210007</t>
  </si>
  <si>
    <t>Pozzolatico</t>
  </si>
  <si>
    <t>4802220015</t>
  </si>
  <si>
    <t>Ravanella</t>
  </si>
  <si>
    <t>4802226616</t>
  </si>
  <si>
    <t>Riboia</t>
  </si>
  <si>
    <t>4802220017</t>
  </si>
  <si>
    <t>San Gersolè-Torre Rosse</t>
  </si>
  <si>
    <t>4802226719</t>
  </si>
  <si>
    <t>Sant'Isidoro</t>
  </si>
  <si>
    <t>4802226720</t>
  </si>
  <si>
    <t>Suore Domenicane</t>
  </si>
  <si>
    <t>4802210008</t>
  </si>
  <si>
    <t>Tavarnuzze</t>
  </si>
  <si>
    <t>4802224821</t>
  </si>
  <si>
    <t>Terme di Firenze</t>
  </si>
  <si>
    <t>Incisa in Val d'Arno [FI]</t>
  </si>
  <si>
    <t>4802326708</t>
  </si>
  <si>
    <t>Belprato</t>
  </si>
  <si>
    <t>4802310001</t>
  </si>
  <si>
    <t>Burchio</t>
  </si>
  <si>
    <t>4802340000</t>
  </si>
  <si>
    <t>Case sparse_158</t>
  </si>
  <si>
    <t>4802310002</t>
  </si>
  <si>
    <t>Incisa in Val d'Arno</t>
  </si>
  <si>
    <t>4802320002</t>
  </si>
  <si>
    <t>La Fonte</t>
  </si>
  <si>
    <t>4802310003</t>
  </si>
  <si>
    <t>4802310004</t>
  </si>
  <si>
    <t>Palazzolo</t>
  </si>
  <si>
    <t>4802326707</t>
  </si>
  <si>
    <t>4802310005</t>
  </si>
  <si>
    <t>4802326704</t>
  </si>
  <si>
    <t>San Michele</t>
  </si>
  <si>
    <t>4802320005</t>
  </si>
  <si>
    <t>Santa Maria Maddalena</t>
  </si>
  <si>
    <t>Isola del Giglio [GR]</t>
  </si>
  <si>
    <t>5301224901</t>
  </si>
  <si>
    <t>Arenella</t>
  </si>
  <si>
    <t>5301240000</t>
  </si>
  <si>
    <t>Case sparse_112</t>
  </si>
  <si>
    <t>5301210001</t>
  </si>
  <si>
    <t>Giglio Campese</t>
  </si>
  <si>
    <t>5301210002</t>
  </si>
  <si>
    <t>Giglio Castello</t>
  </si>
  <si>
    <t>5301210003</t>
  </si>
  <si>
    <t>Giglio Porto</t>
  </si>
  <si>
    <t>5301220004</t>
  </si>
  <si>
    <t>Spalmatoio-Ischiaiola</t>
  </si>
  <si>
    <t>5301224903</t>
  </si>
  <si>
    <t>Villaggio Grotte</t>
  </si>
  <si>
    <t>Lajatico [PI]</t>
  </si>
  <si>
    <t>5001640000</t>
  </si>
  <si>
    <t>Case sparse_2</t>
  </si>
  <si>
    <t>5001620001</t>
  </si>
  <si>
    <t>La Sterza</t>
  </si>
  <si>
    <t>5001610001</t>
  </si>
  <si>
    <t>Lajatico</t>
  </si>
  <si>
    <t>5001610002</t>
  </si>
  <si>
    <t>Orciatico</t>
  </si>
  <si>
    <t>5001610003</t>
  </si>
  <si>
    <t>San Giovanni</t>
  </si>
  <si>
    <t>Lamporecchio [PT]</t>
  </si>
  <si>
    <t>4700520001</t>
  </si>
  <si>
    <t>Alberghi</t>
  </si>
  <si>
    <t>4700540000</t>
  </si>
  <si>
    <t>Case sparse_279</t>
  </si>
  <si>
    <t>4700526703</t>
  </si>
  <si>
    <t>Casorelle</t>
  </si>
  <si>
    <t>4700510007</t>
  </si>
  <si>
    <t>Centocampi</t>
  </si>
  <si>
    <t>4700520005</t>
  </si>
  <si>
    <t>Ceppeto</t>
  </si>
  <si>
    <t>4700520006</t>
  </si>
  <si>
    <t>Collececioli</t>
  </si>
  <si>
    <t>4700510001</t>
  </si>
  <si>
    <t>4700520007</t>
  </si>
  <si>
    <t>Giugnano</t>
  </si>
  <si>
    <t>4700526608</t>
  </si>
  <si>
    <t>La Berga</t>
  </si>
  <si>
    <t>4700526609</t>
  </si>
  <si>
    <t>La Carraia</t>
  </si>
  <si>
    <t>4700510006</t>
  </si>
  <si>
    <t>La Casuccia</t>
  </si>
  <si>
    <t>4700526611</t>
  </si>
  <si>
    <t>Lampaggio</t>
  </si>
  <si>
    <t>4700510002</t>
  </si>
  <si>
    <t>Lamporecchio</t>
  </si>
  <si>
    <t>4700526612</t>
  </si>
  <si>
    <t>Nardini</t>
  </si>
  <si>
    <t>4700526615</t>
  </si>
  <si>
    <t>4700520013</t>
  </si>
  <si>
    <t>Poggio alla Baghera</t>
  </si>
  <si>
    <t>4700520014</t>
  </si>
  <si>
    <t>Poggio alla Cavalla</t>
  </si>
  <si>
    <t>4700510003</t>
  </si>
  <si>
    <t>Porciano</t>
  </si>
  <si>
    <t>4700510004</t>
  </si>
  <si>
    <t>San Baronto</t>
  </si>
  <si>
    <t>4700520016</t>
  </si>
  <si>
    <t>Spicchio</t>
  </si>
  <si>
    <t>Larciano [PT]</t>
  </si>
  <si>
    <t>4700620001</t>
  </si>
  <si>
    <t>Baccane</t>
  </si>
  <si>
    <t>4700626602</t>
  </si>
  <si>
    <t>Bussoli</t>
  </si>
  <si>
    <t>4700626603</t>
  </si>
  <si>
    <t>Caloria Alta</t>
  </si>
  <si>
    <t>4700620004</t>
  </si>
  <si>
    <t>Casato Lotti</t>
  </si>
  <si>
    <t>4700626712</t>
  </si>
  <si>
    <t>Case di Monte</t>
  </si>
  <si>
    <t>4700640000</t>
  </si>
  <si>
    <t>Case sparse_280</t>
  </si>
  <si>
    <t>4700610001</t>
  </si>
  <si>
    <t>4700626705</t>
  </si>
  <si>
    <t>Colombaia</t>
  </si>
  <si>
    <t>4700626606</t>
  </si>
  <si>
    <t>Crociali</t>
  </si>
  <si>
    <t>4700626707</t>
  </si>
  <si>
    <t>Fattoria Banchieri</t>
  </si>
  <si>
    <t>4700620014</t>
  </si>
  <si>
    <t>Ghianda</t>
  </si>
  <si>
    <t>4700610002</t>
  </si>
  <si>
    <t>4700626608</t>
  </si>
  <si>
    <t>Luacchi</t>
  </si>
  <si>
    <t>4700620009</t>
  </si>
  <si>
    <t>Mungherino</t>
  </si>
  <si>
    <t>4700626611</t>
  </si>
  <si>
    <t>Puntoni</t>
  </si>
  <si>
    <t>4700610003</t>
  </si>
  <si>
    <t>San Rocco</t>
  </si>
  <si>
    <t>Lari [PI]</t>
  </si>
  <si>
    <t>5001710011</t>
  </si>
  <si>
    <t>Boschi</t>
  </si>
  <si>
    <t>5001710001</t>
  </si>
  <si>
    <t>Casciana Alta</t>
  </si>
  <si>
    <t>5001740000</t>
  </si>
  <si>
    <t>Case sparse_3</t>
  </si>
  <si>
    <t>5001726613</t>
  </si>
  <si>
    <t>Casini di Bosco</t>
  </si>
  <si>
    <t>5001710002</t>
  </si>
  <si>
    <t>5001720001</t>
  </si>
  <si>
    <t>Colle-Aiale</t>
  </si>
  <si>
    <t>5001720005</t>
  </si>
  <si>
    <t>Gramugnana</t>
  </si>
  <si>
    <t>5001720007</t>
  </si>
  <si>
    <t>I Visconti</t>
  </si>
  <si>
    <t>5001710003</t>
  </si>
  <si>
    <t>La Capannina</t>
  </si>
  <si>
    <t>5001710004</t>
  </si>
  <si>
    <t>Lari</t>
  </si>
  <si>
    <t>5001710006</t>
  </si>
  <si>
    <t>Lavaiano</t>
  </si>
  <si>
    <t>5001710007</t>
  </si>
  <si>
    <t>Le Casine-Perignano-Spinelli</t>
  </si>
  <si>
    <t>5001720008</t>
  </si>
  <si>
    <t>Le Cave-San Frediano</t>
  </si>
  <si>
    <t>5001720009</t>
  </si>
  <si>
    <t>Le Selve</t>
  </si>
  <si>
    <t>5001720010</t>
  </si>
  <si>
    <t>Orceto</t>
  </si>
  <si>
    <t>5001710008</t>
  </si>
  <si>
    <t>5001720012</t>
  </si>
  <si>
    <t>5001710009</t>
  </si>
  <si>
    <t>San Ruffino</t>
  </si>
  <si>
    <t>5001710010</t>
  </si>
  <si>
    <t>Usigliano</t>
  </si>
  <si>
    <t>Lastra a Signa [FI]</t>
  </si>
  <si>
    <t>4802420001</t>
  </si>
  <si>
    <t>Belfiore</t>
  </si>
  <si>
    <t>4802420002</t>
  </si>
  <si>
    <t>Bricoli</t>
  </si>
  <si>
    <t>4802410001</t>
  </si>
  <si>
    <t>Brucianesi</t>
  </si>
  <si>
    <t>4802410002</t>
  </si>
  <si>
    <t>4802440000</t>
  </si>
  <si>
    <t>Case sparse_159</t>
  </si>
  <si>
    <t>4802410003</t>
  </si>
  <si>
    <t>Ginestra Fiorentina</t>
  </si>
  <si>
    <t>4802420004</t>
  </si>
  <si>
    <t>Inno</t>
  </si>
  <si>
    <t>4802426605</t>
  </si>
  <si>
    <t>La Lisca</t>
  </si>
  <si>
    <t>4802420006</t>
  </si>
  <si>
    <t>La Luna</t>
  </si>
  <si>
    <t>4802410004</t>
  </si>
  <si>
    <t>Lastra a Signa</t>
  </si>
  <si>
    <t>4802410005</t>
  </si>
  <si>
    <t>Malmantile</t>
  </si>
  <si>
    <t>4802420008</t>
  </si>
  <si>
    <t>Marliano</t>
  </si>
  <si>
    <t>4802420009</t>
  </si>
  <si>
    <t>Ponte di Macinaia</t>
  </si>
  <si>
    <t>4802420010</t>
  </si>
  <si>
    <t>Ponte Torto</t>
  </si>
  <si>
    <t>4802420011</t>
  </si>
  <si>
    <t>4802426712</t>
  </si>
  <si>
    <t>Romania</t>
  </si>
  <si>
    <t>4802420013</t>
  </si>
  <si>
    <t>San Martino a Carcheri</t>
  </si>
  <si>
    <t>4802420014</t>
  </si>
  <si>
    <t>4802420015</t>
  </si>
  <si>
    <t>Laterina [AR]</t>
  </si>
  <si>
    <t>5101910001</t>
  </si>
  <si>
    <t>5101940000</t>
  </si>
  <si>
    <t>Case sparse_44</t>
  </si>
  <si>
    <t>5101922201</t>
  </si>
  <si>
    <t>Comunità Emmaus</t>
  </si>
  <si>
    <t>5101920002</t>
  </si>
  <si>
    <t>Impiano</t>
  </si>
  <si>
    <t>5101920004</t>
  </si>
  <si>
    <t>Latereto</t>
  </si>
  <si>
    <t>5101910002</t>
  </si>
  <si>
    <t>Laterina</t>
  </si>
  <si>
    <t>5101920008</t>
  </si>
  <si>
    <t>Piadichena</t>
  </si>
  <si>
    <t>5101910003</t>
  </si>
  <si>
    <t>Ponticino</t>
  </si>
  <si>
    <t>5101920007</t>
  </si>
  <si>
    <t>Via Nazionale</t>
  </si>
  <si>
    <t>5101920005</t>
  </si>
  <si>
    <t>Vitereta</t>
  </si>
  <si>
    <t>Licciana Nardi [MS]</t>
  </si>
  <si>
    <t>4500910001</t>
  </si>
  <si>
    <t>Amola</t>
  </si>
  <si>
    <t>4500920001</t>
  </si>
  <si>
    <t>Apella</t>
  </si>
  <si>
    <t>4500920002</t>
  </si>
  <si>
    <t>Baccana</t>
  </si>
  <si>
    <t>4500910002</t>
  </si>
  <si>
    <t>4500930001</t>
  </si>
  <si>
    <t>Canale Scuro</t>
  </si>
  <si>
    <t>4500920003</t>
  </si>
  <si>
    <t>Canalescuro I</t>
  </si>
  <si>
    <t>4500940000</t>
  </si>
  <si>
    <t>Case sparse_231</t>
  </si>
  <si>
    <t>4500920005</t>
  </si>
  <si>
    <t>Cisigliana</t>
  </si>
  <si>
    <t>4500920006</t>
  </si>
  <si>
    <t>Corte</t>
  </si>
  <si>
    <t>4500910003</t>
  </si>
  <si>
    <t>Costamala</t>
  </si>
  <si>
    <t>4500920007</t>
  </si>
  <si>
    <t>Cuccarello I</t>
  </si>
  <si>
    <t>4500926608</t>
  </si>
  <si>
    <t>Cuccarello II</t>
  </si>
  <si>
    <t>4500926610</t>
  </si>
  <si>
    <t>Galea</t>
  </si>
  <si>
    <t>4500910004</t>
  </si>
  <si>
    <t>Licciana Nardi</t>
  </si>
  <si>
    <t>4500920011</t>
  </si>
  <si>
    <t>Maestá dei Saldi</t>
  </si>
  <si>
    <t>4500910005</t>
  </si>
  <si>
    <t>Masero</t>
  </si>
  <si>
    <t>4500910007</t>
  </si>
  <si>
    <t>4500910008</t>
  </si>
  <si>
    <t>4500920012</t>
  </si>
  <si>
    <t>Paretola</t>
  </si>
  <si>
    <t>4500910009</t>
  </si>
  <si>
    <t>Pontebosio</t>
  </si>
  <si>
    <t>4500910011</t>
  </si>
  <si>
    <t>Ripola</t>
  </si>
  <si>
    <t>4500924913</t>
  </si>
  <si>
    <t>Salano</t>
  </si>
  <si>
    <t>4500920014</t>
  </si>
  <si>
    <t>Taponecco</t>
  </si>
  <si>
    <t>4500910012</t>
  </si>
  <si>
    <t>4500910013</t>
  </si>
  <si>
    <t>4500926615</t>
  </si>
  <si>
    <t>Trinala</t>
  </si>
  <si>
    <t>4500910014</t>
  </si>
  <si>
    <t>Varano</t>
  </si>
  <si>
    <t>4500910015</t>
  </si>
  <si>
    <t>Villa di Panicale</t>
  </si>
  <si>
    <t>Livorno [LI]</t>
  </si>
  <si>
    <t>4900926702</t>
  </si>
  <si>
    <t>4900926603</t>
  </si>
  <si>
    <t>Burchietto</t>
  </si>
  <si>
    <t>4900920004</t>
  </si>
  <si>
    <t>Campo Al Melo</t>
  </si>
  <si>
    <t>4900940000</t>
  </si>
  <si>
    <t>Case sparse_190</t>
  </si>
  <si>
    <t>4900920027</t>
  </si>
  <si>
    <t>Castellaccio</t>
  </si>
  <si>
    <t>4900920026</t>
  </si>
  <si>
    <t>Condotti Vecchi</t>
  </si>
  <si>
    <t>4900926606</t>
  </si>
  <si>
    <t>Evangelisti</t>
  </si>
  <si>
    <t>4900920007</t>
  </si>
  <si>
    <t>Ghiandaie</t>
  </si>
  <si>
    <t>4900910008</t>
  </si>
  <si>
    <t>Gorgona Scalo</t>
  </si>
  <si>
    <t>4900926608</t>
  </si>
  <si>
    <t>Lazzaretto</t>
  </si>
  <si>
    <t>4900926611</t>
  </si>
  <si>
    <t>Le Panche</t>
  </si>
  <si>
    <t>4900920025</t>
  </si>
  <si>
    <t>Limoncino</t>
  </si>
  <si>
    <t>4900910004</t>
  </si>
  <si>
    <t>Livorno</t>
  </si>
  <si>
    <t>4900920014</t>
  </si>
  <si>
    <t>Padula</t>
  </si>
  <si>
    <t>4900920024</t>
  </si>
  <si>
    <t>Pian di Rota</t>
  </si>
  <si>
    <t>4900910006</t>
  </si>
  <si>
    <t>Quercianella</t>
  </si>
  <si>
    <t>4900926618</t>
  </si>
  <si>
    <t>4900920023</t>
  </si>
  <si>
    <t>Valle Benedetta</t>
  </si>
  <si>
    <t>4900930001</t>
  </si>
  <si>
    <t>Vallin Buio</t>
  </si>
  <si>
    <t>4900926621</t>
  </si>
  <si>
    <t>Vecchio Dazio</t>
  </si>
  <si>
    <t>4900920022</t>
  </si>
  <si>
    <t>Villa Maria</t>
  </si>
  <si>
    <t>Londa [FI]</t>
  </si>
  <si>
    <t>4802521101</t>
  </si>
  <si>
    <t>4802540000</t>
  </si>
  <si>
    <t>Case sparse_160</t>
  </si>
  <si>
    <t>4802520002</t>
  </si>
  <si>
    <t>4802510001</t>
  </si>
  <si>
    <t>Londa</t>
  </si>
  <si>
    <t>4802526603</t>
  </si>
  <si>
    <t>Rincine</t>
  </si>
  <si>
    <t>Lorenzana [PI]</t>
  </si>
  <si>
    <t>5001840000</t>
  </si>
  <si>
    <t>Case sparse_4</t>
  </si>
  <si>
    <t>5001820001</t>
  </si>
  <si>
    <t>I Greppioli</t>
  </si>
  <si>
    <t>5001820006</t>
  </si>
  <si>
    <t>5001810003</t>
  </si>
  <si>
    <t>Laura</t>
  </si>
  <si>
    <t>5001826608</t>
  </si>
  <si>
    <t>Le Colombaie</t>
  </si>
  <si>
    <t>5001810001</t>
  </si>
  <si>
    <t>Lorenzana</t>
  </si>
  <si>
    <t>5001810002</t>
  </si>
  <si>
    <t>Tremoleto</t>
  </si>
  <si>
    <t>5001820003</t>
  </si>
  <si>
    <t>Vicchio</t>
  </si>
  <si>
    <t>5001830001</t>
  </si>
  <si>
    <t>Zona Produttiva Localitá Laura</t>
  </si>
  <si>
    <t>Loro Ciuffenna [AR]</t>
  </si>
  <si>
    <t>5102020001</t>
  </si>
  <si>
    <t>Anciolina</t>
  </si>
  <si>
    <t>5102020002</t>
  </si>
  <si>
    <t>Borro</t>
  </si>
  <si>
    <t>5102020003</t>
  </si>
  <si>
    <t>Casale</t>
  </si>
  <si>
    <t>5102020004</t>
  </si>
  <si>
    <t>Casamona</t>
  </si>
  <si>
    <t>5102040000</t>
  </si>
  <si>
    <t>Case sparse_45</t>
  </si>
  <si>
    <t>5102020013</t>
  </si>
  <si>
    <t>Chiassaia</t>
  </si>
  <si>
    <t>5102020014</t>
  </si>
  <si>
    <t>Faeto</t>
  </si>
  <si>
    <t>5102020005</t>
  </si>
  <si>
    <t>Gorgiti</t>
  </si>
  <si>
    <t>5102026606</t>
  </si>
  <si>
    <t>Gropina</t>
  </si>
  <si>
    <t>5102020007</t>
  </si>
  <si>
    <t>5102010003</t>
  </si>
  <si>
    <t>Loro Ciuffenna</t>
  </si>
  <si>
    <t>5102020019</t>
  </si>
  <si>
    <t>Malva</t>
  </si>
  <si>
    <t>5102020015</t>
  </si>
  <si>
    <t>Modine</t>
  </si>
  <si>
    <t>5102020016</t>
  </si>
  <si>
    <t>Poggio di Loro</t>
  </si>
  <si>
    <t>5102020008</t>
  </si>
  <si>
    <t>Pratovalle</t>
  </si>
  <si>
    <t>5102020009</t>
  </si>
  <si>
    <t>Rocca Ricciarda</t>
  </si>
  <si>
    <t>5102020017</t>
  </si>
  <si>
    <t>San Clemente in Valle</t>
  </si>
  <si>
    <t>5102010007</t>
  </si>
  <si>
    <t>San Giustino Valdarno</t>
  </si>
  <si>
    <t>5102020018</t>
  </si>
  <si>
    <t>5102020010</t>
  </si>
  <si>
    <t>Trevane</t>
  </si>
  <si>
    <t>5102020011</t>
  </si>
  <si>
    <t>Lucca [LU]</t>
  </si>
  <si>
    <t>4601726701</t>
  </si>
  <si>
    <t>A Bertolacci</t>
  </si>
  <si>
    <t>4601726637</t>
  </si>
  <si>
    <t>A Viano</t>
  </si>
  <si>
    <t>4601720002</t>
  </si>
  <si>
    <t>Ai Borelli</t>
  </si>
  <si>
    <t>4601720027</t>
  </si>
  <si>
    <t>Al Generale</t>
  </si>
  <si>
    <t>4601720004</t>
  </si>
  <si>
    <t>Al Molinaccio</t>
  </si>
  <si>
    <t>4601726605</t>
  </si>
  <si>
    <t>Al Mutino</t>
  </si>
  <si>
    <t>4601726703</t>
  </si>
  <si>
    <t>Alla Bidia</t>
  </si>
  <si>
    <t>4601710001</t>
  </si>
  <si>
    <t>Aquilea</t>
  </si>
  <si>
    <t>4601726606</t>
  </si>
  <si>
    <t>Arsina</t>
  </si>
  <si>
    <t>4601726631</t>
  </si>
  <si>
    <t>Boscarecci</t>
  </si>
  <si>
    <t>4601726639</t>
  </si>
  <si>
    <t>Cappella</t>
  </si>
  <si>
    <t>4601740000</t>
  </si>
  <si>
    <t>Case sparse_256</t>
  </si>
  <si>
    <t>4601726607</t>
  </si>
  <si>
    <t>Chiatri</t>
  </si>
  <si>
    <t>4601710002</t>
  </si>
  <si>
    <t>Ciciana</t>
  </si>
  <si>
    <t>4601726610</t>
  </si>
  <si>
    <t>Corte Bertolotti</t>
  </si>
  <si>
    <t>4601726728</t>
  </si>
  <si>
    <t>Corte Cioni</t>
  </si>
  <si>
    <t>4601720038</t>
  </si>
  <si>
    <t>Corte Galli</t>
  </si>
  <si>
    <t>4601720029</t>
  </si>
  <si>
    <t>Corte Pardi</t>
  </si>
  <si>
    <t>4601720030</t>
  </si>
  <si>
    <t>Corte Tognetti</t>
  </si>
  <si>
    <t>4601726611</t>
  </si>
  <si>
    <t>4601726612</t>
  </si>
  <si>
    <t>Deccio di Brancoli</t>
  </si>
  <si>
    <t>4601726632</t>
  </si>
  <si>
    <t>4601726713</t>
  </si>
  <si>
    <t>4601710003</t>
  </si>
  <si>
    <t>Lucca</t>
  </si>
  <si>
    <t>4601726615</t>
  </si>
  <si>
    <t>Mastiano</t>
  </si>
  <si>
    <t>4601720016</t>
  </si>
  <si>
    <t>Monti di Chiatri</t>
  </si>
  <si>
    <t>4601726617</t>
  </si>
  <si>
    <t>Ombreglio</t>
  </si>
  <si>
    <t>4601726718</t>
  </si>
  <si>
    <t>Orzala</t>
  </si>
  <si>
    <t>4601720019</t>
  </si>
  <si>
    <t>Palmata</t>
  </si>
  <si>
    <t>4601710004</t>
  </si>
  <si>
    <t>Piaggione</t>
  </si>
  <si>
    <t>4601710005</t>
  </si>
  <si>
    <t>Piazza di Brancoli</t>
  </si>
  <si>
    <t>4601710006</t>
  </si>
  <si>
    <t>4601710007</t>
  </si>
  <si>
    <t>Pieve di Brancoli</t>
  </si>
  <si>
    <t>4601710008</t>
  </si>
  <si>
    <t>4601720033</t>
  </si>
  <si>
    <t>Porcarese</t>
  </si>
  <si>
    <t>4601726720</t>
  </si>
  <si>
    <t>4601726721</t>
  </si>
  <si>
    <t>San Concordio di Moriano</t>
  </si>
  <si>
    <t>4601726622</t>
  </si>
  <si>
    <t>San Giusto di Brancoli</t>
  </si>
  <si>
    <t>4601726640</t>
  </si>
  <si>
    <t>Sant'Ilario di Brancoli</t>
  </si>
  <si>
    <t>4601710009</t>
  </si>
  <si>
    <t>Stabbiano</t>
  </si>
  <si>
    <t>4601710010</t>
  </si>
  <si>
    <t>4601726625</t>
  </si>
  <si>
    <t>4601726635</t>
  </si>
  <si>
    <t>Villa Lenzi</t>
  </si>
  <si>
    <t>4601726636</t>
  </si>
  <si>
    <t>Villa Rossi</t>
  </si>
  <si>
    <t>Lucignano [AR]</t>
  </si>
  <si>
    <t>5102126709</t>
  </si>
  <si>
    <t>Campoleone</t>
  </si>
  <si>
    <t>5102140000</t>
  </si>
  <si>
    <t>Case sparse_46</t>
  </si>
  <si>
    <t>5102126608</t>
  </si>
  <si>
    <t>Corti</t>
  </si>
  <si>
    <t>5102110001</t>
  </si>
  <si>
    <t>5102130001</t>
  </si>
  <si>
    <t>Il Pianello</t>
  </si>
  <si>
    <t>5102110002</t>
  </si>
  <si>
    <t>5102126703</t>
  </si>
  <si>
    <t>Maestá dei Mori</t>
  </si>
  <si>
    <t>5102110003</t>
  </si>
  <si>
    <t>Pieve Vecchia</t>
  </si>
  <si>
    <t>5102126604</t>
  </si>
  <si>
    <t>Poschini</t>
  </si>
  <si>
    <t>5102126605</t>
  </si>
  <si>
    <t>San Savino</t>
  </si>
  <si>
    <t>5102120007</t>
  </si>
  <si>
    <t>5102120006</t>
  </si>
  <si>
    <t>Scerpella-Sentenze</t>
  </si>
  <si>
    <t>Magliano in Toscana [GR]</t>
  </si>
  <si>
    <t>5301340000</t>
  </si>
  <si>
    <t>Case sparse_113</t>
  </si>
  <si>
    <t>5301321101</t>
  </si>
  <si>
    <t>Cupi</t>
  </si>
  <si>
    <t>5301310001</t>
  </si>
  <si>
    <t>Magliano in Toscana</t>
  </si>
  <si>
    <t>5301310002</t>
  </si>
  <si>
    <t>Montiano</t>
  </si>
  <si>
    <t>5301310003</t>
  </si>
  <si>
    <t>Pereta</t>
  </si>
  <si>
    <t>5301321102</t>
  </si>
  <si>
    <t>Podere Corso</t>
  </si>
  <si>
    <t>5301326603</t>
  </si>
  <si>
    <t>Poderone</t>
  </si>
  <si>
    <t>5301321104</t>
  </si>
  <si>
    <t>5301320005</t>
  </si>
  <si>
    <t>Stazione di Alberese</t>
  </si>
  <si>
    <t>Manciano [GR]</t>
  </si>
  <si>
    <t>5301410001</t>
  </si>
  <si>
    <t>5301440000</t>
  </si>
  <si>
    <t>Case sparse_114</t>
  </si>
  <si>
    <t>5301430001</t>
  </si>
  <si>
    <t>Caseificio Sociale</t>
  </si>
  <si>
    <t>5301410002</t>
  </si>
  <si>
    <t>5301410003</t>
  </si>
  <si>
    <t>Marsiliana</t>
  </si>
  <si>
    <t>5301410004</t>
  </si>
  <si>
    <t>Montemerano</t>
  </si>
  <si>
    <t>5301410008</t>
  </si>
  <si>
    <t>Poderi</t>
  </si>
  <si>
    <t>5301410009</t>
  </si>
  <si>
    <t>Poderi Di Sotto-Poderi Di Sopra</t>
  </si>
  <si>
    <t>5301410005</t>
  </si>
  <si>
    <t>Poggio Murella</t>
  </si>
  <si>
    <t>5301410006</t>
  </si>
  <si>
    <t>San Martino sul Fiora</t>
  </si>
  <si>
    <t>5301410007</t>
  </si>
  <si>
    <t>Saturnia</t>
  </si>
  <si>
    <t>5301424803</t>
  </si>
  <si>
    <t>Terme di Saturnia</t>
  </si>
  <si>
    <t>Marciana [LI]</t>
  </si>
  <si>
    <t>4901020001</t>
  </si>
  <si>
    <t>Aia</t>
  </si>
  <si>
    <t>4901040000</t>
  </si>
  <si>
    <t>Case sparse_191</t>
  </si>
  <si>
    <t>4901010001</t>
  </si>
  <si>
    <t>Chiessi</t>
  </si>
  <si>
    <t>4901020003</t>
  </si>
  <si>
    <t>Colle di Procchio</t>
  </si>
  <si>
    <t>4901010002</t>
  </si>
  <si>
    <t>Colle d'Orano</t>
  </si>
  <si>
    <t>4901010003</t>
  </si>
  <si>
    <t>La Guardia</t>
  </si>
  <si>
    <t>4901010004</t>
  </si>
  <si>
    <t>Marciana</t>
  </si>
  <si>
    <t>4901010005</t>
  </si>
  <si>
    <t>4901010006</t>
  </si>
  <si>
    <t>4901010007</t>
  </si>
  <si>
    <t>Procchio</t>
  </si>
  <si>
    <t>4901010008</t>
  </si>
  <si>
    <t>Zanca-Sant'Andrea</t>
  </si>
  <si>
    <t>Marciana Marina [LI]</t>
  </si>
  <si>
    <t>4901120001</t>
  </si>
  <si>
    <t>Bagno-Sprizze</t>
  </si>
  <si>
    <t>4901126602</t>
  </si>
  <si>
    <t>Camola</t>
  </si>
  <si>
    <t>4901140000</t>
  </si>
  <si>
    <t>Case sparse_192</t>
  </si>
  <si>
    <t>4901110001</t>
  </si>
  <si>
    <t>Marciana Marina</t>
  </si>
  <si>
    <t>Marciano della Chiana [AR]</t>
  </si>
  <si>
    <t>5102210001</t>
  </si>
  <si>
    <t>Badicorte</t>
  </si>
  <si>
    <t>5102220005</t>
  </si>
  <si>
    <t>5102220001</t>
  </si>
  <si>
    <t>Case Salvadori</t>
  </si>
  <si>
    <t>5102240000</t>
  </si>
  <si>
    <t>Case sparse_47</t>
  </si>
  <si>
    <t>5102210002</t>
  </si>
  <si>
    <t>Cesa</t>
  </si>
  <si>
    <t>5102210003</t>
  </si>
  <si>
    <t>5102220002</t>
  </si>
  <si>
    <t>Pescaia</t>
  </si>
  <si>
    <t>5102220003</t>
  </si>
  <si>
    <t>5102220004</t>
  </si>
  <si>
    <t>Sei Vie</t>
  </si>
  <si>
    <t>Marliana [PT]</t>
  </si>
  <si>
    <t>4700720001</t>
  </si>
  <si>
    <t>Alteto</t>
  </si>
  <si>
    <t>4700710001</t>
  </si>
  <si>
    <t>Avaglio</t>
  </si>
  <si>
    <t>4700720002</t>
  </si>
  <si>
    <t>Campiglione</t>
  </si>
  <si>
    <t>4700720003</t>
  </si>
  <si>
    <t>Canfittori</t>
  </si>
  <si>
    <t>4700726614</t>
  </si>
  <si>
    <t>Case Poli</t>
  </si>
  <si>
    <t>4700720015</t>
  </si>
  <si>
    <t>Case Sermo</t>
  </si>
  <si>
    <t>4700740000</t>
  </si>
  <si>
    <t>Case sparse_281</t>
  </si>
  <si>
    <t>4700710002</t>
  </si>
  <si>
    <t>Casore del Monte</t>
  </si>
  <si>
    <t>4700720004</t>
  </si>
  <si>
    <t>Fagno</t>
  </si>
  <si>
    <t>4700710003</t>
  </si>
  <si>
    <t>Femminamorta</t>
  </si>
  <si>
    <t>4700720005</t>
  </si>
  <si>
    <t>Giampierone</t>
  </si>
  <si>
    <t>4700710004</t>
  </si>
  <si>
    <t>Goraiolo</t>
  </si>
  <si>
    <t>4700710005</t>
  </si>
  <si>
    <t>Grati</t>
  </si>
  <si>
    <t>4700720016</t>
  </si>
  <si>
    <t>La Sassa</t>
  </si>
  <si>
    <t>4700710006</t>
  </si>
  <si>
    <t>Marliana</t>
  </si>
  <si>
    <t>4700710007</t>
  </si>
  <si>
    <t>Momigno</t>
  </si>
  <si>
    <t>4700710008</t>
  </si>
  <si>
    <t>Montagnana</t>
  </si>
  <si>
    <t>4700720008</t>
  </si>
  <si>
    <t>Pagliaine</t>
  </si>
  <si>
    <t>4700710009</t>
  </si>
  <si>
    <t>Panicagliora</t>
  </si>
  <si>
    <t>4700720009</t>
  </si>
  <si>
    <t>Petrolo</t>
  </si>
  <si>
    <t>4700720017</t>
  </si>
  <si>
    <t>Pian dell'Aurora</t>
  </si>
  <si>
    <t>4700726618</t>
  </si>
  <si>
    <t>Piangrande</t>
  </si>
  <si>
    <t>4700724919</t>
  </si>
  <si>
    <t>Pianigioli</t>
  </si>
  <si>
    <t>4700724920</t>
  </si>
  <si>
    <t>Poggio Ponticelli</t>
  </si>
  <si>
    <t>4700720010</t>
  </si>
  <si>
    <t>Renicci</t>
  </si>
  <si>
    <t>4700720011</t>
  </si>
  <si>
    <t>Rovaci</t>
  </si>
  <si>
    <t>4700710010</t>
  </si>
  <si>
    <t>Serra Pistoiese</t>
  </si>
  <si>
    <t>4700726612</t>
  </si>
  <si>
    <t>4700726613</t>
  </si>
  <si>
    <t>Vincio</t>
  </si>
  <si>
    <t>Marradi [FI]</t>
  </si>
  <si>
    <t>4802610001</t>
  </si>
  <si>
    <t>Campigno</t>
  </si>
  <si>
    <t>4802626601</t>
  </si>
  <si>
    <t>Camurano</t>
  </si>
  <si>
    <t>4802620002</t>
  </si>
  <si>
    <t>Casa Carloni</t>
  </si>
  <si>
    <t>4802640000</t>
  </si>
  <si>
    <t>Case sparse_161</t>
  </si>
  <si>
    <t>4802610002</t>
  </si>
  <si>
    <t>Crespino del Lamone</t>
  </si>
  <si>
    <t>4802610003</t>
  </si>
  <si>
    <t>Lutirano</t>
  </si>
  <si>
    <t>4802610004</t>
  </si>
  <si>
    <t>Marradi</t>
  </si>
  <si>
    <t>4802626604</t>
  </si>
  <si>
    <t>Poggiol di Termine</t>
  </si>
  <si>
    <t>4802626605</t>
  </si>
  <si>
    <t>Ponte di Camurano</t>
  </si>
  <si>
    <t>4802610005</t>
  </si>
  <si>
    <t>Popolano</t>
  </si>
  <si>
    <t>4802610006</t>
  </si>
  <si>
    <t>Sant'Adriano</t>
  </si>
  <si>
    <t>Massa [MS]</t>
  </si>
  <si>
    <t>4501020001</t>
  </si>
  <si>
    <t>Al Santo</t>
  </si>
  <si>
    <t>4501010001</t>
  </si>
  <si>
    <t>Altagnana</t>
  </si>
  <si>
    <t>4501010002</t>
  </si>
  <si>
    <t>Antona</t>
  </si>
  <si>
    <t>4501010003</t>
  </si>
  <si>
    <t>Bargana</t>
  </si>
  <si>
    <t>4501010004</t>
  </si>
  <si>
    <t>Bergiola Maggiore</t>
  </si>
  <si>
    <t>4501010005</t>
  </si>
  <si>
    <t>Caglieglia</t>
  </si>
  <si>
    <t>4501010006</t>
  </si>
  <si>
    <t>Canevara</t>
  </si>
  <si>
    <t>4501010007</t>
  </si>
  <si>
    <t>Casania</t>
  </si>
  <si>
    <t>4501040000</t>
  </si>
  <si>
    <t>Case sparse_232</t>
  </si>
  <si>
    <t>4501010008</t>
  </si>
  <si>
    <t>Casette</t>
  </si>
  <si>
    <t>4501020002</t>
  </si>
  <si>
    <t>4501010009</t>
  </si>
  <si>
    <t>Forno</t>
  </si>
  <si>
    <t>4501010010</t>
  </si>
  <si>
    <t>Gronda</t>
  </si>
  <si>
    <t>4501020003</t>
  </si>
  <si>
    <t>Guadine</t>
  </si>
  <si>
    <t>4501010011</t>
  </si>
  <si>
    <t>4501010012</t>
  </si>
  <si>
    <t>Pariana</t>
  </si>
  <si>
    <t>4501026704</t>
  </si>
  <si>
    <t>Prati della Ciocca</t>
  </si>
  <si>
    <t>4501020005</t>
  </si>
  <si>
    <t>Redicesi</t>
  </si>
  <si>
    <t>4501010013</t>
  </si>
  <si>
    <t>Resceto</t>
  </si>
  <si>
    <t>4501026606</t>
  </si>
  <si>
    <t>Serretta</t>
  </si>
  <si>
    <t>4501020007</t>
  </si>
  <si>
    <t>Tombara</t>
  </si>
  <si>
    <t>Massa e Cozzile [PT]</t>
  </si>
  <si>
    <t>4700840000</t>
  </si>
  <si>
    <t>Case sparse_282</t>
  </si>
  <si>
    <t>4700810002</t>
  </si>
  <si>
    <t>Cozzile</t>
  </si>
  <si>
    <t>4700820001</t>
  </si>
  <si>
    <t>4700810003</t>
  </si>
  <si>
    <t>Margine Coperta-Traversagna</t>
  </si>
  <si>
    <t>4700810004</t>
  </si>
  <si>
    <t>Massa Marittima [GR]</t>
  </si>
  <si>
    <t>5301510001</t>
  </si>
  <si>
    <t>5301540000</t>
  </si>
  <si>
    <t>Case sparse_115</t>
  </si>
  <si>
    <t>5301526601</t>
  </si>
  <si>
    <t>Cura Nuova</t>
  </si>
  <si>
    <t>5301510002</t>
  </si>
  <si>
    <t>Ghirlanda</t>
  </si>
  <si>
    <t>5301510003</t>
  </si>
  <si>
    <t>La Pesta</t>
  </si>
  <si>
    <t>5301510004</t>
  </si>
  <si>
    <t>Massa Marittima</t>
  </si>
  <si>
    <t>5301510005</t>
  </si>
  <si>
    <t>Niccioleta</t>
  </si>
  <si>
    <t>5301524902</t>
  </si>
  <si>
    <t>Perolla</t>
  </si>
  <si>
    <t>5301524903</t>
  </si>
  <si>
    <t>Pian dei Mucini</t>
  </si>
  <si>
    <t>5301510006</t>
  </si>
  <si>
    <t>Prata</t>
  </si>
  <si>
    <t>5301510007</t>
  </si>
  <si>
    <t>Tatti</t>
  </si>
  <si>
    <t>5301510008</t>
  </si>
  <si>
    <t>Valpiana</t>
  </si>
  <si>
    <t>5301530001</t>
  </si>
  <si>
    <t>Zona Industriale Valpiana</t>
  </si>
  <si>
    <t>Massarosa [LU]</t>
  </si>
  <si>
    <t>4601820001</t>
  </si>
  <si>
    <t>Al Sasso</t>
  </si>
  <si>
    <t>4601840000</t>
  </si>
  <si>
    <t>Case sparse_257</t>
  </si>
  <si>
    <t>4601826602</t>
  </si>
  <si>
    <t>Casella</t>
  </si>
  <si>
    <t>4601820003</t>
  </si>
  <si>
    <t>Coli</t>
  </si>
  <si>
    <t>4601826704</t>
  </si>
  <si>
    <t>Compignano</t>
  </si>
  <si>
    <t>4601810001</t>
  </si>
  <si>
    <t>Corsanico-Bargecchia</t>
  </si>
  <si>
    <t>4601810002</t>
  </si>
  <si>
    <t>Gualdo</t>
  </si>
  <si>
    <t>4601810003</t>
  </si>
  <si>
    <t>Massaciuccoli</t>
  </si>
  <si>
    <t>4601810004</t>
  </si>
  <si>
    <t>Massarosa</t>
  </si>
  <si>
    <t>4601826705</t>
  </si>
  <si>
    <t>Miglianello</t>
  </si>
  <si>
    <t>4601810005</t>
  </si>
  <si>
    <t>Mommio Castello</t>
  </si>
  <si>
    <t>4601810006</t>
  </si>
  <si>
    <t>Montigiano</t>
  </si>
  <si>
    <t>4601810007</t>
  </si>
  <si>
    <t>Montramito</t>
  </si>
  <si>
    <t>4601810008</t>
  </si>
  <si>
    <t>Piano di Conca</t>
  </si>
  <si>
    <t>4601810009</t>
  </si>
  <si>
    <t>Piano di Mommio</t>
  </si>
  <si>
    <t>4601810010</t>
  </si>
  <si>
    <t>Pieve a Elici</t>
  </si>
  <si>
    <t>4601826606</t>
  </si>
  <si>
    <t>Sassaia</t>
  </si>
  <si>
    <t>4601810011</t>
  </si>
  <si>
    <t>Stiava</t>
  </si>
  <si>
    <t>4601810012</t>
  </si>
  <si>
    <t>Minucciano [LU]</t>
  </si>
  <si>
    <t>4601910001</t>
  </si>
  <si>
    <t>Agliano</t>
  </si>
  <si>
    <t>4601910002</t>
  </si>
  <si>
    <t>4601910003</t>
  </si>
  <si>
    <t>Antognano</t>
  </si>
  <si>
    <t>4601940000</t>
  </si>
  <si>
    <t>Case sparse_258</t>
  </si>
  <si>
    <t>4601910004</t>
  </si>
  <si>
    <t>Casone Carpinelli</t>
  </si>
  <si>
    <t>4601910005</t>
  </si>
  <si>
    <t>Castagnola</t>
  </si>
  <si>
    <t>4601910006</t>
  </si>
  <si>
    <t>Gorfigliano</t>
  </si>
  <si>
    <t>4601910007</t>
  </si>
  <si>
    <t>Gramolazzo</t>
  </si>
  <si>
    <t>4601910008</t>
  </si>
  <si>
    <t>Metra</t>
  </si>
  <si>
    <t>4601910009</t>
  </si>
  <si>
    <t>Minucciano</t>
  </si>
  <si>
    <t>4601910010</t>
  </si>
  <si>
    <t>Pieve San Lorenzo</t>
  </si>
  <si>
    <t>4601910011</t>
  </si>
  <si>
    <t>Pugliano</t>
  </si>
  <si>
    <t>4601920007</t>
  </si>
  <si>
    <t>Tintoria Castagnola</t>
  </si>
  <si>
    <t>4601910013</t>
  </si>
  <si>
    <t>Verrucolette</t>
  </si>
  <si>
    <t>Molazzana [LU]</t>
  </si>
  <si>
    <t>4602020001</t>
  </si>
  <si>
    <t>Brucciano</t>
  </si>
  <si>
    <t>4602020002</t>
  </si>
  <si>
    <t>Ca' Matteo</t>
  </si>
  <si>
    <t>4602020006</t>
  </si>
  <si>
    <t>Ca' Serafino</t>
  </si>
  <si>
    <t>4602020003</t>
  </si>
  <si>
    <t>Cantombacci</t>
  </si>
  <si>
    <t>4602010001</t>
  </si>
  <si>
    <t>Cascio</t>
  </si>
  <si>
    <t>4602040000</t>
  </si>
  <si>
    <t>Case sparse_259</t>
  </si>
  <si>
    <t>4602020004</t>
  </si>
  <si>
    <t>Casella-Rio</t>
  </si>
  <si>
    <t>4602026607</t>
  </si>
  <si>
    <t>Cornola</t>
  </si>
  <si>
    <t>4602010002</t>
  </si>
  <si>
    <t>Eglio</t>
  </si>
  <si>
    <t>4602010003</t>
  </si>
  <si>
    <t>Molazzana</t>
  </si>
  <si>
    <t>4602010004</t>
  </si>
  <si>
    <t>Montaltissimo</t>
  </si>
  <si>
    <t>4602026608</t>
  </si>
  <si>
    <t>Promiana</t>
  </si>
  <si>
    <t>4602010005</t>
  </si>
  <si>
    <t>Sassi</t>
  </si>
  <si>
    <t>4602020010</t>
  </si>
  <si>
    <t>Via Per Monteperpoli</t>
  </si>
  <si>
    <t>Monsummano Terme [PT]</t>
  </si>
  <si>
    <t>4700926605</t>
  </si>
  <si>
    <t>Brogi</t>
  </si>
  <si>
    <t>4700940000</t>
  </si>
  <si>
    <t>Case sparse_283</t>
  </si>
  <si>
    <t>4700920002</t>
  </si>
  <si>
    <t>Chiesina Ponziani</t>
  </si>
  <si>
    <t>4700910001</t>
  </si>
  <si>
    <t>Cintolese</t>
  </si>
  <si>
    <t>4700910002</t>
  </si>
  <si>
    <t>Grotta Giusti</t>
  </si>
  <si>
    <t>4700910003</t>
  </si>
  <si>
    <t>Monsummano Terme</t>
  </si>
  <si>
    <t>4700910004</t>
  </si>
  <si>
    <t>Montevettolini</t>
  </si>
  <si>
    <t>4700920003</t>
  </si>
  <si>
    <t>Podere Colmate</t>
  </si>
  <si>
    <t>4700910005</t>
  </si>
  <si>
    <t>Pozzarello</t>
  </si>
  <si>
    <t>4700920004</t>
  </si>
  <si>
    <t>Rubattorno</t>
  </si>
  <si>
    <t>4700910006</t>
  </si>
  <si>
    <t>Uggia-Pazzera-Bizzarrino</t>
  </si>
  <si>
    <t>Montaione [FI]</t>
  </si>
  <si>
    <t>4802710001</t>
  </si>
  <si>
    <t>Alberi</t>
  </si>
  <si>
    <t>4802710008</t>
  </si>
  <si>
    <t>Casastrada</t>
  </si>
  <si>
    <t>4802740000</t>
  </si>
  <si>
    <t>Case sparse_162</t>
  </si>
  <si>
    <t>4802710002</t>
  </si>
  <si>
    <t>Castelfalfi</t>
  </si>
  <si>
    <t>4802710003</t>
  </si>
  <si>
    <t>Iano</t>
  </si>
  <si>
    <t>4802726602</t>
  </si>
  <si>
    <t>Marrado</t>
  </si>
  <si>
    <t>4802710004</t>
  </si>
  <si>
    <t>Montaione</t>
  </si>
  <si>
    <t>4802710005</t>
  </si>
  <si>
    <t>Mura</t>
  </si>
  <si>
    <t>4802726603</t>
  </si>
  <si>
    <t>Palagio</t>
  </si>
  <si>
    <t>4802710006</t>
  </si>
  <si>
    <t>San Vivaldo</t>
  </si>
  <si>
    <t>4802720004</t>
  </si>
  <si>
    <t>4802710007</t>
  </si>
  <si>
    <t>Sughera</t>
  </si>
  <si>
    <t>4802726605</t>
  </si>
  <si>
    <t>Zona Industriale Comiti</t>
  </si>
  <si>
    <t>Montalcino [SI]</t>
  </si>
  <si>
    <t>5201410001</t>
  </si>
  <si>
    <t>Camigliano</t>
  </si>
  <si>
    <t>5201440000</t>
  </si>
  <si>
    <t>Case sparse_78</t>
  </si>
  <si>
    <t>5201410002</t>
  </si>
  <si>
    <t>Castelnuovo dell'Abate</t>
  </si>
  <si>
    <t>5201410003</t>
  </si>
  <si>
    <t>Montalcino</t>
  </si>
  <si>
    <t>5201420002</t>
  </si>
  <si>
    <t>5201410004</t>
  </si>
  <si>
    <t>Sant'Angelo in Colle</t>
  </si>
  <si>
    <t>5201410006</t>
  </si>
  <si>
    <t>Stazione Sant'Angelo-Cinigiano</t>
  </si>
  <si>
    <t>5201426604</t>
  </si>
  <si>
    <t>5201410005</t>
  </si>
  <si>
    <t>Torrenieri</t>
  </si>
  <si>
    <t>Montale [PT]</t>
  </si>
  <si>
    <t>4701040000</t>
  </si>
  <si>
    <t>Case sparse_284</t>
  </si>
  <si>
    <t>4701010001</t>
  </si>
  <si>
    <t>4701010002</t>
  </si>
  <si>
    <t>4701010004</t>
  </si>
  <si>
    <t>4701010005</t>
  </si>
  <si>
    <t>Tobbiana</t>
  </si>
  <si>
    <t>Monte Argentario [GR]</t>
  </si>
  <si>
    <t>5301620001</t>
  </si>
  <si>
    <t>Cala Moresca</t>
  </si>
  <si>
    <t>5301620002</t>
  </si>
  <si>
    <t>Cala Piccola</t>
  </si>
  <si>
    <t>5301620003</t>
  </si>
  <si>
    <t>Cannatelli</t>
  </si>
  <si>
    <t>5301640000</t>
  </si>
  <si>
    <t>Case sparse_116</t>
  </si>
  <si>
    <t>5301620804</t>
  </si>
  <si>
    <t>Convento Noviziato</t>
  </si>
  <si>
    <t>5301620805</t>
  </si>
  <si>
    <t>Convento Padri Passionisti</t>
  </si>
  <si>
    <t>5301624907</t>
  </si>
  <si>
    <t>Il Carrubo</t>
  </si>
  <si>
    <t>5301624908</t>
  </si>
  <si>
    <t>Il Mascherino</t>
  </si>
  <si>
    <t>5301624909</t>
  </si>
  <si>
    <t>Le Miniere</t>
  </si>
  <si>
    <t>5301624910</t>
  </si>
  <si>
    <t>Lo Sbarcatello</t>
  </si>
  <si>
    <t>5301620011</t>
  </si>
  <si>
    <t>Poggio Pertuso</t>
  </si>
  <si>
    <t>5301610001</t>
  </si>
  <si>
    <t>Porto Ercole</t>
  </si>
  <si>
    <t>5301610002</t>
  </si>
  <si>
    <t>Porto Santo Stefano</t>
  </si>
  <si>
    <t>5301620012</t>
  </si>
  <si>
    <t>Monte San Savino [AR]</t>
  </si>
  <si>
    <t>5102510001</t>
  </si>
  <si>
    <t>Alberoro</t>
  </si>
  <si>
    <t>5102510010</t>
  </si>
  <si>
    <t>5102520002</t>
  </si>
  <si>
    <t>Bugiana</t>
  </si>
  <si>
    <t>5102526603</t>
  </si>
  <si>
    <t>Butale</t>
  </si>
  <si>
    <t>5102540000</t>
  </si>
  <si>
    <t>Case sparse_50</t>
  </si>
  <si>
    <t>5102526631</t>
  </si>
  <si>
    <t>Casina di Verniana</t>
  </si>
  <si>
    <t>5102520004</t>
  </si>
  <si>
    <t>Danzino</t>
  </si>
  <si>
    <t>5102526605</t>
  </si>
  <si>
    <t>Dreini</t>
  </si>
  <si>
    <t>5102522732</t>
  </si>
  <si>
    <t>Dreini Casa di Cura</t>
  </si>
  <si>
    <t>5102526624</t>
  </si>
  <si>
    <t>Fossaccio</t>
  </si>
  <si>
    <t>5102510002</t>
  </si>
  <si>
    <t>Gargonza</t>
  </si>
  <si>
    <t>5102526606</t>
  </si>
  <si>
    <t>Giardinello</t>
  </si>
  <si>
    <t>5102526608</t>
  </si>
  <si>
    <t>La Meraviglia</t>
  </si>
  <si>
    <t>5102520809</t>
  </si>
  <si>
    <t>La Villaccia-Monastero</t>
  </si>
  <si>
    <t>5102510008</t>
  </si>
  <si>
    <t>Le Vertighe</t>
  </si>
  <si>
    <t>5102510003</t>
  </si>
  <si>
    <t>Montagnano</t>
  </si>
  <si>
    <t>5102510004</t>
  </si>
  <si>
    <t>Monte San Savino</t>
  </si>
  <si>
    <t>5102520011</t>
  </si>
  <si>
    <t>Palazzuolo</t>
  </si>
  <si>
    <t>5102510006</t>
  </si>
  <si>
    <t>Palazzuolo Alto</t>
  </si>
  <si>
    <t>5102526613</t>
  </si>
  <si>
    <t>Perignano</t>
  </si>
  <si>
    <t>5102520030</t>
  </si>
  <si>
    <t>Poggio Fabbrelli</t>
  </si>
  <si>
    <t>5102510012</t>
  </si>
  <si>
    <t>Ponte Esse</t>
  </si>
  <si>
    <t>5102510011</t>
  </si>
  <si>
    <t>Ponte Esse Vertighe-Sant'Antonio</t>
  </si>
  <si>
    <t>5102526629</t>
  </si>
  <si>
    <t>Rialto</t>
  </si>
  <si>
    <t>5102526618</t>
  </si>
  <si>
    <t>Rigo</t>
  </si>
  <si>
    <t>5102520019</t>
  </si>
  <si>
    <t>San Bartolommeo</t>
  </si>
  <si>
    <t>5102526725</t>
  </si>
  <si>
    <t>Santa Barbara</t>
  </si>
  <si>
    <t>5102520021</t>
  </si>
  <si>
    <t>5102526627</t>
  </si>
  <si>
    <t>Sant'Angiolo</t>
  </si>
  <si>
    <t>5102526623</t>
  </si>
  <si>
    <t>Torricella</t>
  </si>
  <si>
    <t>5102520022</t>
  </si>
  <si>
    <t>5102510005</t>
  </si>
  <si>
    <t>Verniana</t>
  </si>
  <si>
    <t>Montecarlo [LU]</t>
  </si>
  <si>
    <t>4602120001</t>
  </si>
  <si>
    <t>Basetti</t>
  </si>
  <si>
    <t>4602110006</t>
  </si>
  <si>
    <t>Carbonata</t>
  </si>
  <si>
    <t>4602140000</t>
  </si>
  <si>
    <t>Case sparse_260</t>
  </si>
  <si>
    <t>4602126616</t>
  </si>
  <si>
    <t>Centi</t>
  </si>
  <si>
    <t>4602126604</t>
  </si>
  <si>
    <t>Chiari</t>
  </si>
  <si>
    <t>4602120005</t>
  </si>
  <si>
    <t>Ciucchi</t>
  </si>
  <si>
    <t>4602126606</t>
  </si>
  <si>
    <t>Corte Panattoncelli</t>
  </si>
  <si>
    <t>4602120007</t>
  </si>
  <si>
    <t>4602126618</t>
  </si>
  <si>
    <t>4602110001</t>
  </si>
  <si>
    <t>Gossi</t>
  </si>
  <si>
    <t>4602120008</t>
  </si>
  <si>
    <t>Luciani</t>
  </si>
  <si>
    <t>4602126609</t>
  </si>
  <si>
    <t>Lupori</t>
  </si>
  <si>
    <t>4602126610</t>
  </si>
  <si>
    <t>Marcucci</t>
  </si>
  <si>
    <t>4602120011</t>
  </si>
  <si>
    <t>Mencarini</t>
  </si>
  <si>
    <t>4602110002</t>
  </si>
  <si>
    <t>Montecarlo</t>
  </si>
  <si>
    <t>4602126613</t>
  </si>
  <si>
    <t>Pizzi</t>
  </si>
  <si>
    <t>4602110003</t>
  </si>
  <si>
    <t>San Giuseppe</t>
  </si>
  <si>
    <t>4602110004</t>
  </si>
  <si>
    <t>San Salvatore</t>
  </si>
  <si>
    <t>4602126614</t>
  </si>
  <si>
    <t>Stefanini</t>
  </si>
  <si>
    <t>4602110005</t>
  </si>
  <si>
    <t>4602120015</t>
  </si>
  <si>
    <t>Vettori-Caporale</t>
  </si>
  <si>
    <t>Montecatini Val di Cecina [PI]</t>
  </si>
  <si>
    <t>5001926608</t>
  </si>
  <si>
    <t>5001940000</t>
  </si>
  <si>
    <t>Case sparse_5</t>
  </si>
  <si>
    <t>5001926601</t>
  </si>
  <si>
    <t>5001926602</t>
  </si>
  <si>
    <t>5001926603</t>
  </si>
  <si>
    <t>La Miniera</t>
  </si>
  <si>
    <t>5001920004</t>
  </si>
  <si>
    <t>Ligia</t>
  </si>
  <si>
    <t>5001926605</t>
  </si>
  <si>
    <t>Miemo</t>
  </si>
  <si>
    <t>5001910001</t>
  </si>
  <si>
    <t>Montecatini Val di Cecina</t>
  </si>
  <si>
    <t>5001910002</t>
  </si>
  <si>
    <t>Ponteginori</t>
  </si>
  <si>
    <t>5001920006</t>
  </si>
  <si>
    <t>Querceto</t>
  </si>
  <si>
    <t>5001910003</t>
  </si>
  <si>
    <t>Sassa</t>
  </si>
  <si>
    <t>5001920009</t>
  </si>
  <si>
    <t>Tegolaia</t>
  </si>
  <si>
    <t>Montecatini-Terme [PT]</t>
  </si>
  <si>
    <t>4701140000</t>
  </si>
  <si>
    <t>Case sparse_285</t>
  </si>
  <si>
    <t>4701110001</t>
  </si>
  <si>
    <t>Montecatini Alto</t>
  </si>
  <si>
    <t>4701110002</t>
  </si>
  <si>
    <t>Montecatini-Terme</t>
  </si>
  <si>
    <t>4701110003</t>
  </si>
  <si>
    <t>Nievole</t>
  </si>
  <si>
    <t>4701120001</t>
  </si>
  <si>
    <t>Montelupo Fiorentino [FI]</t>
  </si>
  <si>
    <t>4802820001</t>
  </si>
  <si>
    <t>Bobolino</t>
  </si>
  <si>
    <t>4802810001</t>
  </si>
  <si>
    <t>Camaioni</t>
  </si>
  <si>
    <t>4802840000</t>
  </si>
  <si>
    <t>Case sparse_163</t>
  </si>
  <si>
    <t>4802830002</t>
  </si>
  <si>
    <t>Castellucci</t>
  </si>
  <si>
    <t>4802830001</t>
  </si>
  <si>
    <t>Localitá Produttiva Ponterotto</t>
  </si>
  <si>
    <t>4802820002</t>
  </si>
  <si>
    <t>Maremmana</t>
  </si>
  <si>
    <t>4802810003</t>
  </si>
  <si>
    <t>Montelupo Fiorentino</t>
  </si>
  <si>
    <t>4802820003</t>
  </si>
  <si>
    <t>Ponterotto</t>
  </si>
  <si>
    <t>4802826704</t>
  </si>
  <si>
    <t>Sammontana</t>
  </si>
  <si>
    <t>4802820005</t>
  </si>
  <si>
    <t>Turbone</t>
  </si>
  <si>
    <t>Montemignaio [AR]</t>
  </si>
  <si>
    <t>5102340000</t>
  </si>
  <si>
    <t>Case sparse_48</t>
  </si>
  <si>
    <t>5102310001</t>
  </si>
  <si>
    <t>Castello-Prato</t>
  </si>
  <si>
    <t>5102310002</t>
  </si>
  <si>
    <t>5102320006</t>
  </si>
  <si>
    <t>Forcanasso</t>
  </si>
  <si>
    <t>5102310003</t>
  </si>
  <si>
    <t>La Pieve-Molino</t>
  </si>
  <si>
    <t>5102320004</t>
  </si>
  <si>
    <t>Liconia-Fossatello</t>
  </si>
  <si>
    <t>Montemurlo [PO]</t>
  </si>
  <si>
    <t>10000320001</t>
  </si>
  <si>
    <t>Bagnolo di Sopra</t>
  </si>
  <si>
    <t>10000320004</t>
  </si>
  <si>
    <t>Carbonizzo</t>
  </si>
  <si>
    <t>10000340000</t>
  </si>
  <si>
    <t>Case sparse_218</t>
  </si>
  <si>
    <t>10000320002</t>
  </si>
  <si>
    <t>10000310001</t>
  </si>
  <si>
    <t>Fornacelle</t>
  </si>
  <si>
    <t>10000320003</t>
  </si>
  <si>
    <t>Freccioni</t>
  </si>
  <si>
    <t>Montepulciano [SI]</t>
  </si>
  <si>
    <t>5201510001</t>
  </si>
  <si>
    <t>Abbadia</t>
  </si>
  <si>
    <t>5201510002</t>
  </si>
  <si>
    <t>5201520001</t>
  </si>
  <si>
    <t>Ascianello</t>
  </si>
  <si>
    <t>5201520002</t>
  </si>
  <si>
    <t>Bivio di San Biagio</t>
  </si>
  <si>
    <t>5201526603</t>
  </si>
  <si>
    <t>Caggiole</t>
  </si>
  <si>
    <t>5201526604</t>
  </si>
  <si>
    <t>Canapille</t>
  </si>
  <si>
    <t>5201520005</t>
  </si>
  <si>
    <t>Casalte</t>
  </si>
  <si>
    <t>5201540000</t>
  </si>
  <si>
    <t>Case sparse_79</t>
  </si>
  <si>
    <t>5201526706</t>
  </si>
  <si>
    <t>5201526607</t>
  </si>
  <si>
    <t>5201526608</t>
  </si>
  <si>
    <t>5201520009</t>
  </si>
  <si>
    <t>Cervognano Montenero</t>
  </si>
  <si>
    <t>5201526723</t>
  </si>
  <si>
    <t>5201520010</t>
  </si>
  <si>
    <t>Crugnole</t>
  </si>
  <si>
    <t>5201526611</t>
  </si>
  <si>
    <t>Fontago</t>
  </si>
  <si>
    <t>5201520012</t>
  </si>
  <si>
    <t>Fonte al Giunco</t>
  </si>
  <si>
    <t>5201526613</t>
  </si>
  <si>
    <t>Fonte Sambuco</t>
  </si>
  <si>
    <t>5201510003</t>
  </si>
  <si>
    <t>Gracciano</t>
  </si>
  <si>
    <t>5201526724</t>
  </si>
  <si>
    <t>Greppo I</t>
  </si>
  <si>
    <t>5201526725</t>
  </si>
  <si>
    <t>Greppo II</t>
  </si>
  <si>
    <t>5201526714</t>
  </si>
  <si>
    <t>Il Santo</t>
  </si>
  <si>
    <t>5201510004</t>
  </si>
  <si>
    <t>5201510005</t>
  </si>
  <si>
    <t>Montepulciano</t>
  </si>
  <si>
    <t>5201510006</t>
  </si>
  <si>
    <t>Montepulciano Stazione</t>
  </si>
  <si>
    <t>5201522934</t>
  </si>
  <si>
    <t>Ospedali Riuniti Valdichiana Senese</t>
  </si>
  <si>
    <t>5201526615</t>
  </si>
  <si>
    <t>Pelago Casanova</t>
  </si>
  <si>
    <t>5201526726</t>
  </si>
  <si>
    <t>Poggio Saragio</t>
  </si>
  <si>
    <t>5201526616</t>
  </si>
  <si>
    <t>Ponte</t>
  </si>
  <si>
    <t>5201520017</t>
  </si>
  <si>
    <t>Ponte di Ferro</t>
  </si>
  <si>
    <t>5201520018</t>
  </si>
  <si>
    <t>Salcheto</t>
  </si>
  <si>
    <t>5201521119</t>
  </si>
  <si>
    <t>San Biagio</t>
  </si>
  <si>
    <t>5201510007</t>
  </si>
  <si>
    <t>Sant'Albino</t>
  </si>
  <si>
    <t>5201526727</t>
  </si>
  <si>
    <t>Sciarti</t>
  </si>
  <si>
    <t>5201520020</t>
  </si>
  <si>
    <t>5201530001</t>
  </si>
  <si>
    <t>Stabilimento Peruzzi</t>
  </si>
  <si>
    <t>5201526621</t>
  </si>
  <si>
    <t>Terra Bianca</t>
  </si>
  <si>
    <t>5201520035</t>
  </si>
  <si>
    <t>Totona</t>
  </si>
  <si>
    <t>5201520022</t>
  </si>
  <si>
    <t>Tre Berte</t>
  </si>
  <si>
    <t>5201510008</t>
  </si>
  <si>
    <t>Valiano</t>
  </si>
  <si>
    <t>Monterchi [AR]</t>
  </si>
  <si>
    <t>5102420010</t>
  </si>
  <si>
    <t>Borgacciano</t>
  </si>
  <si>
    <t>5102440000</t>
  </si>
  <si>
    <t>Case sparse_49</t>
  </si>
  <si>
    <t>5102426601</t>
  </si>
  <si>
    <t>Fonaco</t>
  </si>
  <si>
    <t>5102426602</t>
  </si>
  <si>
    <t>5102410001</t>
  </si>
  <si>
    <t>Le Ville</t>
  </si>
  <si>
    <t>5102410002</t>
  </si>
  <si>
    <t>Monterchi</t>
  </si>
  <si>
    <t>5102420003</t>
  </si>
  <si>
    <t>Padonchia</t>
  </si>
  <si>
    <t>5102420004</t>
  </si>
  <si>
    <t>Pocaia</t>
  </si>
  <si>
    <t>5102420005</t>
  </si>
  <si>
    <t>5102420007</t>
  </si>
  <si>
    <t>Monteriggioni [SI]</t>
  </si>
  <si>
    <t>5201610001</t>
  </si>
  <si>
    <t>Abbadia Isola</t>
  </si>
  <si>
    <t>5201620001</t>
  </si>
  <si>
    <t>5201610002</t>
  </si>
  <si>
    <t>Badesse</t>
  </si>
  <si>
    <t>5201620002</t>
  </si>
  <si>
    <t>Basciano</t>
  </si>
  <si>
    <t>5201610003</t>
  </si>
  <si>
    <t>Belverde</t>
  </si>
  <si>
    <t>5201620003</t>
  </si>
  <si>
    <t>Bivio Santo Stefano</t>
  </si>
  <si>
    <t>5201626704</t>
  </si>
  <si>
    <t>Bracciano</t>
  </si>
  <si>
    <t>5201620005</t>
  </si>
  <si>
    <t>Campo di Fiori</t>
  </si>
  <si>
    <t>5201620006</t>
  </si>
  <si>
    <t>Cannuccio</t>
  </si>
  <si>
    <t>5201620007</t>
  </si>
  <si>
    <t>Carpineta</t>
  </si>
  <si>
    <t>5201626609</t>
  </si>
  <si>
    <t>5201626734</t>
  </si>
  <si>
    <t>Case Operaie</t>
  </si>
  <si>
    <t>5201640000</t>
  </si>
  <si>
    <t>Case sparse_80</t>
  </si>
  <si>
    <t>5201620011</t>
  </si>
  <si>
    <t>5201610004</t>
  </si>
  <si>
    <t>Castellina Scalo</t>
  </si>
  <si>
    <t>5201626613</t>
  </si>
  <si>
    <t>Colle Ciupi</t>
  </si>
  <si>
    <t>5201620015</t>
  </si>
  <si>
    <t>Colombaio-Via Regioni</t>
  </si>
  <si>
    <t>5201620017</t>
  </si>
  <si>
    <t>Corpo Santo</t>
  </si>
  <si>
    <t>5201620018</t>
  </si>
  <si>
    <t>5201626620</t>
  </si>
  <si>
    <t>Gabbricce</t>
  </si>
  <si>
    <t>5201620016</t>
  </si>
  <si>
    <t>La Colonna</t>
  </si>
  <si>
    <t>5201620021</t>
  </si>
  <si>
    <t>La Ripa</t>
  </si>
  <si>
    <t>5201620032</t>
  </si>
  <si>
    <t>5201610005</t>
  </si>
  <si>
    <t>Lornano</t>
  </si>
  <si>
    <t>5201620022</t>
  </si>
  <si>
    <t>Monteresi</t>
  </si>
  <si>
    <t>5201610006</t>
  </si>
  <si>
    <t>Monteriggioni</t>
  </si>
  <si>
    <t>5201626623</t>
  </si>
  <si>
    <t>5201610007</t>
  </si>
  <si>
    <t>5201630001</t>
  </si>
  <si>
    <t>Rigoni</t>
  </si>
  <si>
    <t>5201620024</t>
  </si>
  <si>
    <t>San Dalmazio</t>
  </si>
  <si>
    <t>5201610008</t>
  </si>
  <si>
    <t>5201626725</t>
  </si>
  <si>
    <t>Santa Barbara-Miniera</t>
  </si>
  <si>
    <t>5201610009</t>
  </si>
  <si>
    <t>5201626626</t>
  </si>
  <si>
    <t>5201626727</t>
  </si>
  <si>
    <t>5201626728</t>
  </si>
  <si>
    <t>Sensano</t>
  </si>
  <si>
    <t>5201610010</t>
  </si>
  <si>
    <t>Strove</t>
  </si>
  <si>
    <t>5201610011</t>
  </si>
  <si>
    <t>Tognazza</t>
  </si>
  <si>
    <t>5201610012</t>
  </si>
  <si>
    <t>Uopini</t>
  </si>
  <si>
    <t>5201620031</t>
  </si>
  <si>
    <t>Vignaglia</t>
  </si>
  <si>
    <t>5201620033</t>
  </si>
  <si>
    <t>Villa Parigini</t>
  </si>
  <si>
    <t>Monteroni d'Arbia [SI]</t>
  </si>
  <si>
    <t>5201740000</t>
  </si>
  <si>
    <t>Case sparse_81</t>
  </si>
  <si>
    <t>5201720005</t>
  </si>
  <si>
    <t>Cuna</t>
  </si>
  <si>
    <t>5201726701</t>
  </si>
  <si>
    <t>Grotti Alto</t>
  </si>
  <si>
    <t>5201720002</t>
  </si>
  <si>
    <t>Le More</t>
  </si>
  <si>
    <t>5201710002</t>
  </si>
  <si>
    <t>Lucignano d'Arbia</t>
  </si>
  <si>
    <t>5201710003</t>
  </si>
  <si>
    <t>Monteroni d'Arbia</t>
  </si>
  <si>
    <t>5201710004</t>
  </si>
  <si>
    <t>Ponte A Tressa</t>
  </si>
  <si>
    <t>5201710005</t>
  </si>
  <si>
    <t>5201726603</t>
  </si>
  <si>
    <t>Quinciano</t>
  </si>
  <si>
    <t>5201720004</t>
  </si>
  <si>
    <t>Radi</t>
  </si>
  <si>
    <t>5201710006</t>
  </si>
  <si>
    <t>Ville di Corsano</t>
  </si>
  <si>
    <t>Monterotondo Marittimo [GR]</t>
  </si>
  <si>
    <t>5302740000</t>
  </si>
  <si>
    <t>Case sparse_127</t>
  </si>
  <si>
    <t>5302720001</t>
  </si>
  <si>
    <t>Frassine</t>
  </si>
  <si>
    <t>5302720002</t>
  </si>
  <si>
    <t>Griccioni</t>
  </si>
  <si>
    <t>5302720003</t>
  </si>
  <si>
    <t>Lago Boracifero</t>
  </si>
  <si>
    <t>5302710001</t>
  </si>
  <si>
    <t>Monterotondo Marittimo</t>
  </si>
  <si>
    <t>Montescudaio [PI]</t>
  </si>
  <si>
    <t>5002026604</t>
  </si>
  <si>
    <t>5002040000</t>
  </si>
  <si>
    <t>Case sparse_6</t>
  </si>
  <si>
    <t>5002010001</t>
  </si>
  <si>
    <t>Fiorino</t>
  </si>
  <si>
    <t>5002010002</t>
  </si>
  <si>
    <t>Montescudaio</t>
  </si>
  <si>
    <t>5002030001</t>
  </si>
  <si>
    <t>Poggio Gagliardo</t>
  </si>
  <si>
    <t>5002030002</t>
  </si>
  <si>
    <t>SP Bassa Val di Cecina</t>
  </si>
  <si>
    <t>Montespertoli [FI]</t>
  </si>
  <si>
    <t>4803020014</t>
  </si>
  <si>
    <t>Anselmo</t>
  </si>
  <si>
    <t>4803010001</t>
  </si>
  <si>
    <t>Baccaiano</t>
  </si>
  <si>
    <t>4803026602</t>
  </si>
  <si>
    <t>Botinaccio</t>
  </si>
  <si>
    <t>4803040000</t>
  </si>
  <si>
    <t>Case sparse_164</t>
  </si>
  <si>
    <t>4803026603</t>
  </si>
  <si>
    <t>Castiglioni</t>
  </si>
  <si>
    <t>4803030005</t>
  </si>
  <si>
    <t>Cerbaia</t>
  </si>
  <si>
    <t>4803026624</t>
  </si>
  <si>
    <t>Chinigiano</t>
  </si>
  <si>
    <t>4803020005</t>
  </si>
  <si>
    <t>4803010002</t>
  </si>
  <si>
    <t>4803020006</t>
  </si>
  <si>
    <t>Ghisone</t>
  </si>
  <si>
    <t>4803020007</t>
  </si>
  <si>
    <t>Gigliola</t>
  </si>
  <si>
    <t>4803020008</t>
  </si>
  <si>
    <t>Il Pino II</t>
  </si>
  <si>
    <t>4803020009</t>
  </si>
  <si>
    <t>4803020010</t>
  </si>
  <si>
    <t>La Buca</t>
  </si>
  <si>
    <t>4803020011</t>
  </si>
  <si>
    <t>4803026627</t>
  </si>
  <si>
    <t>4803020012</t>
  </si>
  <si>
    <t>Le Galvane</t>
  </si>
  <si>
    <t>4803030001</t>
  </si>
  <si>
    <t>Le Piane</t>
  </si>
  <si>
    <t>4803026613</t>
  </si>
  <si>
    <t>Leoni</t>
  </si>
  <si>
    <t>4803010003</t>
  </si>
  <si>
    <t>Lucardo</t>
  </si>
  <si>
    <t>4803010004</t>
  </si>
  <si>
    <t>4803010005</t>
  </si>
  <si>
    <t>4803030002</t>
  </si>
  <si>
    <t>Mela</t>
  </si>
  <si>
    <t>4803030004</t>
  </si>
  <si>
    <t>Molino del Ponte</t>
  </si>
  <si>
    <t>4803010006</t>
  </si>
  <si>
    <t>4803020015</t>
  </si>
  <si>
    <t>Monte Albino</t>
  </si>
  <si>
    <t>4803020016</t>
  </si>
  <si>
    <t>Montegufoni</t>
  </si>
  <si>
    <t>4803010007</t>
  </si>
  <si>
    <t>Montespertoli</t>
  </si>
  <si>
    <t>4803020025</t>
  </si>
  <si>
    <t>4803010008</t>
  </si>
  <si>
    <t>Ortimino</t>
  </si>
  <si>
    <t>4803020030</t>
  </si>
  <si>
    <t>Poggio al Topo</t>
  </si>
  <si>
    <t>4803026618</t>
  </si>
  <si>
    <t>Polvereto</t>
  </si>
  <si>
    <t>4803020019</t>
  </si>
  <si>
    <t>Poppiano</t>
  </si>
  <si>
    <t>4803026628</t>
  </si>
  <si>
    <t>Quercione</t>
  </si>
  <si>
    <t>4803010010</t>
  </si>
  <si>
    <t>4803026620</t>
  </si>
  <si>
    <t>San Quirico</t>
  </si>
  <si>
    <t>4803010009</t>
  </si>
  <si>
    <t>San Quirico in Collina</t>
  </si>
  <si>
    <t>4803020021</t>
  </si>
  <si>
    <t>Trecento</t>
  </si>
  <si>
    <t>4803020022</t>
  </si>
  <si>
    <t>Tresanti</t>
  </si>
  <si>
    <t>4803020026</t>
  </si>
  <si>
    <t>Turignano</t>
  </si>
  <si>
    <t>4803020023</t>
  </si>
  <si>
    <t>Montevarchi [AR]</t>
  </si>
  <si>
    <t>5102620001</t>
  </si>
  <si>
    <t>Acquaborra-Caselle</t>
  </si>
  <si>
    <t>5102610001</t>
  </si>
  <si>
    <t>Caposelvi</t>
  </si>
  <si>
    <t>5102620802</t>
  </si>
  <si>
    <t>Cappuccini</t>
  </si>
  <si>
    <t>5102640000</t>
  </si>
  <si>
    <t>Case sparse_51</t>
  </si>
  <si>
    <t>5102626604</t>
  </si>
  <si>
    <t>Cocoioni</t>
  </si>
  <si>
    <t>5102620005</t>
  </si>
  <si>
    <t>Crocefisso</t>
  </si>
  <si>
    <t>5102626612</t>
  </si>
  <si>
    <t>Gruccia Borrolungo</t>
  </si>
  <si>
    <t>5102610002</t>
  </si>
  <si>
    <t>5102610003</t>
  </si>
  <si>
    <t>Mercatale Valdarno</t>
  </si>
  <si>
    <t>5102610004</t>
  </si>
  <si>
    <t>Moncioni</t>
  </si>
  <si>
    <t>5102622606</t>
  </si>
  <si>
    <t>Monsorbi-Pettini</t>
  </si>
  <si>
    <t>5102610005</t>
  </si>
  <si>
    <t>Montevarchi</t>
  </si>
  <si>
    <t>5102620007</t>
  </si>
  <si>
    <t>Noferi-Lavatoio</t>
  </si>
  <si>
    <t>5102626609</t>
  </si>
  <si>
    <t>Poggio Cuccule</t>
  </si>
  <si>
    <t>5102626610</t>
  </si>
  <si>
    <t>Poggio San Marco</t>
  </si>
  <si>
    <t>5102610006</t>
  </si>
  <si>
    <t>Rendola</t>
  </si>
  <si>
    <t>5102610007</t>
  </si>
  <si>
    <t>Ricasoli</t>
  </si>
  <si>
    <t>5102610008</t>
  </si>
  <si>
    <t>Ventena</t>
  </si>
  <si>
    <t>Monteverdi Marittimo [PI]</t>
  </si>
  <si>
    <t>5002110001</t>
  </si>
  <si>
    <t>5002140000</t>
  </si>
  <si>
    <t>Case sparse_7</t>
  </si>
  <si>
    <t>5002120001</t>
  </si>
  <si>
    <t>Faro del Castelluccio</t>
  </si>
  <si>
    <t>5002110002</t>
  </si>
  <si>
    <t>Monteverdi Marittimo</t>
  </si>
  <si>
    <t>Monticiano [SI]</t>
  </si>
  <si>
    <t>5201840000</t>
  </si>
  <si>
    <t>Case sparse_82</t>
  </si>
  <si>
    <t>5201820001</t>
  </si>
  <si>
    <t>Castello di Tocchi</t>
  </si>
  <si>
    <t>5201820002</t>
  </si>
  <si>
    <t>5201810001</t>
  </si>
  <si>
    <t>5201810002</t>
  </si>
  <si>
    <t>Monticiano</t>
  </si>
  <si>
    <t>5201820003</t>
  </si>
  <si>
    <t>5201810003</t>
  </si>
  <si>
    <t>San Lorenzo A Merse</t>
  </si>
  <si>
    <t>5201810004</t>
  </si>
  <si>
    <t>Scalvaia</t>
  </si>
  <si>
    <t>5201820004</t>
  </si>
  <si>
    <t>5201810005</t>
  </si>
  <si>
    <t>Tocchi</t>
  </si>
  <si>
    <t>Montieri [GR]</t>
  </si>
  <si>
    <t>5301710001</t>
  </si>
  <si>
    <t>Boccheggiano</t>
  </si>
  <si>
    <t>5301726704</t>
  </si>
  <si>
    <t>Campiano II</t>
  </si>
  <si>
    <t>5301740000</t>
  </si>
  <si>
    <t>Case sparse_117</t>
  </si>
  <si>
    <t>5301730001</t>
  </si>
  <si>
    <t>Centrale Elettrica Travale</t>
  </si>
  <si>
    <t>5301710002</t>
  </si>
  <si>
    <t>Gerfalco</t>
  </si>
  <si>
    <t>5301726605</t>
  </si>
  <si>
    <t>La Fabbrica II</t>
  </si>
  <si>
    <t>5301726603</t>
  </si>
  <si>
    <t>Le Fornaci</t>
  </si>
  <si>
    <t>5301710003</t>
  </si>
  <si>
    <t>5301710004</t>
  </si>
  <si>
    <t>Travale</t>
  </si>
  <si>
    <t>Montignoso [MS]</t>
  </si>
  <si>
    <t>4501110001</t>
  </si>
  <si>
    <t>Capanne-Prato-Cinquale</t>
  </si>
  <si>
    <t>4501140000</t>
  </si>
  <si>
    <t>Case sparse_233</t>
  </si>
  <si>
    <t>4501120002</t>
  </si>
  <si>
    <t>Corsanico</t>
  </si>
  <si>
    <t>4501120003</t>
  </si>
  <si>
    <t>4501110003</t>
  </si>
  <si>
    <t>San Vito-Cerreto</t>
  </si>
  <si>
    <t>4501110002</t>
  </si>
  <si>
    <t>Sant'Eustachio</t>
  </si>
  <si>
    <t>4501120004</t>
  </si>
  <si>
    <t>Vietina</t>
  </si>
  <si>
    <t>Montopoli in Val d'Arno [PI]</t>
  </si>
  <si>
    <t>5002240000</t>
  </si>
  <si>
    <t>Case sparse_8</t>
  </si>
  <si>
    <t>5002210001</t>
  </si>
  <si>
    <t>Castel del Bosco</t>
  </si>
  <si>
    <t>5002220002</t>
  </si>
  <si>
    <t>Gasparrino</t>
  </si>
  <si>
    <t>5002220009</t>
  </si>
  <si>
    <t>La Puce-San Jacopo</t>
  </si>
  <si>
    <t>5002210002</t>
  </si>
  <si>
    <t>Marti</t>
  </si>
  <si>
    <t>5002226603</t>
  </si>
  <si>
    <t>Masoria</t>
  </si>
  <si>
    <t>5002210003</t>
  </si>
  <si>
    <t>Montopoli</t>
  </si>
  <si>
    <t>5002220005</t>
  </si>
  <si>
    <t>Musciano</t>
  </si>
  <si>
    <t>5002226706</t>
  </si>
  <si>
    <t>5002210004</t>
  </si>
  <si>
    <t>5002220007</t>
  </si>
  <si>
    <t>Sant'Andrea alle Fornaci</t>
  </si>
  <si>
    <t>5002226708</t>
  </si>
  <si>
    <t>Varramista</t>
  </si>
  <si>
    <t>Mulazzo [MS]</t>
  </si>
  <si>
    <t>4501220001</t>
  </si>
  <si>
    <t>Arionzo-Cravilla</t>
  </si>
  <si>
    <t>4501210001</t>
  </si>
  <si>
    <t>Arpiola-Pianfurcano</t>
  </si>
  <si>
    <t>4501210002</t>
  </si>
  <si>
    <t>Borgo</t>
  </si>
  <si>
    <t>4501210003</t>
  </si>
  <si>
    <t>Busatica</t>
  </si>
  <si>
    <t>4501220002</t>
  </si>
  <si>
    <t>Campoli</t>
  </si>
  <si>
    <t>4501220003</t>
  </si>
  <si>
    <t>Canossa</t>
  </si>
  <si>
    <t>4501226604</t>
  </si>
  <si>
    <t>Casa di Loia</t>
  </si>
  <si>
    <t>4501240000</t>
  </si>
  <si>
    <t>Case sparse_234</t>
  </si>
  <si>
    <t>4501220005</t>
  </si>
  <si>
    <t>Cassana</t>
  </si>
  <si>
    <t>4501210004</t>
  </si>
  <si>
    <t>Castagnetoli</t>
  </si>
  <si>
    <t>4501226606</t>
  </si>
  <si>
    <t>Costa d'Arzola</t>
  </si>
  <si>
    <t>4501220008</t>
  </si>
  <si>
    <t>Crocetta</t>
  </si>
  <si>
    <t>4501210005</t>
  </si>
  <si>
    <t>Foce</t>
  </si>
  <si>
    <t>4501210006</t>
  </si>
  <si>
    <t>Gavedo</t>
  </si>
  <si>
    <t>4501210007</t>
  </si>
  <si>
    <t>Lusuolo</t>
  </si>
  <si>
    <t>4501210008</t>
  </si>
  <si>
    <t>Montereggio</t>
  </si>
  <si>
    <t>4501210009</t>
  </si>
  <si>
    <t>Mulazzo</t>
  </si>
  <si>
    <t>4501210010</t>
  </si>
  <si>
    <t>Parana</t>
  </si>
  <si>
    <t>4501220009</t>
  </si>
  <si>
    <t>4501210011</t>
  </si>
  <si>
    <t>Ponte Magra</t>
  </si>
  <si>
    <t>4501210012</t>
  </si>
  <si>
    <t>Pozzo</t>
  </si>
  <si>
    <t>4501220010</t>
  </si>
  <si>
    <t>Rivazzo</t>
  </si>
  <si>
    <t>4501220012</t>
  </si>
  <si>
    <t>Serla</t>
  </si>
  <si>
    <t>4501210013</t>
  </si>
  <si>
    <t>Stallone-Talavorno</t>
  </si>
  <si>
    <t>4501220014</t>
  </si>
  <si>
    <t>Villa Ghelfi</t>
  </si>
  <si>
    <t>Murlo [SI]</t>
  </si>
  <si>
    <t>5201920002</t>
  </si>
  <si>
    <t>Befa</t>
  </si>
  <si>
    <t>5201926611</t>
  </si>
  <si>
    <t>Campriano</t>
  </si>
  <si>
    <t>5201920003</t>
  </si>
  <si>
    <t>Casanova</t>
  </si>
  <si>
    <t>5201910001</t>
  </si>
  <si>
    <t>Casciano</t>
  </si>
  <si>
    <t>5201940000</t>
  </si>
  <si>
    <t>Case sparse_83</t>
  </si>
  <si>
    <t>5201920004</t>
  </si>
  <si>
    <t>Fontazzi</t>
  </si>
  <si>
    <t>5201920005</t>
  </si>
  <si>
    <t>Lupompesi</t>
  </si>
  <si>
    <t>5201920006</t>
  </si>
  <si>
    <t>Miniera di Murlo</t>
  </si>
  <si>
    <t>5201920007</t>
  </si>
  <si>
    <t>Montepescini</t>
  </si>
  <si>
    <t>5201920008</t>
  </si>
  <si>
    <t>Murlo</t>
  </si>
  <si>
    <t>5201920009</t>
  </si>
  <si>
    <t>Poggiobrucoli</t>
  </si>
  <si>
    <t>5201910002</t>
  </si>
  <si>
    <t>Vescovado</t>
  </si>
  <si>
    <t>Orbetello [GR]</t>
  </si>
  <si>
    <t>5301810001</t>
  </si>
  <si>
    <t>Albinia</t>
  </si>
  <si>
    <t>5301810002</t>
  </si>
  <si>
    <t>Ansedonia</t>
  </si>
  <si>
    <t>5301840000</t>
  </si>
  <si>
    <t>Case sparse_118</t>
  </si>
  <si>
    <t>5301810003</t>
  </si>
  <si>
    <t>Fonteblanda</t>
  </si>
  <si>
    <t>5301810004</t>
  </si>
  <si>
    <t>Giannella</t>
  </si>
  <si>
    <t>5301810005</t>
  </si>
  <si>
    <t>Orbetello</t>
  </si>
  <si>
    <t>5301810006</t>
  </si>
  <si>
    <t>Orbetello Scalo</t>
  </si>
  <si>
    <t>5301820001</t>
  </si>
  <si>
    <t>Polverosa</t>
  </si>
  <si>
    <t>5301820002</t>
  </si>
  <si>
    <t>5301820005</t>
  </si>
  <si>
    <t>Saline Sadum</t>
  </si>
  <si>
    <t>5301826603</t>
  </si>
  <si>
    <t>San Donato Centro</t>
  </si>
  <si>
    <t>5301826704</t>
  </si>
  <si>
    <t>San Donato Vecchio</t>
  </si>
  <si>
    <t>5301810008</t>
  </si>
  <si>
    <t>Talamone</t>
  </si>
  <si>
    <t>5301830001</t>
  </si>
  <si>
    <t>Zona Artigianale</t>
  </si>
  <si>
    <t>Orciano Pisano [PI]</t>
  </si>
  <si>
    <t>5002340000</t>
  </si>
  <si>
    <t>Case sparse_9</t>
  </si>
  <si>
    <t>5002310001</t>
  </si>
  <si>
    <t>Orciano Pisano</t>
  </si>
  <si>
    <t>5002326602</t>
  </si>
  <si>
    <t>Ortignano Raggiolo [AR]</t>
  </si>
  <si>
    <t>5102710001</t>
  </si>
  <si>
    <t>Badia Tega</t>
  </si>
  <si>
    <t>5102740000</t>
  </si>
  <si>
    <t>Case sparse_52</t>
  </si>
  <si>
    <t>5102726602</t>
  </si>
  <si>
    <t>Monte Borgnoli</t>
  </si>
  <si>
    <t>5102710002</t>
  </si>
  <si>
    <t>Ortignano</t>
  </si>
  <si>
    <t>5102710003</t>
  </si>
  <si>
    <t>Raggiolo</t>
  </si>
  <si>
    <t>5102710004</t>
  </si>
  <si>
    <t>5102720001</t>
  </si>
  <si>
    <t>Palaia [PI]</t>
  </si>
  <si>
    <t>5002420005</t>
  </si>
  <si>
    <t>Alica</t>
  </si>
  <si>
    <t>5002410001</t>
  </si>
  <si>
    <t>Baccanella</t>
  </si>
  <si>
    <t>5002440000</t>
  </si>
  <si>
    <t>Case sparse_10</t>
  </si>
  <si>
    <t>5002410002</t>
  </si>
  <si>
    <t>Forcoli</t>
  </si>
  <si>
    <t>5002420003</t>
  </si>
  <si>
    <t>Gello</t>
  </si>
  <si>
    <t>5002420006</t>
  </si>
  <si>
    <t>Montechiari-Montacchita</t>
  </si>
  <si>
    <t>5002410004</t>
  </si>
  <si>
    <t>Montefoscoli</t>
  </si>
  <si>
    <t>5002410005</t>
  </si>
  <si>
    <t>Palaia</t>
  </si>
  <si>
    <t>5002410006</t>
  </si>
  <si>
    <t>Partino</t>
  </si>
  <si>
    <t>Palazzuolo sul Senio [FI]</t>
  </si>
  <si>
    <t>4803140000</t>
  </si>
  <si>
    <t>Case sparse_165</t>
  </si>
  <si>
    <t>4803126602</t>
  </si>
  <si>
    <t>Misileo</t>
  </si>
  <si>
    <t>4803110001</t>
  </si>
  <si>
    <t>Palazzuolo sul Senio</t>
  </si>
  <si>
    <t>Peccioli [PI]</t>
  </si>
  <si>
    <t>5002540000</t>
  </si>
  <si>
    <t>Case sparse_11</t>
  </si>
  <si>
    <t>5002510001</t>
  </si>
  <si>
    <t>Fabbrica</t>
  </si>
  <si>
    <t>5002520003</t>
  </si>
  <si>
    <t>Frazione di Cedri</t>
  </si>
  <si>
    <t>5002510002</t>
  </si>
  <si>
    <t>Ghizzano</t>
  </si>
  <si>
    <t>5002510003</t>
  </si>
  <si>
    <t>Legoli</t>
  </si>
  <si>
    <t>5002526601</t>
  </si>
  <si>
    <t>Libbiano</t>
  </si>
  <si>
    <t>5002510004</t>
  </si>
  <si>
    <t>5002520002</t>
  </si>
  <si>
    <t>Montelopio</t>
  </si>
  <si>
    <t>5002510005</t>
  </si>
  <si>
    <t>Peccioli</t>
  </si>
  <si>
    <t>5002530001</t>
  </si>
  <si>
    <t>Zona Industriale La Fila</t>
  </si>
  <si>
    <t>Pelago [FI]</t>
  </si>
  <si>
    <t>4803210001</t>
  </si>
  <si>
    <t>Borselli</t>
  </si>
  <si>
    <t>4803220801</t>
  </si>
  <si>
    <t>Campiglioni</t>
  </si>
  <si>
    <t>4803210002</t>
  </si>
  <si>
    <t>4803240000</t>
  </si>
  <si>
    <t>Case sparse_166</t>
  </si>
  <si>
    <t>4803226602</t>
  </si>
  <si>
    <t>4803210003</t>
  </si>
  <si>
    <t>4803210004</t>
  </si>
  <si>
    <t>Diacceto</t>
  </si>
  <si>
    <t>4803220803</t>
  </si>
  <si>
    <t>Eremo di Compiglioni</t>
  </si>
  <si>
    <t>4803210005</t>
  </si>
  <si>
    <t>Ferrano</t>
  </si>
  <si>
    <t>4803210006</t>
  </si>
  <si>
    <t>Fontisterni</t>
  </si>
  <si>
    <t>4803226604</t>
  </si>
  <si>
    <t>4803226705</t>
  </si>
  <si>
    <t>Grassina</t>
  </si>
  <si>
    <t>4803210007</t>
  </si>
  <si>
    <t>Le Palaie</t>
  </si>
  <si>
    <t>4803226616</t>
  </si>
  <si>
    <t>Magnale</t>
  </si>
  <si>
    <t>4803220006</t>
  </si>
  <si>
    <t>Massolina</t>
  </si>
  <si>
    <t>4803226607</t>
  </si>
  <si>
    <t>Meo</t>
  </si>
  <si>
    <t>4803226615</t>
  </si>
  <si>
    <t>Nipozzano</t>
  </si>
  <si>
    <t>4803226608</t>
  </si>
  <si>
    <t>Pagiano</t>
  </si>
  <si>
    <t>4803210008</t>
  </si>
  <si>
    <t>4803210009</t>
  </si>
  <si>
    <t>Pelago</t>
  </si>
  <si>
    <t>4803226709</t>
  </si>
  <si>
    <t>Podere Lucignano</t>
  </si>
  <si>
    <t>4803226710</t>
  </si>
  <si>
    <t>Pogginano</t>
  </si>
  <si>
    <t>4803226711</t>
  </si>
  <si>
    <t>Poggio Sano</t>
  </si>
  <si>
    <t>4803210010</t>
  </si>
  <si>
    <t>Raggioli</t>
  </si>
  <si>
    <t>4803221112</t>
  </si>
  <si>
    <t>Ristonchi</t>
  </si>
  <si>
    <t>4803210011</t>
  </si>
  <si>
    <t>San Francesco</t>
  </si>
  <si>
    <t>4803226617</t>
  </si>
  <si>
    <t>4803210012</t>
  </si>
  <si>
    <t>Sant'Ellero</t>
  </si>
  <si>
    <t>4803220013</t>
  </si>
  <si>
    <t>Stentatoio</t>
  </si>
  <si>
    <t>Pergine Valdarno [AR]</t>
  </si>
  <si>
    <t>5102826611</t>
  </si>
  <si>
    <t>Casal Gori</t>
  </si>
  <si>
    <t>5102840000</t>
  </si>
  <si>
    <t>Case sparse_53</t>
  </si>
  <si>
    <t>5102810001</t>
  </si>
  <si>
    <t>Cavi-Casalone</t>
  </si>
  <si>
    <t>5102826602</t>
  </si>
  <si>
    <t>Il Bagno</t>
  </si>
  <si>
    <t>5102826603</t>
  </si>
  <si>
    <t>Il Fatai</t>
  </si>
  <si>
    <t>5102826612</t>
  </si>
  <si>
    <t>5102826704</t>
  </si>
  <si>
    <t>La Trove</t>
  </si>
  <si>
    <t>5102820005</t>
  </si>
  <si>
    <t>Malafrasca-San Frustino</t>
  </si>
  <si>
    <t>5102810002</t>
  </si>
  <si>
    <t>5102810003</t>
  </si>
  <si>
    <t>Pergine Valdarno</t>
  </si>
  <si>
    <t>5102810004</t>
  </si>
  <si>
    <t>Pieve A Presciano</t>
  </si>
  <si>
    <t>5102820007</t>
  </si>
  <si>
    <t>Poggio Bagnoli</t>
  </si>
  <si>
    <t>5102820009</t>
  </si>
  <si>
    <t>Pescaglia [LU]</t>
  </si>
  <si>
    <t>4602210001</t>
  </si>
  <si>
    <t>Aiola-Il Colletto</t>
  </si>
  <si>
    <t>4602220001</t>
  </si>
  <si>
    <t>Ansana</t>
  </si>
  <si>
    <t>4602220002</t>
  </si>
  <si>
    <t>Barbamento</t>
  </si>
  <si>
    <t>4602220003</t>
  </si>
  <si>
    <t>Bozzano</t>
  </si>
  <si>
    <t>4602240000</t>
  </si>
  <si>
    <t>Case sparse_261</t>
  </si>
  <si>
    <t>4602210002</t>
  </si>
  <si>
    <t>Celle</t>
  </si>
  <si>
    <t>4602210003</t>
  </si>
  <si>
    <t>Colognora</t>
  </si>
  <si>
    <t>4602210004</t>
  </si>
  <si>
    <t>Convalle</t>
  </si>
  <si>
    <t>4602210005</t>
  </si>
  <si>
    <t>Focchia</t>
  </si>
  <si>
    <t>4602220005</t>
  </si>
  <si>
    <t>Focchia di Sotto</t>
  </si>
  <si>
    <t>4602220006</t>
  </si>
  <si>
    <t>Fondagno</t>
  </si>
  <si>
    <t>4602210006</t>
  </si>
  <si>
    <t>4602226607</t>
  </si>
  <si>
    <t>Grabbia</t>
  </si>
  <si>
    <t>4602210007</t>
  </si>
  <si>
    <t>Loppeglia-Fiano</t>
  </si>
  <si>
    <t>4602226709</t>
  </si>
  <si>
    <t>4602210008</t>
  </si>
  <si>
    <t>Pascoso</t>
  </si>
  <si>
    <t>4602210009</t>
  </si>
  <si>
    <t>Pescaglia</t>
  </si>
  <si>
    <t>4602226710</t>
  </si>
  <si>
    <t>Piaggiori</t>
  </si>
  <si>
    <t>4602210010</t>
  </si>
  <si>
    <t>Piegaio Alto</t>
  </si>
  <si>
    <t>4602210011</t>
  </si>
  <si>
    <t>Piegaio Basso</t>
  </si>
  <si>
    <t>4602210012</t>
  </si>
  <si>
    <t>San Martino in Freddana-Monsagrati</t>
  </si>
  <si>
    <t>4602210013</t>
  </si>
  <si>
    <t>4602210014</t>
  </si>
  <si>
    <t>4602220011</t>
  </si>
  <si>
    <t>Vetrianello</t>
  </si>
  <si>
    <t>4602210015</t>
  </si>
  <si>
    <t>Vetriano</t>
  </si>
  <si>
    <t>4602210016</t>
  </si>
  <si>
    <t>Villa a Roggio</t>
  </si>
  <si>
    <t>4602220012</t>
  </si>
  <si>
    <t>Villabuona</t>
  </si>
  <si>
    <t>4602220013</t>
  </si>
  <si>
    <t>Ville</t>
  </si>
  <si>
    <t>Pescia [PT]</t>
  </si>
  <si>
    <t>4701210001</t>
  </si>
  <si>
    <t>Aramo</t>
  </si>
  <si>
    <t>4701220002</t>
  </si>
  <si>
    <t>Calamari</t>
  </si>
  <si>
    <t>4701210015</t>
  </si>
  <si>
    <t>Caporaletto</t>
  </si>
  <si>
    <t>4701220004</t>
  </si>
  <si>
    <t>Case Fantozzi</t>
  </si>
  <si>
    <t>4701240000</t>
  </si>
  <si>
    <t>Case sparse_286</t>
  </si>
  <si>
    <t>4701210002</t>
  </si>
  <si>
    <t>4701210003</t>
  </si>
  <si>
    <t>Chiodo</t>
  </si>
  <si>
    <t>4701226613</t>
  </si>
  <si>
    <t>Colle del Lupo</t>
  </si>
  <si>
    <t>4701210004</t>
  </si>
  <si>
    <t>Collodi</t>
  </si>
  <si>
    <t>4701210005</t>
  </si>
  <si>
    <t>4701220006</t>
  </si>
  <si>
    <t>Macchino</t>
  </si>
  <si>
    <t>4701210006</t>
  </si>
  <si>
    <t>Medicina</t>
  </si>
  <si>
    <t>4701220007</t>
  </si>
  <si>
    <t>Monte a Pescia</t>
  </si>
  <si>
    <t>4701230001</t>
  </si>
  <si>
    <t>Obiettivo II</t>
  </si>
  <si>
    <t>4701210008</t>
  </si>
  <si>
    <t>Pescia</t>
  </si>
  <si>
    <t>4701220008</t>
  </si>
  <si>
    <t>Pesciamorta</t>
  </si>
  <si>
    <t>4701210009</t>
  </si>
  <si>
    <t>Pietrabuona</t>
  </si>
  <si>
    <t>4701226609</t>
  </si>
  <si>
    <t>Ponte di Castelvecchio</t>
  </si>
  <si>
    <t>4701210010</t>
  </si>
  <si>
    <t>Pontito</t>
  </si>
  <si>
    <t>4701226610</t>
  </si>
  <si>
    <t>4701210011</t>
  </si>
  <si>
    <t>4701210012</t>
  </si>
  <si>
    <t>Sorana</t>
  </si>
  <si>
    <t>4701210013</t>
  </si>
  <si>
    <t>Stiappa</t>
  </si>
  <si>
    <t>4701210014</t>
  </si>
  <si>
    <t>Vellano</t>
  </si>
  <si>
    <t>4701226611</t>
  </si>
  <si>
    <t>Via Romana</t>
  </si>
  <si>
    <t>Pian di Sco [AR]</t>
  </si>
  <si>
    <t>5102910001</t>
  </si>
  <si>
    <t>Casa Biondo</t>
  </si>
  <si>
    <t>5102940000</t>
  </si>
  <si>
    <t>Case sparse_54</t>
  </si>
  <si>
    <t>5102926601</t>
  </si>
  <si>
    <t>Caselli</t>
  </si>
  <si>
    <t>5102910002</t>
  </si>
  <si>
    <t>Faella</t>
  </si>
  <si>
    <t>5102910003</t>
  </si>
  <si>
    <t>Matassino</t>
  </si>
  <si>
    <t>5102920007</t>
  </si>
  <si>
    <t>Montalpero</t>
  </si>
  <si>
    <t>5102920003</t>
  </si>
  <si>
    <t>Ontaneto</t>
  </si>
  <si>
    <t>5102920004</t>
  </si>
  <si>
    <t>5102910004</t>
  </si>
  <si>
    <t>Pian di Scò</t>
  </si>
  <si>
    <t>5102920005</t>
  </si>
  <si>
    <t>5102926606</t>
  </si>
  <si>
    <t>Simonti</t>
  </si>
  <si>
    <t>5102910005</t>
  </si>
  <si>
    <t>Vaggio</t>
  </si>
  <si>
    <t>Piancastagnaio [SI]</t>
  </si>
  <si>
    <t>5202026601</t>
  </si>
  <si>
    <t>Capannacce</t>
  </si>
  <si>
    <t>5202026602</t>
  </si>
  <si>
    <t>Casa del Corto</t>
  </si>
  <si>
    <t>5202030005</t>
  </si>
  <si>
    <t>Casa di Paolo</t>
  </si>
  <si>
    <t>5202040000</t>
  </si>
  <si>
    <t>Case sparse_84</t>
  </si>
  <si>
    <t>5202026603</t>
  </si>
  <si>
    <t>5202020005</t>
  </si>
  <si>
    <t>La Valletta</t>
  </si>
  <si>
    <t>5202030002</t>
  </si>
  <si>
    <t>Localitá Casa del Corto</t>
  </si>
  <si>
    <t>5202030004</t>
  </si>
  <si>
    <t>Localitá I Paicci</t>
  </si>
  <si>
    <t>5202030001</t>
  </si>
  <si>
    <t>Localitá la Rota</t>
  </si>
  <si>
    <t>5202030003</t>
  </si>
  <si>
    <t>Localitá Valsacco</t>
  </si>
  <si>
    <t>5202010001</t>
  </si>
  <si>
    <t>Piancastagnaio</t>
  </si>
  <si>
    <t>5202010002</t>
  </si>
  <si>
    <t>Quaranta</t>
  </si>
  <si>
    <t>5202010003</t>
  </si>
  <si>
    <t>Saragiolo</t>
  </si>
  <si>
    <t>5202010004</t>
  </si>
  <si>
    <t>Tre Case</t>
  </si>
  <si>
    <t>Piazza al Serchio [LU]</t>
  </si>
  <si>
    <t>4602310001</t>
  </si>
  <si>
    <t>Borsigliana</t>
  </si>
  <si>
    <t>4602340000</t>
  </si>
  <si>
    <t>Case sparse_262</t>
  </si>
  <si>
    <t>4602326601</t>
  </si>
  <si>
    <t>Cimocroce</t>
  </si>
  <si>
    <t>4602310002</t>
  </si>
  <si>
    <t>Cogna</t>
  </si>
  <si>
    <t>4602320002</t>
  </si>
  <si>
    <t>4602320003</t>
  </si>
  <si>
    <t>Cortia</t>
  </si>
  <si>
    <t>4602310003</t>
  </si>
  <si>
    <t>4602326608</t>
  </si>
  <si>
    <t>4602310004</t>
  </si>
  <si>
    <t>Livignano</t>
  </si>
  <si>
    <t>4602326605</t>
  </si>
  <si>
    <t>Molinello</t>
  </si>
  <si>
    <t>4602310005</t>
  </si>
  <si>
    <t>Nicciano</t>
  </si>
  <si>
    <t>4602310006</t>
  </si>
  <si>
    <t>4602320006</t>
  </si>
  <si>
    <t>Petrognola</t>
  </si>
  <si>
    <t>4602310007</t>
  </si>
  <si>
    <t>Piazza al Serchio-San Michele</t>
  </si>
  <si>
    <t>4602310008</t>
  </si>
  <si>
    <t>4602310009</t>
  </si>
  <si>
    <t>Sant'Anastasio</t>
  </si>
  <si>
    <t>4602320007</t>
  </si>
  <si>
    <t>Vergnano</t>
  </si>
  <si>
    <t>Pienza [SI]</t>
  </si>
  <si>
    <t>5202140000</t>
  </si>
  <si>
    <t>Case sparse_85</t>
  </si>
  <si>
    <t>5202110001</t>
  </si>
  <si>
    <t>Monticchiello</t>
  </si>
  <si>
    <t>5202110002</t>
  </si>
  <si>
    <t>Pienza</t>
  </si>
  <si>
    <t>5202130001</t>
  </si>
  <si>
    <t>Zona P.I.P.-Localitá Fornaci</t>
  </si>
  <si>
    <t>5202130002</t>
  </si>
  <si>
    <t>Zona P.I.P.-Localitá Trieste</t>
  </si>
  <si>
    <t>Pietrasanta [LU]</t>
  </si>
  <si>
    <t>4602426618</t>
  </si>
  <si>
    <t>Arginello</t>
  </si>
  <si>
    <t>4602420001</t>
  </si>
  <si>
    <t>Barcaio</t>
  </si>
  <si>
    <t>4602410005</t>
  </si>
  <si>
    <t>Barcaio I</t>
  </si>
  <si>
    <t>4602420002</t>
  </si>
  <si>
    <t>Bugneta I</t>
  </si>
  <si>
    <t>4602420004</t>
  </si>
  <si>
    <t>Canal d'Oro</t>
  </si>
  <si>
    <t>4602410001</t>
  </si>
  <si>
    <t>Capezzano</t>
  </si>
  <si>
    <t>4602410002</t>
  </si>
  <si>
    <t>Capriglia</t>
  </si>
  <si>
    <t>4602440000</t>
  </si>
  <si>
    <t>Case sparse_263</t>
  </si>
  <si>
    <t>4602420005</t>
  </si>
  <si>
    <t>4602426620</t>
  </si>
  <si>
    <t>Cerro Grosso</t>
  </si>
  <si>
    <t>4602420006</t>
  </si>
  <si>
    <t>Ciocche I</t>
  </si>
  <si>
    <t>4602420007</t>
  </si>
  <si>
    <t>Ciocche II</t>
  </si>
  <si>
    <t>4602420021</t>
  </si>
  <si>
    <t>Fornacione</t>
  </si>
  <si>
    <t>4602420008</t>
  </si>
  <si>
    <t>Marinella</t>
  </si>
  <si>
    <t>4602426716</t>
  </si>
  <si>
    <t>Metati Rossi Alti</t>
  </si>
  <si>
    <t>4602420017</t>
  </si>
  <si>
    <t>Metati Rossi Bassi</t>
  </si>
  <si>
    <t>4602426609</t>
  </si>
  <si>
    <t>Orbachetto</t>
  </si>
  <si>
    <t>4602410003</t>
  </si>
  <si>
    <t>Pietrasanta</t>
  </si>
  <si>
    <t>4602420011</t>
  </si>
  <si>
    <t>Pozzodonico</t>
  </si>
  <si>
    <t>4602420012</t>
  </si>
  <si>
    <t>Saponiera</t>
  </si>
  <si>
    <t>4602410004</t>
  </si>
  <si>
    <t>Strettoia</t>
  </si>
  <si>
    <t>4602420013</t>
  </si>
  <si>
    <t>Vignone</t>
  </si>
  <si>
    <t>4602420014</t>
  </si>
  <si>
    <t>Pieve a Nievole [PT]</t>
  </si>
  <si>
    <t>4701340000</t>
  </si>
  <si>
    <t>Case sparse_287</t>
  </si>
  <si>
    <t>4701326703</t>
  </si>
  <si>
    <t>Falciano</t>
  </si>
  <si>
    <t>4701310003</t>
  </si>
  <si>
    <t>Pieve a Nievole</t>
  </si>
  <si>
    <t>4701326704</t>
  </si>
  <si>
    <t>Porrione</t>
  </si>
  <si>
    <t>4701320005</t>
  </si>
  <si>
    <t>Saette</t>
  </si>
  <si>
    <t>4701320008</t>
  </si>
  <si>
    <t>Vergaiolo</t>
  </si>
  <si>
    <t>Pieve Fosciana [LU]</t>
  </si>
  <si>
    <t>4602540000</t>
  </si>
  <si>
    <t>Case sparse_264</t>
  </si>
  <si>
    <t>4602526702</t>
  </si>
  <si>
    <t>Cipressi</t>
  </si>
  <si>
    <t>4602526603</t>
  </si>
  <si>
    <t>Pellizzana</t>
  </si>
  <si>
    <t>4602510001</t>
  </si>
  <si>
    <t>Pieve Fosciana</t>
  </si>
  <si>
    <t>4602510002</t>
  </si>
  <si>
    <t>Pontecosi</t>
  </si>
  <si>
    <t>4602510003</t>
  </si>
  <si>
    <t>Sillico</t>
  </si>
  <si>
    <t>Pieve Santo Stefano [AR]</t>
  </si>
  <si>
    <t>5103026616</t>
  </si>
  <si>
    <t>Brancialino</t>
  </si>
  <si>
    <t>5103021101</t>
  </si>
  <si>
    <t>Bulciano</t>
  </si>
  <si>
    <t>5103040000</t>
  </si>
  <si>
    <t>Case sparse_55</t>
  </si>
  <si>
    <t>5103026712</t>
  </si>
  <si>
    <t>Castellare</t>
  </si>
  <si>
    <t>5103026614</t>
  </si>
  <si>
    <t>Castelnuovo</t>
  </si>
  <si>
    <t>5103030002</t>
  </si>
  <si>
    <t>Dagnano</t>
  </si>
  <si>
    <t>5103026613</t>
  </si>
  <si>
    <t>Goretto di Formole</t>
  </si>
  <si>
    <t>5103010001</t>
  </si>
  <si>
    <t>Madonnuccia</t>
  </si>
  <si>
    <t>5103020003</t>
  </si>
  <si>
    <t>Mignano</t>
  </si>
  <si>
    <t>5103010002</t>
  </si>
  <si>
    <t>Montalone</t>
  </si>
  <si>
    <t>5103030001</t>
  </si>
  <si>
    <t>Pian di Guido</t>
  </si>
  <si>
    <t>5103010003</t>
  </si>
  <si>
    <t>Pieve Santo Stefano</t>
  </si>
  <si>
    <t>5103026706</t>
  </si>
  <si>
    <t>5103026611</t>
  </si>
  <si>
    <t>Pozzale</t>
  </si>
  <si>
    <t>5103026607</t>
  </si>
  <si>
    <t>Sant'Apollinare</t>
  </si>
  <si>
    <t>5103026608</t>
  </si>
  <si>
    <t>Sigliano</t>
  </si>
  <si>
    <t>5103020009</t>
  </si>
  <si>
    <t>Valdazze</t>
  </si>
  <si>
    <t>5103010004</t>
  </si>
  <si>
    <t>Valsavignone</t>
  </si>
  <si>
    <t>5103026610</t>
  </si>
  <si>
    <t>Ville di Roti</t>
  </si>
  <si>
    <t>Piombino [LI]</t>
  </si>
  <si>
    <t>4901220016</t>
  </si>
  <si>
    <t>Aia di Martino</t>
  </si>
  <si>
    <t>4901220001</t>
  </si>
  <si>
    <t>Baratti</t>
  </si>
  <si>
    <t>4901225818</t>
  </si>
  <si>
    <t>Campeggio Pappasole</t>
  </si>
  <si>
    <t>4901226612</t>
  </si>
  <si>
    <t>Carbonifera</t>
  </si>
  <si>
    <t>4901220007</t>
  </si>
  <si>
    <t>Casavolpi</t>
  </si>
  <si>
    <t>4901240000</t>
  </si>
  <si>
    <t>Case sparse_193</t>
  </si>
  <si>
    <t>4901220002</t>
  </si>
  <si>
    <t>Colmata</t>
  </si>
  <si>
    <t>4901210001</t>
  </si>
  <si>
    <t>Fiorentina</t>
  </si>
  <si>
    <t>4901220008</t>
  </si>
  <si>
    <t>Franciana</t>
  </si>
  <si>
    <t>4901220003</t>
  </si>
  <si>
    <t>Gagno</t>
  </si>
  <si>
    <t>4901230003</t>
  </si>
  <si>
    <t>Ischia di Crociano</t>
  </si>
  <si>
    <t>4901226709</t>
  </si>
  <si>
    <t>La Rinsacca</t>
  </si>
  <si>
    <t>4901220004</t>
  </si>
  <si>
    <t>La Sdriscia</t>
  </si>
  <si>
    <t>4901220011</t>
  </si>
  <si>
    <t>Le Guinzane</t>
  </si>
  <si>
    <t>4901220017</t>
  </si>
  <si>
    <t>Le Scope</t>
  </si>
  <si>
    <t>4901230002</t>
  </si>
  <si>
    <t>Montegemoli</t>
  </si>
  <si>
    <t>4901220010</t>
  </si>
  <si>
    <t>4901220015</t>
  </si>
  <si>
    <t>4901220006</t>
  </si>
  <si>
    <t>Pescinone</t>
  </si>
  <si>
    <t>4901210002</t>
  </si>
  <si>
    <t>Piombino</t>
  </si>
  <si>
    <t>4901220005</t>
  </si>
  <si>
    <t>Populonia</t>
  </si>
  <si>
    <t>4901210003</t>
  </si>
  <si>
    <t>Riotorto</t>
  </si>
  <si>
    <t>4901210004</t>
  </si>
  <si>
    <t>Stazione di Populonia</t>
  </si>
  <si>
    <t>4901230004</t>
  </si>
  <si>
    <t>Torre del sale</t>
  </si>
  <si>
    <t>4901230001</t>
  </si>
  <si>
    <t>Vignale</t>
  </si>
  <si>
    <t>Pisa [PI]</t>
  </si>
  <si>
    <t>5002620003</t>
  </si>
  <si>
    <t>Cascine Nuove</t>
  </si>
  <si>
    <t>5002626705</t>
  </si>
  <si>
    <t>Case Guidotti</t>
  </si>
  <si>
    <t>5002640000</t>
  </si>
  <si>
    <t>Case sparse_12</t>
  </si>
  <si>
    <t>5002630004</t>
  </si>
  <si>
    <t>Castagnolo</t>
  </si>
  <si>
    <t>5002626706</t>
  </si>
  <si>
    <t>Coltano Radio</t>
  </si>
  <si>
    <t>5002626707</t>
  </si>
  <si>
    <t>Corte Vivaldi</t>
  </si>
  <si>
    <t>5002626708</t>
  </si>
  <si>
    <t>Cresam</t>
  </si>
  <si>
    <t>5002630006</t>
  </si>
  <si>
    <t>Darsena</t>
  </si>
  <si>
    <t>5002620021</t>
  </si>
  <si>
    <t>Il Casone</t>
  </si>
  <si>
    <t>5002620011</t>
  </si>
  <si>
    <t>La Punta</t>
  </si>
  <si>
    <t>5002626701</t>
  </si>
  <si>
    <t>L'Argine</t>
  </si>
  <si>
    <t>5002626720</t>
  </si>
  <si>
    <t>Le Rene</t>
  </si>
  <si>
    <t>5002610001</t>
  </si>
  <si>
    <t>Marina di Pisa-Tirrenia-Calambrone</t>
  </si>
  <si>
    <t>5002630005</t>
  </si>
  <si>
    <t>Montacchiello</t>
  </si>
  <si>
    <t>5002630003</t>
  </si>
  <si>
    <t>Ospedaletto-Ex Deta Lazzeri</t>
  </si>
  <si>
    <t>5002630002</t>
  </si>
  <si>
    <t>Ospedaletto-Expo Pisa</t>
  </si>
  <si>
    <t>5002620014</t>
  </si>
  <si>
    <t>Palazzi</t>
  </si>
  <si>
    <t>5002620015</t>
  </si>
  <si>
    <t>Pierdicino</t>
  </si>
  <si>
    <t>5002610002</t>
  </si>
  <si>
    <t>Pisa</t>
  </si>
  <si>
    <t>5002610003</t>
  </si>
  <si>
    <t>Pistoia [PT]</t>
  </si>
  <si>
    <t>4701426601</t>
  </si>
  <si>
    <t>Acqualunga</t>
  </si>
  <si>
    <t>4701426602</t>
  </si>
  <si>
    <t>Aia Vecchia</t>
  </si>
  <si>
    <t>4701410001</t>
  </si>
  <si>
    <t>Arcigliano</t>
  </si>
  <si>
    <t>4701410002</t>
  </si>
  <si>
    <t>Baggio</t>
  </si>
  <si>
    <t>4701420003</t>
  </si>
  <si>
    <t>Belriguardo</t>
  </si>
  <si>
    <t>4701420004</t>
  </si>
  <si>
    <t>4701426605</t>
  </si>
  <si>
    <t>Botro</t>
  </si>
  <si>
    <t>4701426672</t>
  </si>
  <si>
    <t>Bottaia</t>
  </si>
  <si>
    <t>4701426784</t>
  </si>
  <si>
    <t>Burgianico</t>
  </si>
  <si>
    <t>4701420006</t>
  </si>
  <si>
    <t>Bussotto-La Torre</t>
  </si>
  <si>
    <t>4701420007</t>
  </si>
  <si>
    <t>Cacciaia</t>
  </si>
  <si>
    <t>4701426708</t>
  </si>
  <si>
    <t>Caloria</t>
  </si>
  <si>
    <t>4701410003</t>
  </si>
  <si>
    <t>Campiglio</t>
  </si>
  <si>
    <t>4701420009</t>
  </si>
  <si>
    <t>Campopiano</t>
  </si>
  <si>
    <t>4701420010</t>
  </si>
  <si>
    <t>Camporipano</t>
  </si>
  <si>
    <t>4701424911</t>
  </si>
  <si>
    <t>Casa Corrieri</t>
  </si>
  <si>
    <t>4701426612</t>
  </si>
  <si>
    <t>Casa Lotti</t>
  </si>
  <si>
    <t>4701426683</t>
  </si>
  <si>
    <t>4701426713</t>
  </si>
  <si>
    <t>Case Geri</t>
  </si>
  <si>
    <t>4701440000</t>
  </si>
  <si>
    <t>Case sparse_129</t>
  </si>
  <si>
    <t>4701420015</t>
  </si>
  <si>
    <t>Cason dei Giacomelli-La Villa</t>
  </si>
  <si>
    <t>4701410004</t>
  </si>
  <si>
    <t>Cassarese</t>
  </si>
  <si>
    <t>4701426717</t>
  </si>
  <si>
    <t>Cassero</t>
  </si>
  <si>
    <t>4701410005</t>
  </si>
  <si>
    <t>Castagno</t>
  </si>
  <si>
    <t>4701420018</t>
  </si>
  <si>
    <t>Castagno I</t>
  </si>
  <si>
    <t>4701426619</t>
  </si>
  <si>
    <t>Castel Berti</t>
  </si>
  <si>
    <t>4701426720</t>
  </si>
  <si>
    <t>Castel Bolognini</t>
  </si>
  <si>
    <t>4701420021</t>
  </si>
  <si>
    <t>Castel dei Gai</t>
  </si>
  <si>
    <t>4701420022</t>
  </si>
  <si>
    <t>Castel dei Milli</t>
  </si>
  <si>
    <t>4701426723</t>
  </si>
  <si>
    <t>Castel Gargane</t>
  </si>
  <si>
    <t>4701426777</t>
  </si>
  <si>
    <t>Castello dei Fioravanti</t>
  </si>
  <si>
    <t>4701426724</t>
  </si>
  <si>
    <t>Cerchiaio</t>
  </si>
  <si>
    <t>4701420025</t>
  </si>
  <si>
    <t>Ciatti</t>
  </si>
  <si>
    <t>4701410006</t>
  </si>
  <si>
    <t>4701410007</t>
  </si>
  <si>
    <t>Cireglio</t>
  </si>
  <si>
    <t>4701410008</t>
  </si>
  <si>
    <t>Corbezzi</t>
  </si>
  <si>
    <t>4701426627</t>
  </si>
  <si>
    <t>Corsini Bianchi</t>
  </si>
  <si>
    <t>4701426628</t>
  </si>
  <si>
    <t>Corsini Neri</t>
  </si>
  <si>
    <t>4701424929</t>
  </si>
  <si>
    <t>Croce a Uzzo</t>
  </si>
  <si>
    <t>4701420030</t>
  </si>
  <si>
    <t>Cucciano</t>
  </si>
  <si>
    <t>4701420081</t>
  </si>
  <si>
    <t>4701426731</t>
  </si>
  <si>
    <t>4701420032</t>
  </si>
  <si>
    <t>Fabbiana</t>
  </si>
  <si>
    <t>4701420033</t>
  </si>
  <si>
    <t>4701426634</t>
  </si>
  <si>
    <t>4701426635</t>
  </si>
  <si>
    <t>Forra al Pitta</t>
  </si>
  <si>
    <t>4701420036</t>
  </si>
  <si>
    <t>Germinaia</t>
  </si>
  <si>
    <t>4701426638</t>
  </si>
  <si>
    <t>Gragnella</t>
  </si>
  <si>
    <t>4701410009</t>
  </si>
  <si>
    <t>4701426779</t>
  </si>
  <si>
    <t>Il Casale</t>
  </si>
  <si>
    <t>4701420039</t>
  </si>
  <si>
    <t>La Cugna</t>
  </si>
  <si>
    <t>4701410028</t>
  </si>
  <si>
    <t>La Mora</t>
  </si>
  <si>
    <t>4701426640</t>
  </si>
  <si>
    <t>Lanificio</t>
  </si>
  <si>
    <t>4701426642</t>
  </si>
  <si>
    <t>Le Forri</t>
  </si>
  <si>
    <t>4701410010</t>
  </si>
  <si>
    <t>Le Grazie</t>
  </si>
  <si>
    <t>4701410011</t>
  </si>
  <si>
    <t>Le Pozze</t>
  </si>
  <si>
    <t>4701420043</t>
  </si>
  <si>
    <t>Lizzanello</t>
  </si>
  <si>
    <t>4701410012</t>
  </si>
  <si>
    <t>Lupicciano</t>
  </si>
  <si>
    <t>4701420044</t>
  </si>
  <si>
    <t>Mengarone</t>
  </si>
  <si>
    <t>4701420045</t>
  </si>
  <si>
    <t>Monte</t>
  </si>
  <si>
    <t>4701410013</t>
  </si>
  <si>
    <t>Orsigna</t>
  </si>
  <si>
    <t>4701420046</t>
  </si>
  <si>
    <t>Paccosi</t>
  </si>
  <si>
    <t>4701420047</t>
  </si>
  <si>
    <t>Passo della Collina-Collina Vecchia</t>
  </si>
  <si>
    <t>4701420048</t>
  </si>
  <si>
    <t>Pian di Stazzana</t>
  </si>
  <si>
    <t>4701426649</t>
  </si>
  <si>
    <t>4701426686</t>
  </si>
  <si>
    <t>Piano di Giuliano</t>
  </si>
  <si>
    <t>4701410014</t>
  </si>
  <si>
    <t>Piastre</t>
  </si>
  <si>
    <t>4701410015</t>
  </si>
  <si>
    <t>Pistoia</t>
  </si>
  <si>
    <t>4701426750</t>
  </si>
  <si>
    <t>4701410029</t>
  </si>
  <si>
    <t>Ponte alla Stella</t>
  </si>
  <si>
    <t>4701426751</t>
  </si>
  <si>
    <t>Ponte Paoli</t>
  </si>
  <si>
    <t>4701410016</t>
  </si>
  <si>
    <t>Pontepetri</t>
  </si>
  <si>
    <t>4701410017</t>
  </si>
  <si>
    <t>4701410018</t>
  </si>
  <si>
    <t>Pracchia</t>
  </si>
  <si>
    <t>4701420052</t>
  </si>
  <si>
    <t>Prombialla</t>
  </si>
  <si>
    <t>4701410019</t>
  </si>
  <si>
    <t>Pupigliana</t>
  </si>
  <si>
    <t>4701426674</t>
  </si>
  <si>
    <t>Redola dei Giacomelli</t>
  </si>
  <si>
    <t>4701426676</t>
  </si>
  <si>
    <t>Romito e Serpe</t>
  </si>
  <si>
    <t>4701420053</t>
  </si>
  <si>
    <t>Rotone</t>
  </si>
  <si>
    <t>4701410020</t>
  </si>
  <si>
    <t>Sammommè</t>
  </si>
  <si>
    <t>4701410021</t>
  </si>
  <si>
    <t>Sarripoli</t>
  </si>
  <si>
    <t>4701410022</t>
  </si>
  <si>
    <t>Saturnana</t>
  </si>
  <si>
    <t>4701420054</t>
  </si>
  <si>
    <t>Serrantona</t>
  </si>
  <si>
    <t>4701410023</t>
  </si>
  <si>
    <t>Spedaletto</t>
  </si>
  <si>
    <t>4701420055</t>
  </si>
  <si>
    <t>Statigliana</t>
  </si>
  <si>
    <t>4701420056</t>
  </si>
  <si>
    <t>Stazzana</t>
  </si>
  <si>
    <t>4701426657</t>
  </si>
  <si>
    <t>Tani</t>
  </si>
  <si>
    <t>4701410024</t>
  </si>
  <si>
    <t>Torbecchia</t>
  </si>
  <si>
    <t>4701424978</t>
  </si>
  <si>
    <t>Valdi</t>
  </si>
  <si>
    <t>4701410025</t>
  </si>
  <si>
    <t>Valdibrana</t>
  </si>
  <si>
    <t>4701426682</t>
  </si>
  <si>
    <t>Via Loreto e Carraiola</t>
  </si>
  <si>
    <t>4701426685</t>
  </si>
  <si>
    <t>Via Pratale di Bottegone</t>
  </si>
  <si>
    <t>4701410026</t>
  </si>
  <si>
    <t>Villa di Baggio</t>
  </si>
  <si>
    <t>4701420059</t>
  </si>
  <si>
    <t>Villa di Cireglio</t>
  </si>
  <si>
    <t>4701420060</t>
  </si>
  <si>
    <t>Villa di Piteccio</t>
  </si>
  <si>
    <t>4701420064</t>
  </si>
  <si>
    <t>Villaggio del Signorino</t>
  </si>
  <si>
    <t>4701426665</t>
  </si>
  <si>
    <t>4701420067</t>
  </si>
  <si>
    <t>Vivaio</t>
  </si>
  <si>
    <t>4701426687</t>
  </si>
  <si>
    <t>Volte</t>
  </si>
  <si>
    <t>Piteglio [PT]</t>
  </si>
  <si>
    <t>4701510001</t>
  </si>
  <si>
    <t>Calamecca</t>
  </si>
  <si>
    <t>4701520001</t>
  </si>
  <si>
    <t>4701520002</t>
  </si>
  <si>
    <t>Capanne di Sotto</t>
  </si>
  <si>
    <t>4701520003</t>
  </si>
  <si>
    <t>Casa di Monte</t>
  </si>
  <si>
    <t>4701540000</t>
  </si>
  <si>
    <t>Case sparse_130</t>
  </si>
  <si>
    <t>4701520004</t>
  </si>
  <si>
    <t>Cecafumo</t>
  </si>
  <si>
    <t>4701510002</t>
  </si>
  <si>
    <t>Crespole</t>
  </si>
  <si>
    <t>4701510003</t>
  </si>
  <si>
    <t>La Lima</t>
  </si>
  <si>
    <t>4701520007</t>
  </si>
  <si>
    <t>4701520006</t>
  </si>
  <si>
    <t>L'Aiale</t>
  </si>
  <si>
    <t>4701510004</t>
  </si>
  <si>
    <t>Lanciole</t>
  </si>
  <si>
    <t>4701526608</t>
  </si>
  <si>
    <t>Lolle</t>
  </si>
  <si>
    <t>4701520009</t>
  </si>
  <si>
    <t>4701520010</t>
  </si>
  <si>
    <t>Pian del Meo</t>
  </si>
  <si>
    <t>4701526611</t>
  </si>
  <si>
    <t>Piantaglio</t>
  </si>
  <si>
    <t>4701510005</t>
  </si>
  <si>
    <t>Piteglio</t>
  </si>
  <si>
    <t>4701510006</t>
  </si>
  <si>
    <t>Popiglio</t>
  </si>
  <si>
    <t>4701510007</t>
  </si>
  <si>
    <t>4701510008</t>
  </si>
  <si>
    <t>Prunetta</t>
  </si>
  <si>
    <t>Pitigliano [GR]</t>
  </si>
  <si>
    <t>5301940000</t>
  </si>
  <si>
    <t>Case sparse_119</t>
  </si>
  <si>
    <t>5301926601</t>
  </si>
  <si>
    <t>Fonte</t>
  </si>
  <si>
    <t>5301910001</t>
  </si>
  <si>
    <t>5301930001</t>
  </si>
  <si>
    <t>5301910002</t>
  </si>
  <si>
    <t>Pitigliano</t>
  </si>
  <si>
    <t>Podenzana [MS]</t>
  </si>
  <si>
    <t>4501310001</t>
  </si>
  <si>
    <t>Bagni</t>
  </si>
  <si>
    <t>4501320001</t>
  </si>
  <si>
    <t>4501310003</t>
  </si>
  <si>
    <t>Boschetto</t>
  </si>
  <si>
    <t>4501326602</t>
  </si>
  <si>
    <t>Calcinara</t>
  </si>
  <si>
    <t>4501320019</t>
  </si>
  <si>
    <t>Casa Borsi</t>
  </si>
  <si>
    <t>4501340000</t>
  </si>
  <si>
    <t>Case sparse_235</t>
  </si>
  <si>
    <t>4501326604</t>
  </si>
  <si>
    <t>Cereseto</t>
  </si>
  <si>
    <t>4501320005</t>
  </si>
  <si>
    <t>Cerghiraro</t>
  </si>
  <si>
    <t>4501320021</t>
  </si>
  <si>
    <t>Croce-Pianello</t>
  </si>
  <si>
    <t>4501320022</t>
  </si>
  <si>
    <t>Fogana</t>
  </si>
  <si>
    <t>4501320023</t>
  </si>
  <si>
    <t>Genicciola</t>
  </si>
  <si>
    <t>4501326609</t>
  </si>
  <si>
    <t>4501320011</t>
  </si>
  <si>
    <t>Loppiedo</t>
  </si>
  <si>
    <t>4501320012</t>
  </si>
  <si>
    <t>Metti</t>
  </si>
  <si>
    <t>4501310002</t>
  </si>
  <si>
    <t>4501310004</t>
  </si>
  <si>
    <t>Montedivalli-Chiesa</t>
  </si>
  <si>
    <t>4501320024</t>
  </si>
  <si>
    <t>Pagliadiccio</t>
  </si>
  <si>
    <t>4501320026</t>
  </si>
  <si>
    <t>Prato</t>
  </si>
  <si>
    <t>4501320027</t>
  </si>
  <si>
    <t>Serralta</t>
  </si>
  <si>
    <t>4501320028</t>
  </si>
  <si>
    <t>Vaggi</t>
  </si>
  <si>
    <t>Poggibonsi [SI]</t>
  </si>
  <si>
    <t>5202210001</t>
  </si>
  <si>
    <t>5202226733</t>
  </si>
  <si>
    <t>Caduta</t>
  </si>
  <si>
    <t>5202220002</t>
  </si>
  <si>
    <t>Campostaggia</t>
  </si>
  <si>
    <t>5202220034</t>
  </si>
  <si>
    <t>Campotatti</t>
  </si>
  <si>
    <t>5202220003</t>
  </si>
  <si>
    <t>Casastieri</t>
  </si>
  <si>
    <t>5202226604</t>
  </si>
  <si>
    <t>Case Bolzano</t>
  </si>
  <si>
    <t>5202240000</t>
  </si>
  <si>
    <t>Case sparse_86</t>
  </si>
  <si>
    <t>5202220007</t>
  </si>
  <si>
    <t>5202220009</t>
  </si>
  <si>
    <t>Cedda</t>
  </si>
  <si>
    <t>5202220001</t>
  </si>
  <si>
    <t>Drove</t>
  </si>
  <si>
    <t>5202220010</t>
  </si>
  <si>
    <t>Ellerone</t>
  </si>
  <si>
    <t>5202220011</t>
  </si>
  <si>
    <t>Fontana</t>
  </si>
  <si>
    <t>5202226613</t>
  </si>
  <si>
    <t>Gaggiano</t>
  </si>
  <si>
    <t>5202220014</t>
  </si>
  <si>
    <t>5202220015</t>
  </si>
  <si>
    <t>Gruccia</t>
  </si>
  <si>
    <t>5202230001</t>
  </si>
  <si>
    <t>Lago Cepparello</t>
  </si>
  <si>
    <t>5202220016</t>
  </si>
  <si>
    <t>5202226635</t>
  </si>
  <si>
    <t>Lecchi II</t>
  </si>
  <si>
    <t>5202226617</t>
  </si>
  <si>
    <t>Maltraverso</t>
  </si>
  <si>
    <t>5202226636</t>
  </si>
  <si>
    <t>Megognano</t>
  </si>
  <si>
    <t>5202220018</t>
  </si>
  <si>
    <t>Montefalconi</t>
  </si>
  <si>
    <t>5202220019</t>
  </si>
  <si>
    <t>Montelonti</t>
  </si>
  <si>
    <t>5202220020</t>
  </si>
  <si>
    <t>Montemorli</t>
  </si>
  <si>
    <t>5202226737</t>
  </si>
  <si>
    <t>Piandicampi</t>
  </si>
  <si>
    <t>5202226621</t>
  </si>
  <si>
    <t>Piandipini</t>
  </si>
  <si>
    <t>5202220022</t>
  </si>
  <si>
    <t>Pini</t>
  </si>
  <si>
    <t>5202226625</t>
  </si>
  <si>
    <t>Poggi di Villore</t>
  </si>
  <si>
    <t>5202220006</t>
  </si>
  <si>
    <t>Poggiafrati</t>
  </si>
  <si>
    <t>5202220023</t>
  </si>
  <si>
    <t>Poggiagrilli</t>
  </si>
  <si>
    <t>5202220024</t>
  </si>
  <si>
    <t>Poggiarello</t>
  </si>
  <si>
    <t>5202210002</t>
  </si>
  <si>
    <t>Poggibonsi</t>
  </si>
  <si>
    <t>5202220026</t>
  </si>
  <si>
    <t>5202220027</t>
  </si>
  <si>
    <t>San Lucchese</t>
  </si>
  <si>
    <t>5202220028</t>
  </si>
  <si>
    <t>5202226629</t>
  </si>
  <si>
    <t>5202210003</t>
  </si>
  <si>
    <t>Staggia</t>
  </si>
  <si>
    <t>5202220005</t>
  </si>
  <si>
    <t>Strolla</t>
  </si>
  <si>
    <t>5202220030</t>
  </si>
  <si>
    <t>Talciona</t>
  </si>
  <si>
    <t>5202220031</t>
  </si>
  <si>
    <t>Torri</t>
  </si>
  <si>
    <t>5202226632</t>
  </si>
  <si>
    <t>Vivaia</t>
  </si>
  <si>
    <t>5202226638</t>
  </si>
  <si>
    <t>Vivaia II</t>
  </si>
  <si>
    <t>5202226739</t>
  </si>
  <si>
    <t>Volponi</t>
  </si>
  <si>
    <t>Poggio a Caiano [PO]</t>
  </si>
  <si>
    <t>10000440000</t>
  </si>
  <si>
    <t>Case sparse_219</t>
  </si>
  <si>
    <t>10000426701</t>
  </si>
  <si>
    <t>Petraia</t>
  </si>
  <si>
    <t>10000410001</t>
  </si>
  <si>
    <t>10000410002</t>
  </si>
  <si>
    <t>Poggio A Caiano</t>
  </si>
  <si>
    <t>10000426702</t>
  </si>
  <si>
    <t>Santa Cristina in Pilli</t>
  </si>
  <si>
    <t>10000430001</t>
  </si>
  <si>
    <t>Zona Industriale Lombarda</t>
  </si>
  <si>
    <t>Pomarance [PI]</t>
  </si>
  <si>
    <t>5002740000</t>
  </si>
  <si>
    <t>Case sparse_13</t>
  </si>
  <si>
    <t>5002730002</t>
  </si>
  <si>
    <t>Centrale</t>
  </si>
  <si>
    <t>5002720001</t>
  </si>
  <si>
    <t>Fabbriche</t>
  </si>
  <si>
    <t>5002710007</t>
  </si>
  <si>
    <t>Larderello</t>
  </si>
  <si>
    <t>5002710002</t>
  </si>
  <si>
    <t>5002720005</t>
  </si>
  <si>
    <t>Localitá la Facianaia</t>
  </si>
  <si>
    <t>5002710003</t>
  </si>
  <si>
    <t>Lustignano</t>
  </si>
  <si>
    <t>5002710004</t>
  </si>
  <si>
    <t>Micciano</t>
  </si>
  <si>
    <t>5002710005</t>
  </si>
  <si>
    <t>Montecerboli</t>
  </si>
  <si>
    <t>5002710006</t>
  </si>
  <si>
    <t>5002710001</t>
  </si>
  <si>
    <t>Pomarance</t>
  </si>
  <si>
    <t>5002710008</t>
  </si>
  <si>
    <t>5002710009</t>
  </si>
  <si>
    <t>Serrazzano</t>
  </si>
  <si>
    <t>5002726703</t>
  </si>
  <si>
    <t>Sottostazione-Alloggio Terni</t>
  </si>
  <si>
    <t>5002730003</t>
  </si>
  <si>
    <t>Stabilimenti</t>
  </si>
  <si>
    <t>Ponsacco [PI]</t>
  </si>
  <si>
    <t>5002840000</t>
  </si>
  <si>
    <t>Case sparse_14</t>
  </si>
  <si>
    <t>5002810002</t>
  </si>
  <si>
    <t>Ponsacco</t>
  </si>
  <si>
    <t>5002810001</t>
  </si>
  <si>
    <t>Val di Cava</t>
  </si>
  <si>
    <t>Pontassieve [FI]</t>
  </si>
  <si>
    <t>4803310001</t>
  </si>
  <si>
    <t>Acone</t>
  </si>
  <si>
    <t>4803320015</t>
  </si>
  <si>
    <t>Burraia</t>
  </si>
  <si>
    <t>4803326602</t>
  </si>
  <si>
    <t>Case Lori</t>
  </si>
  <si>
    <t>4803340000</t>
  </si>
  <si>
    <t>Case sparse_167</t>
  </si>
  <si>
    <t>4803310002</t>
  </si>
  <si>
    <t>4803320003</t>
  </si>
  <si>
    <t>4803320004</t>
  </si>
  <si>
    <t>Galardo</t>
  </si>
  <si>
    <t>4803320014</t>
  </si>
  <si>
    <t>Ginestre</t>
  </si>
  <si>
    <t>4803320005</t>
  </si>
  <si>
    <t>Lastro</t>
  </si>
  <si>
    <t>4803310003</t>
  </si>
  <si>
    <t>Le Falle</t>
  </si>
  <si>
    <t>4803310004</t>
  </si>
  <si>
    <t>Molino del Piano</t>
  </si>
  <si>
    <t>4803320007</t>
  </si>
  <si>
    <t>Molino Laura</t>
  </si>
  <si>
    <t>4803310005</t>
  </si>
  <si>
    <t>Montebonello</t>
  </si>
  <si>
    <t>4803321108</t>
  </si>
  <si>
    <t>Montefiesole</t>
  </si>
  <si>
    <t>4803310009</t>
  </si>
  <si>
    <t>Monteloro</t>
  </si>
  <si>
    <t>4803310006</t>
  </si>
  <si>
    <t>Pontassieve</t>
  </si>
  <si>
    <t>4803321111</t>
  </si>
  <si>
    <t>4803321112</t>
  </si>
  <si>
    <t>San Martino a Quona</t>
  </si>
  <si>
    <t>4803310007</t>
  </si>
  <si>
    <t>Santa Brigida</t>
  </si>
  <si>
    <t>4803326613</t>
  </si>
  <si>
    <t>Santa Maria Acone</t>
  </si>
  <si>
    <t>4803330001</t>
  </si>
  <si>
    <t>4803310008</t>
  </si>
  <si>
    <t>Sieci</t>
  </si>
  <si>
    <t>Ponte Buggianese [PT]</t>
  </si>
  <si>
    <t>4701620029</t>
  </si>
  <si>
    <t>Albianico</t>
  </si>
  <si>
    <t>4701610001</t>
  </si>
  <si>
    <t>Anchione</t>
  </si>
  <si>
    <t>4701626616</t>
  </si>
  <si>
    <t>Auscello</t>
  </si>
  <si>
    <t>4701626618</t>
  </si>
  <si>
    <t>4701626603</t>
  </si>
  <si>
    <t>Camporcioni</t>
  </si>
  <si>
    <t>4701626728</t>
  </si>
  <si>
    <t>Camporcioni Est</t>
  </si>
  <si>
    <t>4701640000</t>
  </si>
  <si>
    <t>Case sparse_131</t>
  </si>
  <si>
    <t>4701626712</t>
  </si>
  <si>
    <t>Cave</t>
  </si>
  <si>
    <t>4701626724</t>
  </si>
  <si>
    <t>Cerro Vecchio</t>
  </si>
  <si>
    <t>4701620005</t>
  </si>
  <si>
    <t>Colligiana Alta</t>
  </si>
  <si>
    <t>4701626707</t>
  </si>
  <si>
    <t>Colligiana Bassa</t>
  </si>
  <si>
    <t>4701626719</t>
  </si>
  <si>
    <t>Colmate Cerro</t>
  </si>
  <si>
    <t>4701626706</t>
  </si>
  <si>
    <t>4701626621</t>
  </si>
  <si>
    <t>Del Cerro</t>
  </si>
  <si>
    <t>4701626713</t>
  </si>
  <si>
    <t>Delle Prata</t>
  </si>
  <si>
    <t>4701626710</t>
  </si>
  <si>
    <t>4701626726</t>
  </si>
  <si>
    <t>Fosso Morto</t>
  </si>
  <si>
    <t>4701626715</t>
  </si>
  <si>
    <t>4701620020</t>
  </si>
  <si>
    <t>Gremignano</t>
  </si>
  <si>
    <t>4701626627</t>
  </si>
  <si>
    <t>Meazzi</t>
  </si>
  <si>
    <t>4701620017</t>
  </si>
  <si>
    <t>Orto</t>
  </si>
  <si>
    <t>4701626622</t>
  </si>
  <si>
    <t>Piave</t>
  </si>
  <si>
    <t>4701610002</t>
  </si>
  <si>
    <t>Ponte Buggianese</t>
  </si>
  <si>
    <t>4701626709</t>
  </si>
  <si>
    <t>4701626714</t>
  </si>
  <si>
    <t>Ragnaia</t>
  </si>
  <si>
    <t>4701626604</t>
  </si>
  <si>
    <t>Signanese</t>
  </si>
  <si>
    <t>4701626625</t>
  </si>
  <si>
    <t>Traversa Vione</t>
  </si>
  <si>
    <t>4701610003</t>
  </si>
  <si>
    <t>Vione</t>
  </si>
  <si>
    <t>4701620011</t>
  </si>
  <si>
    <t>Volta</t>
  </si>
  <si>
    <t>4701630001</t>
  </si>
  <si>
    <t>Zona Industriale Livornese</t>
  </si>
  <si>
    <t>Pontedera [PI]</t>
  </si>
  <si>
    <t>5002940000</t>
  </si>
  <si>
    <t>Case sparse_15</t>
  </si>
  <si>
    <t>5002910012</t>
  </si>
  <si>
    <t>Contrada Martinelli</t>
  </si>
  <si>
    <t>5002910011</t>
  </si>
  <si>
    <t>5002910002</t>
  </si>
  <si>
    <t>Il Romito</t>
  </si>
  <si>
    <t>5002910003</t>
  </si>
  <si>
    <t>La Borra</t>
  </si>
  <si>
    <t>5002926605</t>
  </si>
  <si>
    <t>La Porzia</t>
  </si>
  <si>
    <t>5002910004</t>
  </si>
  <si>
    <t>La Rotta</t>
  </si>
  <si>
    <t>5002920006</t>
  </si>
  <si>
    <t>Le Cantine</t>
  </si>
  <si>
    <t>5002920004</t>
  </si>
  <si>
    <t>Le Pinete</t>
  </si>
  <si>
    <t>5002920008</t>
  </si>
  <si>
    <t>Magazzini</t>
  </si>
  <si>
    <t>5002910005</t>
  </si>
  <si>
    <t>Montecastello</t>
  </si>
  <si>
    <t>5002910006</t>
  </si>
  <si>
    <t>5002910010</t>
  </si>
  <si>
    <t>Pian dei Meini</t>
  </si>
  <si>
    <t>5002910007</t>
  </si>
  <si>
    <t>Pontedera</t>
  </si>
  <si>
    <t>5002910008</t>
  </si>
  <si>
    <t>5002920009</t>
  </si>
  <si>
    <t>Tiro A Segno</t>
  </si>
  <si>
    <t>5002910009</t>
  </si>
  <si>
    <t>Treggiaia</t>
  </si>
  <si>
    <t>5002920011</t>
  </si>
  <si>
    <t>Via del Pino</t>
  </si>
  <si>
    <t>5002930002</t>
  </si>
  <si>
    <t>Zona Industriale Gello</t>
  </si>
  <si>
    <t>Pontremoli [MS]</t>
  </si>
  <si>
    <t>4501410001</t>
  </si>
  <si>
    <t>Arzelato</t>
  </si>
  <si>
    <t>4501410002</t>
  </si>
  <si>
    <t>Arzengio</t>
  </si>
  <si>
    <t>4501410003</t>
  </si>
  <si>
    <t>Baselica</t>
  </si>
  <si>
    <t>4501410004</t>
  </si>
  <si>
    <t>Bassone</t>
  </si>
  <si>
    <t>4501426601</t>
  </si>
  <si>
    <t>4501420002</t>
  </si>
  <si>
    <t>Braia</t>
  </si>
  <si>
    <t>4501410005</t>
  </si>
  <si>
    <t>Bratto</t>
  </si>
  <si>
    <t>4501426603</t>
  </si>
  <si>
    <t>Caná</t>
  </si>
  <si>
    <t>4501426604</t>
  </si>
  <si>
    <t>4501410006</t>
  </si>
  <si>
    <t>Careola</t>
  </si>
  <si>
    <t>4501410007</t>
  </si>
  <si>
    <t>Cargalla Inferiore</t>
  </si>
  <si>
    <t>4501420005</t>
  </si>
  <si>
    <t>Cargalla Superiore</t>
  </si>
  <si>
    <t>4501410008</t>
  </si>
  <si>
    <t>Casalina</t>
  </si>
  <si>
    <t>4501440000</t>
  </si>
  <si>
    <t>Case sparse_236</t>
  </si>
  <si>
    <t>4501410009</t>
  </si>
  <si>
    <t>Cavezzana d'Antena</t>
  </si>
  <si>
    <t>4501410010</t>
  </si>
  <si>
    <t>Ceretoli</t>
  </si>
  <si>
    <t>4501410011</t>
  </si>
  <si>
    <t>Cervara</t>
  </si>
  <si>
    <t>4501410012</t>
  </si>
  <si>
    <t>Gravagna Montale</t>
  </si>
  <si>
    <t>4501410013</t>
  </si>
  <si>
    <t>Gravagna San Rocco</t>
  </si>
  <si>
    <t>4501410014</t>
  </si>
  <si>
    <t>Grondola</t>
  </si>
  <si>
    <t>4501410015</t>
  </si>
  <si>
    <t>Groppodalosio</t>
  </si>
  <si>
    <t>4501420008</t>
  </si>
  <si>
    <t>4501410016</t>
  </si>
  <si>
    <t>Guinadi</t>
  </si>
  <si>
    <t>4501410017</t>
  </si>
  <si>
    <t>La Colla</t>
  </si>
  <si>
    <t>4501410018</t>
  </si>
  <si>
    <t>Mignegno</t>
  </si>
  <si>
    <t>4501410019</t>
  </si>
  <si>
    <t>4501410020</t>
  </si>
  <si>
    <t>Montelungo</t>
  </si>
  <si>
    <t>4501410021</t>
  </si>
  <si>
    <t>4501420010</t>
  </si>
  <si>
    <t>Navola</t>
  </si>
  <si>
    <t>4501430001</t>
  </si>
  <si>
    <t>Novoleto</t>
  </si>
  <si>
    <t>4501420011</t>
  </si>
  <si>
    <t>Oppilo</t>
  </si>
  <si>
    <t>4501420012</t>
  </si>
  <si>
    <t>Pian di Valle</t>
  </si>
  <si>
    <t>4501420013</t>
  </si>
  <si>
    <t>Pietra Piccata</t>
  </si>
  <si>
    <t>4501420014</t>
  </si>
  <si>
    <t>4501410022</t>
  </si>
  <si>
    <t>Pollina</t>
  </si>
  <si>
    <t>4501420015</t>
  </si>
  <si>
    <t>Ponte Teglia</t>
  </si>
  <si>
    <t>4501410023</t>
  </si>
  <si>
    <t>Pontremoli</t>
  </si>
  <si>
    <t>4501420016</t>
  </si>
  <si>
    <t>Pra' del Prete</t>
  </si>
  <si>
    <t>4501410024</t>
  </si>
  <si>
    <t>Pracchiola</t>
  </si>
  <si>
    <t>4501420017</t>
  </si>
  <si>
    <t>Previdè</t>
  </si>
  <si>
    <t>4501426618</t>
  </si>
  <si>
    <t>Saliceto Belvedere</t>
  </si>
  <si>
    <t>4501420020</t>
  </si>
  <si>
    <t>Santa Giustina</t>
  </si>
  <si>
    <t>4501420024</t>
  </si>
  <si>
    <t>Soglio</t>
  </si>
  <si>
    <t>4501410025</t>
  </si>
  <si>
    <t>Teglia</t>
  </si>
  <si>
    <t>4501424925</t>
  </si>
  <si>
    <t>Toplecca di Sopra</t>
  </si>
  <si>
    <t>4501426634</t>
  </si>
  <si>
    <t>Toplecca di Sotto</t>
  </si>
  <si>
    <t>4501410026</t>
  </si>
  <si>
    <t>Torrano</t>
  </si>
  <si>
    <t>4501426626</t>
  </si>
  <si>
    <t>Traverde</t>
  </si>
  <si>
    <t>4501410027</t>
  </si>
  <si>
    <t>Valle</t>
  </si>
  <si>
    <t>4501420027</t>
  </si>
  <si>
    <t>Versola</t>
  </si>
  <si>
    <t>4501424928</t>
  </si>
  <si>
    <t>Veserada</t>
  </si>
  <si>
    <t>4501410028</t>
  </si>
  <si>
    <t>Vignola</t>
  </si>
  <si>
    <t>4501410029</t>
  </si>
  <si>
    <t>Villa Vecchia</t>
  </si>
  <si>
    <t>Poppi [AR]</t>
  </si>
  <si>
    <t>5103110001</t>
  </si>
  <si>
    <t>Avena</t>
  </si>
  <si>
    <t>5103110008</t>
  </si>
  <si>
    <t>Badia Prataglia</t>
  </si>
  <si>
    <t>5103126601</t>
  </si>
  <si>
    <t>Becarino</t>
  </si>
  <si>
    <t>5103126702</t>
  </si>
  <si>
    <t>Buiano</t>
  </si>
  <si>
    <t>5103120803</t>
  </si>
  <si>
    <t>Camaldoli</t>
  </si>
  <si>
    <t>5103140000</t>
  </si>
  <si>
    <t>Case sparse_56</t>
  </si>
  <si>
    <t>5103120009</t>
  </si>
  <si>
    <t>Fiume d'Isola</t>
  </si>
  <si>
    <t>5103110002</t>
  </si>
  <si>
    <t>Lierna</t>
  </si>
  <si>
    <t>5103110003</t>
  </si>
  <si>
    <t>Memmenano</t>
  </si>
  <si>
    <t>5103110004</t>
  </si>
  <si>
    <t>Moggiona</t>
  </si>
  <si>
    <t>5103110010</t>
  </si>
  <si>
    <t>Ponte a Poppi</t>
  </si>
  <si>
    <t>5103110005</t>
  </si>
  <si>
    <t>Poppi</t>
  </si>
  <si>
    <t>5103130001</t>
  </si>
  <si>
    <t>Porrena</t>
  </si>
  <si>
    <t>5103126606</t>
  </si>
  <si>
    <t>Porrena Alta</t>
  </si>
  <si>
    <t>5103110006</t>
  </si>
  <si>
    <t>Quota</t>
  </si>
  <si>
    <t>5103110009</t>
  </si>
  <si>
    <t>Riosecco</t>
  </si>
  <si>
    <t>5103110007</t>
  </si>
  <si>
    <t>San Martino Tremoleto</t>
  </si>
  <si>
    <t>Porcari [LU]</t>
  </si>
  <si>
    <t>4602626601</t>
  </si>
  <si>
    <t>Bernardini</t>
  </si>
  <si>
    <t>4602640000</t>
  </si>
  <si>
    <t>Case sparse_265</t>
  </si>
  <si>
    <t>4602630002</t>
  </si>
  <si>
    <t>4602610001</t>
  </si>
  <si>
    <t>Fratina</t>
  </si>
  <si>
    <t>4602630001</t>
  </si>
  <si>
    <t>Frizzone</t>
  </si>
  <si>
    <t>4602620002</t>
  </si>
  <si>
    <t>Gigioni</t>
  </si>
  <si>
    <t>4602620003</t>
  </si>
  <si>
    <t>Magazzino</t>
  </si>
  <si>
    <t>4602610002</t>
  </si>
  <si>
    <t>Padule</t>
  </si>
  <si>
    <t>4602620004</t>
  </si>
  <si>
    <t>Palazzo Rosso</t>
  </si>
  <si>
    <t>4602610003</t>
  </si>
  <si>
    <t>Porcari</t>
  </si>
  <si>
    <t>Porto Azzurro [LI]</t>
  </si>
  <si>
    <t>4901340000</t>
  </si>
  <si>
    <t>Case sparse_194</t>
  </si>
  <si>
    <t>4901320001</t>
  </si>
  <si>
    <t>4901310001</t>
  </si>
  <si>
    <t>Porto Azzurro</t>
  </si>
  <si>
    <t>Portoferraio [LI]</t>
  </si>
  <si>
    <t>4901420001</t>
  </si>
  <si>
    <t>Acquabona</t>
  </si>
  <si>
    <t>4901420002</t>
  </si>
  <si>
    <t>4901410001</t>
  </si>
  <si>
    <t>4901420004</t>
  </si>
  <si>
    <t>Campitelle</t>
  </si>
  <si>
    <t>4901420021</t>
  </si>
  <si>
    <t>Campo Ai Peri</t>
  </si>
  <si>
    <t>4901420005</t>
  </si>
  <si>
    <t>Casa del Duca</t>
  </si>
  <si>
    <t>4901440000</t>
  </si>
  <si>
    <t>Case sparse_195</t>
  </si>
  <si>
    <t>4901426725</t>
  </si>
  <si>
    <t>Enfola</t>
  </si>
  <si>
    <t>4901420006</t>
  </si>
  <si>
    <t>Le Foci</t>
  </si>
  <si>
    <t>4901410002</t>
  </si>
  <si>
    <t>4901420023</t>
  </si>
  <si>
    <t>Norsi</t>
  </si>
  <si>
    <t>4901420024</t>
  </si>
  <si>
    <t>Norsi II</t>
  </si>
  <si>
    <t>4901410003</t>
  </si>
  <si>
    <t>Portoferraio</t>
  </si>
  <si>
    <t>4901410004</t>
  </si>
  <si>
    <t>4901420009</t>
  </si>
  <si>
    <t>4901410005</t>
  </si>
  <si>
    <t>Scaglieri</t>
  </si>
  <si>
    <t>4901420010</t>
  </si>
  <si>
    <t>Schiopparello I</t>
  </si>
  <si>
    <t>4901426712</t>
  </si>
  <si>
    <t>Schiopparello III</t>
  </si>
  <si>
    <t>4901420014</t>
  </si>
  <si>
    <t>Schiopparello V</t>
  </si>
  <si>
    <t>4901420020</t>
  </si>
  <si>
    <t>Schiopparello Vi</t>
  </si>
  <si>
    <t>4901420015</t>
  </si>
  <si>
    <t>Scotto</t>
  </si>
  <si>
    <t>4901420016</t>
  </si>
  <si>
    <t>Valcarene</t>
  </si>
  <si>
    <t>4901420018</t>
  </si>
  <si>
    <t>Valle di Lazzaro</t>
  </si>
  <si>
    <t>4901410006</t>
  </si>
  <si>
    <t>Viticcio</t>
  </si>
  <si>
    <t>Prato [PO]</t>
  </si>
  <si>
    <t>10000526601</t>
  </si>
  <si>
    <t>10000526602</t>
  </si>
  <si>
    <t>Carteano</t>
  </si>
  <si>
    <t>10000520006</t>
  </si>
  <si>
    <t>10000540000</t>
  </si>
  <si>
    <t>Case sparse_220</t>
  </si>
  <si>
    <t>10000510001</t>
  </si>
  <si>
    <t>10000510002</t>
  </si>
  <si>
    <t>Filettole</t>
  </si>
  <si>
    <t>10000520007</t>
  </si>
  <si>
    <t>Gonfienti</t>
  </si>
  <si>
    <t>10000526610</t>
  </si>
  <si>
    <t>Le Capanne</t>
  </si>
  <si>
    <t>10000520011</t>
  </si>
  <si>
    <t>10000520004</t>
  </si>
  <si>
    <t>10000510005</t>
  </si>
  <si>
    <t>Le Vanne</t>
  </si>
  <si>
    <t>10000520008</t>
  </si>
  <si>
    <t>Mazzone</t>
  </si>
  <si>
    <t>10000520005</t>
  </si>
  <si>
    <t>Pinzale</t>
  </si>
  <si>
    <t>10000510003</t>
  </si>
  <si>
    <t>Ponte a Tigliano</t>
  </si>
  <si>
    <t>10000520009</t>
  </si>
  <si>
    <t>10000510004</t>
  </si>
  <si>
    <t>10000510006</t>
  </si>
  <si>
    <t>Sant' Ippolito</t>
  </si>
  <si>
    <t>Pratovecchio [AR]</t>
  </si>
  <si>
    <t>5103220001</t>
  </si>
  <si>
    <t>Campolombardo</t>
  </si>
  <si>
    <t>5103210001</t>
  </si>
  <si>
    <t>Casalino</t>
  </si>
  <si>
    <t>5103240000</t>
  </si>
  <si>
    <t>Case sparse_57</t>
  </si>
  <si>
    <t>5103220009</t>
  </si>
  <si>
    <t>Casina Rossa</t>
  </si>
  <si>
    <t>5103220002</t>
  </si>
  <si>
    <t>5103210002</t>
  </si>
  <si>
    <t>Lonnano</t>
  </si>
  <si>
    <t>5103210003</t>
  </si>
  <si>
    <t>Pratovecchio</t>
  </si>
  <si>
    <t>5103230001</t>
  </si>
  <si>
    <t>5103220004</t>
  </si>
  <si>
    <t>Scarpaccia</t>
  </si>
  <si>
    <t>5103220005</t>
  </si>
  <si>
    <t>Tartiglia</t>
  </si>
  <si>
    <t>5103220006</t>
  </si>
  <si>
    <t>Valagnesi</t>
  </si>
  <si>
    <t>5103220008</t>
  </si>
  <si>
    <t>Vallolmo</t>
  </si>
  <si>
    <t>5103220007</t>
  </si>
  <si>
    <t>Quarrata [PT]</t>
  </si>
  <si>
    <t>4701710008</t>
  </si>
  <si>
    <t>Barba</t>
  </si>
  <si>
    <t>4701720001</t>
  </si>
  <si>
    <t>Bavigliano-Case Becagli</t>
  </si>
  <si>
    <t>4701720002</t>
  </si>
  <si>
    <t>Bottegaccia</t>
  </si>
  <si>
    <t>4701710001</t>
  </si>
  <si>
    <t>4701720005</t>
  </si>
  <si>
    <t>Case Dogaia</t>
  </si>
  <si>
    <t>4701726606</t>
  </si>
  <si>
    <t>Case Ferretti</t>
  </si>
  <si>
    <t>4701720035</t>
  </si>
  <si>
    <t>Case Gelli</t>
  </si>
  <si>
    <t>4701720008</t>
  </si>
  <si>
    <t>Case Maraviglia</t>
  </si>
  <si>
    <t>4701726609</t>
  </si>
  <si>
    <t>Case Pierucci</t>
  </si>
  <si>
    <t>4701740000</t>
  </si>
  <si>
    <t>Case sparse_132</t>
  </si>
  <si>
    <t>4701710010</t>
  </si>
  <si>
    <t>Caserana</t>
  </si>
  <si>
    <t>4701726710</t>
  </si>
  <si>
    <t>4701710011</t>
  </si>
  <si>
    <t>4701710012</t>
  </si>
  <si>
    <t>Catena</t>
  </si>
  <si>
    <t>4701726712</t>
  </si>
  <si>
    <t>4701720013</t>
  </si>
  <si>
    <t>4701710002</t>
  </si>
  <si>
    <t>4701710003</t>
  </si>
  <si>
    <t>Forrottoli</t>
  </si>
  <si>
    <t>4701726615</t>
  </si>
  <si>
    <t>Gironi</t>
  </si>
  <si>
    <t>4701726616</t>
  </si>
  <si>
    <t>4701720017</t>
  </si>
  <si>
    <t>La Costaglia</t>
  </si>
  <si>
    <t>4701710013</t>
  </si>
  <si>
    <t>4701720019</t>
  </si>
  <si>
    <t>4701720020</t>
  </si>
  <si>
    <t>Le Passaiole</t>
  </si>
  <si>
    <t>4701710004</t>
  </si>
  <si>
    <t>Lucciano</t>
  </si>
  <si>
    <t>4701726622</t>
  </si>
  <si>
    <t>4701710005</t>
  </si>
  <si>
    <t>4701710006</t>
  </si>
  <si>
    <t>Montorio</t>
  </si>
  <si>
    <t>4701720025</t>
  </si>
  <si>
    <t>Palaie</t>
  </si>
  <si>
    <t>4701726626</t>
  </si>
  <si>
    <t>4701720028</t>
  </si>
  <si>
    <t>Pontassio-Rubattorno</t>
  </si>
  <si>
    <t>4701710007</t>
  </si>
  <si>
    <t>Quarrata</t>
  </si>
  <si>
    <t>4701710014</t>
  </si>
  <si>
    <t>4701710015</t>
  </si>
  <si>
    <t>Santonuovo</t>
  </si>
  <si>
    <t>4701720030</t>
  </si>
  <si>
    <t>Selva Bassa</t>
  </si>
  <si>
    <t>4701720031</t>
  </si>
  <si>
    <t>Tacinaia</t>
  </si>
  <si>
    <t>4701710016</t>
  </si>
  <si>
    <t>Tizzana</t>
  </si>
  <si>
    <t>4701710017</t>
  </si>
  <si>
    <t>Valenzatico</t>
  </si>
  <si>
    <t>4701710018</t>
  </si>
  <si>
    <t>Vignole-Olmi</t>
  </si>
  <si>
    <t>Radda in Chianti [SI]</t>
  </si>
  <si>
    <t>5202320001</t>
  </si>
  <si>
    <t>Badiaccia A Montemuro</t>
  </si>
  <si>
    <t>5202340000</t>
  </si>
  <si>
    <t>Case sparse_87</t>
  </si>
  <si>
    <t>5202326608</t>
  </si>
  <si>
    <t>Castelvecchi</t>
  </si>
  <si>
    <t>5202326607</t>
  </si>
  <si>
    <t>Collepetroso</t>
  </si>
  <si>
    <t>5202320006</t>
  </si>
  <si>
    <t>Lucarelli</t>
  </si>
  <si>
    <t>5202326602</t>
  </si>
  <si>
    <t>5202310002</t>
  </si>
  <si>
    <t>Radda in Chianti</t>
  </si>
  <si>
    <t>5202326603</t>
  </si>
  <si>
    <t>Selvole</t>
  </si>
  <si>
    <t>5202320004</t>
  </si>
  <si>
    <t>5202320005</t>
  </si>
  <si>
    <t>Radicofani [SI]</t>
  </si>
  <si>
    <t>5202440000</t>
  </si>
  <si>
    <t>Case sparse_88</t>
  </si>
  <si>
    <t>5202410001</t>
  </si>
  <si>
    <t>Contignano</t>
  </si>
  <si>
    <t>5202410002</t>
  </si>
  <si>
    <t>Radicofani</t>
  </si>
  <si>
    <t>5202430001</t>
  </si>
  <si>
    <t>Zona Industriale Val di Paglia</t>
  </si>
  <si>
    <t>Radicondoli [SI]</t>
  </si>
  <si>
    <t>5202526601</t>
  </si>
  <si>
    <t>Anqua</t>
  </si>
  <si>
    <t>5202510001</t>
  </si>
  <si>
    <t>Belforte</t>
  </si>
  <si>
    <t>5202540000</t>
  </si>
  <si>
    <t>Case sparse_89</t>
  </si>
  <si>
    <t>5202510002</t>
  </si>
  <si>
    <t>Radicondoli</t>
  </si>
  <si>
    <t>Rapolano Terme [SI]</t>
  </si>
  <si>
    <t>5202610001</t>
  </si>
  <si>
    <t>Armaiolo</t>
  </si>
  <si>
    <t>5202640000</t>
  </si>
  <si>
    <t>Case sparse_90</t>
  </si>
  <si>
    <t>5202626601</t>
  </si>
  <si>
    <t>Ficaiole</t>
  </si>
  <si>
    <t>5202610002</t>
  </si>
  <si>
    <t>Rapolano Terme</t>
  </si>
  <si>
    <t>5202626703</t>
  </si>
  <si>
    <t>Selvapiana</t>
  </si>
  <si>
    <t>5202610003</t>
  </si>
  <si>
    <t>Serre di Rapolano</t>
  </si>
  <si>
    <t>5202630001</t>
  </si>
  <si>
    <t>Zona Industriale Sentino</t>
  </si>
  <si>
    <t>Reggello [FI]</t>
  </si>
  <si>
    <t>4803520001</t>
  </si>
  <si>
    <t>Borgo a Cascia</t>
  </si>
  <si>
    <t>4803510001</t>
  </si>
  <si>
    <t>Cancelli</t>
  </si>
  <si>
    <t>4803520002</t>
  </si>
  <si>
    <t>4803524918</t>
  </si>
  <si>
    <t>Cascina Nuova</t>
  </si>
  <si>
    <t>4803540000</t>
  </si>
  <si>
    <t>Case sparse_168</t>
  </si>
  <si>
    <t>4803520003</t>
  </si>
  <si>
    <t>4803510002</t>
  </si>
  <si>
    <t>Ciliegi</t>
  </si>
  <si>
    <t>4803510003</t>
  </si>
  <si>
    <t>Donnini</t>
  </si>
  <si>
    <t>4803520004</t>
  </si>
  <si>
    <t>Fano</t>
  </si>
  <si>
    <t>4803526705</t>
  </si>
  <si>
    <t>Ferraia</t>
  </si>
  <si>
    <t>4803510004</t>
  </si>
  <si>
    <t>Fornaci Incisa</t>
  </si>
  <si>
    <t>4803510005</t>
  </si>
  <si>
    <t>4803510006</t>
  </si>
  <si>
    <t>4803510007</t>
  </si>
  <si>
    <t>Montanino</t>
  </si>
  <si>
    <t>4803520006</t>
  </si>
  <si>
    <t>Ostina</t>
  </si>
  <si>
    <t>4803530002</t>
  </si>
  <si>
    <t>Pian di Rona</t>
  </si>
  <si>
    <t>4803530001</t>
  </si>
  <si>
    <t>Piani della Rugginosa</t>
  </si>
  <si>
    <t>4803510008</t>
  </si>
  <si>
    <t>Pietrapiana</t>
  </si>
  <si>
    <t>4803520007</t>
  </si>
  <si>
    <t>Poggio ai Giubbiani</t>
  </si>
  <si>
    <t>4803520009</t>
  </si>
  <si>
    <t>Prulli di Sopra</t>
  </si>
  <si>
    <t>4803520010</t>
  </si>
  <si>
    <t>Prulli di Sotto</t>
  </si>
  <si>
    <t>4803510009</t>
  </si>
  <si>
    <t>Reggello</t>
  </si>
  <si>
    <t>4803526711</t>
  </si>
  <si>
    <t>Riscaggio</t>
  </si>
  <si>
    <t>4803510010</t>
  </si>
  <si>
    <t>Saltino</t>
  </si>
  <si>
    <t>4803510011</t>
  </si>
  <si>
    <t>San Clemente</t>
  </si>
  <si>
    <t>4803510012</t>
  </si>
  <si>
    <t>San Donato Fronzano</t>
  </si>
  <si>
    <t>4803520012</t>
  </si>
  <si>
    <t>San Giovenale</t>
  </si>
  <si>
    <t>4803510013</t>
  </si>
  <si>
    <t>4803520014</t>
  </si>
  <si>
    <t>Tallini</t>
  </si>
  <si>
    <t>4803510014</t>
  </si>
  <si>
    <t>Tosi</t>
  </si>
  <si>
    <t>4803510015</t>
  </si>
  <si>
    <t>4803510017</t>
  </si>
  <si>
    <t>Vallombrosa</t>
  </si>
  <si>
    <t>4803520016</t>
  </si>
  <si>
    <t>Rignano sull'Arno [FI]</t>
  </si>
  <si>
    <t>4803610001</t>
  </si>
  <si>
    <t>Bombone</t>
  </si>
  <si>
    <t>4803640000</t>
  </si>
  <si>
    <t>Case sparse_169</t>
  </si>
  <si>
    <t>4803620001</t>
  </si>
  <si>
    <t>Cellai</t>
  </si>
  <si>
    <t>4803626702</t>
  </si>
  <si>
    <t>La Chiocciola</t>
  </si>
  <si>
    <t>4803620012</t>
  </si>
  <si>
    <t>La Felce</t>
  </si>
  <si>
    <t>4803620003</t>
  </si>
  <si>
    <t>4803620004</t>
  </si>
  <si>
    <t>4803610002</t>
  </si>
  <si>
    <t>4803630002</t>
  </si>
  <si>
    <t>Molinuzzo</t>
  </si>
  <si>
    <t>4803626605</t>
  </si>
  <si>
    <t>Montecucco</t>
  </si>
  <si>
    <t>4803630001</t>
  </si>
  <si>
    <t>Pian dell'Isola</t>
  </si>
  <si>
    <t>4803610003</t>
  </si>
  <si>
    <t>Rignano sull'Arno</t>
  </si>
  <si>
    <t>4803610004</t>
  </si>
  <si>
    <t>Rosano</t>
  </si>
  <si>
    <t>4803610005</t>
  </si>
  <si>
    <t>4803620006</t>
  </si>
  <si>
    <t>4803620007</t>
  </si>
  <si>
    <t>4803620008</t>
  </si>
  <si>
    <t>4803620009</t>
  </si>
  <si>
    <t>Sarnese</t>
  </si>
  <si>
    <t>4803626710</t>
  </si>
  <si>
    <t>Torre Giulia</t>
  </si>
  <si>
    <t>4803610006</t>
  </si>
  <si>
    <t>4803610007</t>
  </si>
  <si>
    <t>Troghi</t>
  </si>
  <si>
    <t>4803626611</t>
  </si>
  <si>
    <t>Volognano</t>
  </si>
  <si>
    <t>Rio Marina [LI]</t>
  </si>
  <si>
    <t>4901510001</t>
  </si>
  <si>
    <t>Capo d'Arco</t>
  </si>
  <si>
    <t>4901540000</t>
  </si>
  <si>
    <t>Case sparse_196</t>
  </si>
  <si>
    <t>4901510002</t>
  </si>
  <si>
    <t>Cavo</t>
  </si>
  <si>
    <t>4901520003</t>
  </si>
  <si>
    <t>Il Piano-San Francesco</t>
  </si>
  <si>
    <t>4901526604</t>
  </si>
  <si>
    <t>4901510003</t>
  </si>
  <si>
    <t>Ortano</t>
  </si>
  <si>
    <t>4901510004</t>
  </si>
  <si>
    <t>Rio Marina</t>
  </si>
  <si>
    <t>4901520002</t>
  </si>
  <si>
    <t>Vigneria</t>
  </si>
  <si>
    <t>4901520001</t>
  </si>
  <si>
    <t>Villaggio Togliatti</t>
  </si>
  <si>
    <t>Rio nell'Elba [LI]</t>
  </si>
  <si>
    <t>4901610001</t>
  </si>
  <si>
    <t>4901640000</t>
  </si>
  <si>
    <t>Case sparse_197</t>
  </si>
  <si>
    <t>4901620003</t>
  </si>
  <si>
    <t>4901626702</t>
  </si>
  <si>
    <t>Nisportino</t>
  </si>
  <si>
    <t>4901626701</t>
  </si>
  <si>
    <t>Nisporto</t>
  </si>
  <si>
    <t>4901610002</t>
  </si>
  <si>
    <t>Rio nell'Elba</t>
  </si>
  <si>
    <t>Riparbella [PI]</t>
  </si>
  <si>
    <t>5003026605</t>
  </si>
  <si>
    <t>Acquerta</t>
  </si>
  <si>
    <t>5003040000</t>
  </si>
  <si>
    <t>Case sparse_16</t>
  </si>
  <si>
    <t>5003020002</t>
  </si>
  <si>
    <t>Fagiolaia</t>
  </si>
  <si>
    <t>5003026604</t>
  </si>
  <si>
    <t>Fagiolaia I</t>
  </si>
  <si>
    <t>5003010001</t>
  </si>
  <si>
    <t>Riparbella</t>
  </si>
  <si>
    <t>5003020003</t>
  </si>
  <si>
    <t>Roccalbegna [GR]</t>
  </si>
  <si>
    <t>5302010001</t>
  </si>
  <si>
    <t>Cana</t>
  </si>
  <si>
    <t>5302026601</t>
  </si>
  <si>
    <t>Case Galli</t>
  </si>
  <si>
    <t>5302040000</t>
  </si>
  <si>
    <t>Case sparse_120</t>
  </si>
  <si>
    <t>5302020002</t>
  </si>
  <si>
    <t>Il Cecio</t>
  </si>
  <si>
    <t>5302026703</t>
  </si>
  <si>
    <t>La Croce</t>
  </si>
  <si>
    <t>5302010002</t>
  </si>
  <si>
    <t>Roccalbegna</t>
  </si>
  <si>
    <t>5302010003</t>
  </si>
  <si>
    <t>Santa Caterina</t>
  </si>
  <si>
    <t>5302020004</t>
  </si>
  <si>
    <t>Triana</t>
  </si>
  <si>
    <t>5302010004</t>
  </si>
  <si>
    <t>Vallerona</t>
  </si>
  <si>
    <t>Roccastrada [GR]</t>
  </si>
  <si>
    <t>5302140000</t>
  </si>
  <si>
    <t>Case sparse_121</t>
  </si>
  <si>
    <t>5302120002</t>
  </si>
  <si>
    <t>5302120007</t>
  </si>
  <si>
    <t>I Laschi</t>
  </si>
  <si>
    <t>5302126603</t>
  </si>
  <si>
    <t>Il Poggiolo</t>
  </si>
  <si>
    <t>5302120004</t>
  </si>
  <si>
    <t>Il Terzo</t>
  </si>
  <si>
    <t>5302120005</t>
  </si>
  <si>
    <t>5302126706</t>
  </si>
  <si>
    <t>Montelattaia</t>
  </si>
  <si>
    <t>5302110001</t>
  </si>
  <si>
    <t>Montemassi</t>
  </si>
  <si>
    <t>5302110002</t>
  </si>
  <si>
    <t>Piloni</t>
  </si>
  <si>
    <t>5302110003</t>
  </si>
  <si>
    <t>Ribolla</t>
  </si>
  <si>
    <t>5302110004</t>
  </si>
  <si>
    <t>Roccastrada</t>
  </si>
  <si>
    <t>5302110005</t>
  </si>
  <si>
    <t>Roccatederighi</t>
  </si>
  <si>
    <t>5302110006</t>
  </si>
  <si>
    <t>Sassofortino</t>
  </si>
  <si>
    <t>5302110007</t>
  </si>
  <si>
    <t>Sticciano</t>
  </si>
  <si>
    <t>5302110008</t>
  </si>
  <si>
    <t>Sticciano Scalo</t>
  </si>
  <si>
    <t>5302110009</t>
  </si>
  <si>
    <t>Torniella</t>
  </si>
  <si>
    <t>Rosignano Marittimo [LI]</t>
  </si>
  <si>
    <t>4901726601</t>
  </si>
  <si>
    <t>4901726703</t>
  </si>
  <si>
    <t>4901740000</t>
  </si>
  <si>
    <t>Case sparse_198</t>
  </si>
  <si>
    <t>4901710001</t>
  </si>
  <si>
    <t>Castelnuovo Misericordia</t>
  </si>
  <si>
    <t>4901710002</t>
  </si>
  <si>
    <t>Chioma</t>
  </si>
  <si>
    <t>4901726710</t>
  </si>
  <si>
    <t>Fiammetta</t>
  </si>
  <si>
    <t>4901730001</t>
  </si>
  <si>
    <t>Fornace Serredi</t>
  </si>
  <si>
    <t>4901710003</t>
  </si>
  <si>
    <t>Gabbro</t>
  </si>
  <si>
    <t>4901726708</t>
  </si>
  <si>
    <t>I Due Casoni</t>
  </si>
  <si>
    <t>4901720004</t>
  </si>
  <si>
    <t>Il Giardino</t>
  </si>
  <si>
    <t>4901726605</t>
  </si>
  <si>
    <t>Malavolta</t>
  </si>
  <si>
    <t>4901710004</t>
  </si>
  <si>
    <t>4901710005</t>
  </si>
  <si>
    <t>Nibbiaia</t>
  </si>
  <si>
    <t>4901720006</t>
  </si>
  <si>
    <t>Polveroni</t>
  </si>
  <si>
    <t>4901710006</t>
  </si>
  <si>
    <t>Rosignano Marittimo</t>
  </si>
  <si>
    <t>4901710007</t>
  </si>
  <si>
    <t>Rosignano Solvay-Castiglioncello</t>
  </si>
  <si>
    <t>4901726607</t>
  </si>
  <si>
    <t>Sovita</t>
  </si>
  <si>
    <t>4901720011</t>
  </si>
  <si>
    <t>Stregonie</t>
  </si>
  <si>
    <t>4901710008</t>
  </si>
  <si>
    <t>Vada</t>
  </si>
  <si>
    <t>Rufina [FI]</t>
  </si>
  <si>
    <t>4803720001</t>
  </si>
  <si>
    <t>Borgo in Pinzano</t>
  </si>
  <si>
    <t>4803740000</t>
  </si>
  <si>
    <t>Case sparse_170</t>
  </si>
  <si>
    <t>4803720007</t>
  </si>
  <si>
    <t>Casi</t>
  </si>
  <si>
    <t>4803720002</t>
  </si>
  <si>
    <t>4803720003</t>
  </si>
  <si>
    <t>Castel Nuovo</t>
  </si>
  <si>
    <t>4803726606</t>
  </si>
  <si>
    <t>4803710001</t>
  </si>
  <si>
    <t>Contea</t>
  </si>
  <si>
    <t>4803710002</t>
  </si>
  <si>
    <t>Falgano</t>
  </si>
  <si>
    <t>4803726708</t>
  </si>
  <si>
    <t>Masseto</t>
  </si>
  <si>
    <t>4803726609</t>
  </si>
  <si>
    <t>Metamorli</t>
  </si>
  <si>
    <t>4803710003</t>
  </si>
  <si>
    <t>Pomino</t>
  </si>
  <si>
    <t>4803720004</t>
  </si>
  <si>
    <t>4803710004</t>
  </si>
  <si>
    <t>Rufina</t>
  </si>
  <si>
    <t>4803710005</t>
  </si>
  <si>
    <t>Scopeti</t>
  </si>
  <si>
    <t>4803720010</t>
  </si>
  <si>
    <t>4803710006</t>
  </si>
  <si>
    <t>Turicchi</t>
  </si>
  <si>
    <t>Sambuca Pistoiese [PT]</t>
  </si>
  <si>
    <t>4701810001</t>
  </si>
  <si>
    <t>Bellavalle</t>
  </si>
  <si>
    <t>4701810002</t>
  </si>
  <si>
    <t>4701820003</t>
  </si>
  <si>
    <t>4701820006</t>
  </si>
  <si>
    <t>Casa Morotti</t>
  </si>
  <si>
    <t>4701820007</t>
  </si>
  <si>
    <t>Case Bezzi</t>
  </si>
  <si>
    <t>4701840000</t>
  </si>
  <si>
    <t>Case sparse_133</t>
  </si>
  <si>
    <t>4701820008</t>
  </si>
  <si>
    <t>Casoni</t>
  </si>
  <si>
    <t>4701820027</t>
  </si>
  <si>
    <t>Castello di Sambuca</t>
  </si>
  <si>
    <t>4701820009</t>
  </si>
  <si>
    <t>4701820010</t>
  </si>
  <si>
    <t>Docciola</t>
  </si>
  <si>
    <t>4701820011</t>
  </si>
  <si>
    <t>Fondamento</t>
  </si>
  <si>
    <t>4701810003</t>
  </si>
  <si>
    <t>Frassignoni</t>
  </si>
  <si>
    <t>4701826612</t>
  </si>
  <si>
    <t>4701810004</t>
  </si>
  <si>
    <t>4701810005</t>
  </si>
  <si>
    <t>Lagacci</t>
  </si>
  <si>
    <t>4701820026</t>
  </si>
  <si>
    <t>Lentula</t>
  </si>
  <si>
    <t>4701810006</t>
  </si>
  <si>
    <t>Molino del Pallone</t>
  </si>
  <si>
    <t>4701820013</t>
  </si>
  <si>
    <t>Monachino</t>
  </si>
  <si>
    <t>4701810007</t>
  </si>
  <si>
    <t>Pavana</t>
  </si>
  <si>
    <t>4701826614</t>
  </si>
  <si>
    <t>Pian di Campo</t>
  </si>
  <si>
    <t>4701810008</t>
  </si>
  <si>
    <t>Ponte della Venturina</t>
  </si>
  <si>
    <t>4701820015</t>
  </si>
  <si>
    <t>Posola</t>
  </si>
  <si>
    <t>4701810009</t>
  </si>
  <si>
    <t>4701820017</t>
  </si>
  <si>
    <t>Stabiazzoni</t>
  </si>
  <si>
    <t>4701810010</t>
  </si>
  <si>
    <t>Taviano</t>
  </si>
  <si>
    <t>4701810011</t>
  </si>
  <si>
    <t>4701810012</t>
  </si>
  <si>
    <t>Treppio</t>
  </si>
  <si>
    <t>San Casciano dei Bagni [SI]</t>
  </si>
  <si>
    <t>5202740000</t>
  </si>
  <si>
    <t>Case sparse_91</t>
  </si>
  <si>
    <t>5202710001</t>
  </si>
  <si>
    <t>Celle sul Rigo</t>
  </si>
  <si>
    <t>5202724901</t>
  </si>
  <si>
    <t>Fighine</t>
  </si>
  <si>
    <t>5202710002</t>
  </si>
  <si>
    <t>Palazzone</t>
  </si>
  <si>
    <t>5202720002</t>
  </si>
  <si>
    <t>Ponte A Rigo</t>
  </si>
  <si>
    <t>5202710003</t>
  </si>
  <si>
    <t>San Casciano dei Bagni</t>
  </si>
  <si>
    <t>5202726603</t>
  </si>
  <si>
    <t>Sasso</t>
  </si>
  <si>
    <t>5202720005</t>
  </si>
  <si>
    <t>5202720004</t>
  </si>
  <si>
    <t>Stabbiano di Sotto</t>
  </si>
  <si>
    <t>5202724806</t>
  </si>
  <si>
    <t>Stabilimento Termale</t>
  </si>
  <si>
    <t>5202730001</t>
  </si>
  <si>
    <t>Val di Paglia</t>
  </si>
  <si>
    <t>San Casciano in Val di Pesa [FI]</t>
  </si>
  <si>
    <t>4803810001</t>
  </si>
  <si>
    <t>Bargino</t>
  </si>
  <si>
    <t>4803820001</t>
  </si>
  <si>
    <t>4803820002</t>
  </si>
  <si>
    <t>Calzaiolo</t>
  </si>
  <si>
    <t>4803840000</t>
  </si>
  <si>
    <t>Case sparse_171</t>
  </si>
  <si>
    <t>4803810002</t>
  </si>
  <si>
    <t>4803810003</t>
  </si>
  <si>
    <t>4803826603</t>
  </si>
  <si>
    <t>Croce di Via</t>
  </si>
  <si>
    <t>4803826604</t>
  </si>
  <si>
    <t>4803820005</t>
  </si>
  <si>
    <t>4803820006</t>
  </si>
  <si>
    <t>Le Quattro Strade</t>
  </si>
  <si>
    <t>4803810004</t>
  </si>
  <si>
    <t>4803820007</t>
  </si>
  <si>
    <t>Montecapri</t>
  </si>
  <si>
    <t>4803810005</t>
  </si>
  <si>
    <t>Montefiridolfi</t>
  </si>
  <si>
    <t>4803826708</t>
  </si>
  <si>
    <t>Mulino di Sugana</t>
  </si>
  <si>
    <t>4803826609</t>
  </si>
  <si>
    <t>Paolini</t>
  </si>
  <si>
    <t>4803830001</t>
  </si>
  <si>
    <t>Ponte Rotto</t>
  </si>
  <si>
    <t>4803820010</t>
  </si>
  <si>
    <t>4803810006</t>
  </si>
  <si>
    <t>Romola</t>
  </si>
  <si>
    <t>4803810007</t>
  </si>
  <si>
    <t>San Casciano in Val di Pesa</t>
  </si>
  <si>
    <t>4803826611</t>
  </si>
  <si>
    <t>San Fabiano</t>
  </si>
  <si>
    <t>4803810008</t>
  </si>
  <si>
    <t>4803820012</t>
  </si>
  <si>
    <t>Sant'Andrea in Percussina</t>
  </si>
  <si>
    <t>4803826613</t>
  </si>
  <si>
    <t>4803820014</t>
  </si>
  <si>
    <t>Senecchiolo</t>
  </si>
  <si>
    <t>4803810009</t>
  </si>
  <si>
    <t>4803820015</t>
  </si>
  <si>
    <t>Talente</t>
  </si>
  <si>
    <t>4803826716</t>
  </si>
  <si>
    <t>Valigondoli</t>
  </si>
  <si>
    <t>San Gimignano [SI]</t>
  </si>
  <si>
    <t>5202810001</t>
  </si>
  <si>
    <t>Badia A Elmi</t>
  </si>
  <si>
    <t>5202840000</t>
  </si>
  <si>
    <t>Case sparse_92</t>
  </si>
  <si>
    <t>5202810002</t>
  </si>
  <si>
    <t>5202830001</t>
  </si>
  <si>
    <t>Cusona</t>
  </si>
  <si>
    <t>5202826601</t>
  </si>
  <si>
    <t>5202820002</t>
  </si>
  <si>
    <t>Monteoliveto</t>
  </si>
  <si>
    <t>5202810003</t>
  </si>
  <si>
    <t>Pancole</t>
  </si>
  <si>
    <t>5202826603</t>
  </si>
  <si>
    <t>5202810004</t>
  </si>
  <si>
    <t>San Gimignano</t>
  </si>
  <si>
    <t>5202810005</t>
  </si>
  <si>
    <t>5202810006</t>
  </si>
  <si>
    <t>Ulignano</t>
  </si>
  <si>
    <t>San Giovanni d'Asso [SI]</t>
  </si>
  <si>
    <t>5202940000</t>
  </si>
  <si>
    <t>Case sparse_93</t>
  </si>
  <si>
    <t>5202920002</t>
  </si>
  <si>
    <t>Monterongriffoli</t>
  </si>
  <si>
    <t>5202910001</t>
  </si>
  <si>
    <t>Montisi</t>
  </si>
  <si>
    <t>5202910002</t>
  </si>
  <si>
    <t>San Giovanni d'Asso</t>
  </si>
  <si>
    <t>San Giovanni Valdarno [AR]</t>
  </si>
  <si>
    <t>5103310003</t>
  </si>
  <si>
    <t>Badiola I</t>
  </si>
  <si>
    <t>5103326701</t>
  </si>
  <si>
    <t>Badiola II</t>
  </si>
  <si>
    <t>5103340000</t>
  </si>
  <si>
    <t>Case sparse_58</t>
  </si>
  <si>
    <t>5103310001</t>
  </si>
  <si>
    <t>San Giovanni Valdarno</t>
  </si>
  <si>
    <t>5103310002</t>
  </si>
  <si>
    <t>5103326702</t>
  </si>
  <si>
    <t>Vacchereccia Fattoria</t>
  </si>
  <si>
    <t>San Giuliano Terme [PI]</t>
  </si>
  <si>
    <t>5003110001</t>
  </si>
  <si>
    <t>Agnano</t>
  </si>
  <si>
    <t>5003126624</t>
  </si>
  <si>
    <t>Al Simonelli</t>
  </si>
  <si>
    <t>5003126709</t>
  </si>
  <si>
    <t>Al Simonelli Ovest</t>
  </si>
  <si>
    <t>5003126645</t>
  </si>
  <si>
    <t>Albavola</t>
  </si>
  <si>
    <t>5003110019</t>
  </si>
  <si>
    <t>Arena</t>
  </si>
  <si>
    <t>5003110003</t>
  </si>
  <si>
    <t>5003110033</t>
  </si>
  <si>
    <t>Cafaggiareggi</t>
  </si>
  <si>
    <t>5003110004</t>
  </si>
  <si>
    <t>5003110021</t>
  </si>
  <si>
    <t>Cardeta</t>
  </si>
  <si>
    <t>5003126701</t>
  </si>
  <si>
    <t>Cardeta Est</t>
  </si>
  <si>
    <t>5003120002</t>
  </si>
  <si>
    <t>Carraia Nord</t>
  </si>
  <si>
    <t>5003140000</t>
  </si>
  <si>
    <t>Case sparse_17</t>
  </si>
  <si>
    <t>5003120017</t>
  </si>
  <si>
    <t>5003110005</t>
  </si>
  <si>
    <t>5003120042</t>
  </si>
  <si>
    <t>Corliano</t>
  </si>
  <si>
    <t>5003126631</t>
  </si>
  <si>
    <t>Gatano</t>
  </si>
  <si>
    <t>5003110006</t>
  </si>
  <si>
    <t>5003126706</t>
  </si>
  <si>
    <t>5003110022</t>
  </si>
  <si>
    <t>Le Maggiola</t>
  </si>
  <si>
    <t>5003120032</t>
  </si>
  <si>
    <t>Le Maggiola Nord</t>
  </si>
  <si>
    <t>5003126620</t>
  </si>
  <si>
    <t>Le Maggiola Ovest</t>
  </si>
  <si>
    <t>5003110007</t>
  </si>
  <si>
    <t>Madonna dell'Acqua</t>
  </si>
  <si>
    <t>5003130003</t>
  </si>
  <si>
    <t>Martraverso</t>
  </si>
  <si>
    <t>5003110020</t>
  </si>
  <si>
    <t>5003110008</t>
  </si>
  <si>
    <t>Mezzana-Colignola</t>
  </si>
  <si>
    <t>5003110036</t>
  </si>
  <si>
    <t>5003120011</t>
  </si>
  <si>
    <t>Monsello</t>
  </si>
  <si>
    <t>5003110031</t>
  </si>
  <si>
    <t>Orzignano</t>
  </si>
  <si>
    <t>5003110037</t>
  </si>
  <si>
    <t>5003110024</t>
  </si>
  <si>
    <t>5003110025</t>
  </si>
  <si>
    <t>Piaggia</t>
  </si>
  <si>
    <t>5003110034</t>
  </si>
  <si>
    <t>Pontasserchio</t>
  </si>
  <si>
    <t>5003110026</t>
  </si>
  <si>
    <t>Ponte d'Oro</t>
  </si>
  <si>
    <t>5003110010</t>
  </si>
  <si>
    <t>5003110011</t>
  </si>
  <si>
    <t>Ripafratta-Farneta</t>
  </si>
  <si>
    <t>5003110012</t>
  </si>
  <si>
    <t>San Giuliano Terme</t>
  </si>
  <si>
    <t>5003126623</t>
  </si>
  <si>
    <t>San Iacopo</t>
  </si>
  <si>
    <t>5003130002</t>
  </si>
  <si>
    <t>5003110035</t>
  </si>
  <si>
    <t>Sant'Andrea in Pescaiola</t>
  </si>
  <si>
    <t>5003120027</t>
  </si>
  <si>
    <t>Tre Ponti</t>
  </si>
  <si>
    <t>San Godenzo [FI]</t>
  </si>
  <si>
    <t>4803910001</t>
  </si>
  <si>
    <t>4803940000</t>
  </si>
  <si>
    <t>Case sparse_172</t>
  </si>
  <si>
    <t>4803920001</t>
  </si>
  <si>
    <t>4803910002</t>
  </si>
  <si>
    <t>Il Castagno d'Andrea</t>
  </si>
  <si>
    <t>4803926603</t>
  </si>
  <si>
    <t>Lo Specchio</t>
  </si>
  <si>
    <t>4803920005</t>
  </si>
  <si>
    <t>4803910003</t>
  </si>
  <si>
    <t>San Bavello</t>
  </si>
  <si>
    <t>4803910004</t>
  </si>
  <si>
    <t>San Godenzo</t>
  </si>
  <si>
    <t>San Marcello Pistoiese [PT]</t>
  </si>
  <si>
    <t>4701926601</t>
  </si>
  <si>
    <t>Campo Magno</t>
  </si>
  <si>
    <t>4701910001</t>
  </si>
  <si>
    <t>Campo Tizzoro</t>
  </si>
  <si>
    <t>4701920002</t>
  </si>
  <si>
    <t>Case Bizzarri</t>
  </si>
  <si>
    <t>4701926603</t>
  </si>
  <si>
    <t>Case Ducci</t>
  </si>
  <si>
    <t>4701940000</t>
  </si>
  <si>
    <t>Case sparse_134</t>
  </si>
  <si>
    <t>4701926609</t>
  </si>
  <si>
    <t>Caseromito</t>
  </si>
  <si>
    <t>4701920011</t>
  </si>
  <si>
    <t>4701910002</t>
  </si>
  <si>
    <t>Gavinana</t>
  </si>
  <si>
    <t>4701910003</t>
  </si>
  <si>
    <t>4701910004</t>
  </si>
  <si>
    <t>Lancisa</t>
  </si>
  <si>
    <t>4701910005</t>
  </si>
  <si>
    <t>Limestre</t>
  </si>
  <si>
    <t>4701910006</t>
  </si>
  <si>
    <t>Lizzano</t>
  </si>
  <si>
    <t>4701910013</t>
  </si>
  <si>
    <t>Mammiano</t>
  </si>
  <si>
    <t>4701910008</t>
  </si>
  <si>
    <t>Mammiano Basso</t>
  </si>
  <si>
    <t>4701920013</t>
  </si>
  <si>
    <t>Oppio</t>
  </si>
  <si>
    <t>4701926715</t>
  </si>
  <si>
    <t>4701910009</t>
  </si>
  <si>
    <t>4701920014</t>
  </si>
  <si>
    <t>Pratale</t>
  </si>
  <si>
    <t>4701910010</t>
  </si>
  <si>
    <t>San Marcello Pistoiese</t>
  </si>
  <si>
    <t>4701910011</t>
  </si>
  <si>
    <t>Spignana</t>
  </si>
  <si>
    <t>4701910012</t>
  </si>
  <si>
    <t>Vizzaneta</t>
  </si>
  <si>
    <t>San Miniato [PI]</t>
  </si>
  <si>
    <t>5003226601</t>
  </si>
  <si>
    <t>Alberaccio</t>
  </si>
  <si>
    <t>5003210001</t>
  </si>
  <si>
    <t>Balconevisi</t>
  </si>
  <si>
    <t>5003226602</t>
  </si>
  <si>
    <t>Borghigiana</t>
  </si>
  <si>
    <t>5003226603</t>
  </si>
  <si>
    <t>Bottega Genovini</t>
  </si>
  <si>
    <t>5003220004</t>
  </si>
  <si>
    <t>Bucciano</t>
  </si>
  <si>
    <t>5003226605</t>
  </si>
  <si>
    <t>Calenzano I</t>
  </si>
  <si>
    <t>5003226606</t>
  </si>
  <si>
    <t>Calenzano II</t>
  </si>
  <si>
    <t>5003226607</t>
  </si>
  <si>
    <t>Calpetardo</t>
  </si>
  <si>
    <t>5003226711</t>
  </si>
  <si>
    <t>Case Nuove di Roffia</t>
  </si>
  <si>
    <t>5003240000</t>
  </si>
  <si>
    <t>Case sparse_18</t>
  </si>
  <si>
    <t>5003226712</t>
  </si>
  <si>
    <t>Casotti di Moriolo</t>
  </si>
  <si>
    <t>5003220035</t>
  </si>
  <si>
    <t>Collebrunacchi</t>
  </si>
  <si>
    <t>5003210002</t>
  </si>
  <si>
    <t>Corazzano</t>
  </si>
  <si>
    <t>5003210003</t>
  </si>
  <si>
    <t>Cusignano</t>
  </si>
  <si>
    <t>5003220014</t>
  </si>
  <si>
    <t>Fornacino</t>
  </si>
  <si>
    <t>5003226615</t>
  </si>
  <si>
    <t>Gargozzi</t>
  </si>
  <si>
    <t>5003220016</t>
  </si>
  <si>
    <t>Giovanastra</t>
  </si>
  <si>
    <t>5003210004</t>
  </si>
  <si>
    <t>5003220018</t>
  </si>
  <si>
    <t>La Dogaia</t>
  </si>
  <si>
    <t>5003210005</t>
  </si>
  <si>
    <t>5003226620</t>
  </si>
  <si>
    <t>5003220021</t>
  </si>
  <si>
    <t>Le Tombe</t>
  </si>
  <si>
    <t>5003226722</t>
  </si>
  <si>
    <t>Mezzopiano I</t>
  </si>
  <si>
    <t>5003220023</t>
  </si>
  <si>
    <t>Mezzopiano II</t>
  </si>
  <si>
    <t>5003226626</t>
  </si>
  <si>
    <t>Montorzo</t>
  </si>
  <si>
    <t>5003226627</t>
  </si>
  <si>
    <t>Moriolo</t>
  </si>
  <si>
    <t>5003220028</t>
  </si>
  <si>
    <t>Ontraino</t>
  </si>
  <si>
    <t>5003226629</t>
  </si>
  <si>
    <t>Palagetto</t>
  </si>
  <si>
    <t>5003220030</t>
  </si>
  <si>
    <t>5003220031</t>
  </si>
  <si>
    <t>Palazzo Torto</t>
  </si>
  <si>
    <t>5003210006</t>
  </si>
  <si>
    <t>Parrino</t>
  </si>
  <si>
    <t>5003226632</t>
  </si>
  <si>
    <t>Piano di Moriolo</t>
  </si>
  <si>
    <t>5003220033</t>
  </si>
  <si>
    <t>Poggio A Isola</t>
  </si>
  <si>
    <t>5003210007</t>
  </si>
  <si>
    <t>Ponte A Elsa</t>
  </si>
  <si>
    <t>5003210008</t>
  </si>
  <si>
    <t>Roffia</t>
  </si>
  <si>
    <t>5003210009</t>
  </si>
  <si>
    <t>5003210010</t>
  </si>
  <si>
    <t>San Miniato</t>
  </si>
  <si>
    <t>5003210011</t>
  </si>
  <si>
    <t>5003220034</t>
  </si>
  <si>
    <t>5003210012</t>
  </si>
  <si>
    <t>Stibbio</t>
  </si>
  <si>
    <t>San Piero a Sieve [FI]</t>
  </si>
  <si>
    <t>4804010001</t>
  </si>
  <si>
    <t>Campomigliaio</t>
  </si>
  <si>
    <t>4804026601</t>
  </si>
  <si>
    <t>Casa Loli</t>
  </si>
  <si>
    <t>4804040000</t>
  </si>
  <si>
    <t>Case sparse_173</t>
  </si>
  <si>
    <t>4804026602</t>
  </si>
  <si>
    <t>4804020803</t>
  </si>
  <si>
    <t>Convento Bosco ai Frati</t>
  </si>
  <si>
    <t>4804020005</t>
  </si>
  <si>
    <t>4804026706</t>
  </si>
  <si>
    <t>Novoli</t>
  </si>
  <si>
    <t>4804026707</t>
  </si>
  <si>
    <t>Ponte del Carlone</t>
  </si>
  <si>
    <t>4804020008</t>
  </si>
  <si>
    <t>San Giusto a Fortuna</t>
  </si>
  <si>
    <t>4804010002</t>
  </si>
  <si>
    <t>San Piero a Sieve</t>
  </si>
  <si>
    <t>4804020010</t>
  </si>
  <si>
    <t>Scaffaia</t>
  </si>
  <si>
    <t>4804026711</t>
  </si>
  <si>
    <t>Tagliaferro</t>
  </si>
  <si>
    <t>San Quirico d'Orcia [SI]</t>
  </si>
  <si>
    <t>5203010001</t>
  </si>
  <si>
    <t>Bagno Vignoni</t>
  </si>
  <si>
    <t>5203040000</t>
  </si>
  <si>
    <t>Case sparse_94</t>
  </si>
  <si>
    <t>5203026602</t>
  </si>
  <si>
    <t>Delle Fornaci</t>
  </si>
  <si>
    <t>5203020001</t>
  </si>
  <si>
    <t>Fornace Laterizi</t>
  </si>
  <si>
    <t>5203010002</t>
  </si>
  <si>
    <t>San Quirico d'Orcia</t>
  </si>
  <si>
    <t>San Romano in Garfagnana [LU]</t>
  </si>
  <si>
    <t>4602710001</t>
  </si>
  <si>
    <t>Caprignana</t>
  </si>
  <si>
    <t>4602740000</t>
  </si>
  <si>
    <t>Case sparse_266</t>
  </si>
  <si>
    <t>4602720004</t>
  </si>
  <si>
    <t>Cerreta</t>
  </si>
  <si>
    <t>4602720001</t>
  </si>
  <si>
    <t>Naggio</t>
  </si>
  <si>
    <t>4602710002</t>
  </si>
  <si>
    <t>Orzaglia</t>
  </si>
  <si>
    <t>4602724902</t>
  </si>
  <si>
    <t>Rifugio Miramonti Orecchiella</t>
  </si>
  <si>
    <t>4602726603</t>
  </si>
  <si>
    <t>Sambuca</t>
  </si>
  <si>
    <t>4602710003</t>
  </si>
  <si>
    <t>4602710004</t>
  </si>
  <si>
    <t>Sillicagnana</t>
  </si>
  <si>
    <t>4602710005</t>
  </si>
  <si>
    <t>Verrucole</t>
  </si>
  <si>
    <t>4602710006</t>
  </si>
  <si>
    <t>Vibbiana</t>
  </si>
  <si>
    <t>4602710007</t>
  </si>
  <si>
    <t>Villetta</t>
  </si>
  <si>
    <t>San Vincenzo [LI]</t>
  </si>
  <si>
    <t>4901840000</t>
  </si>
  <si>
    <t>Case sparse_199</t>
  </si>
  <si>
    <t>4901810001</t>
  </si>
  <si>
    <t>4901810002</t>
  </si>
  <si>
    <t>San Vincenzo</t>
  </si>
  <si>
    <t>4901826708</t>
  </si>
  <si>
    <t>Zona Aviosuperficie</t>
  </si>
  <si>
    <t>4901820009</t>
  </si>
  <si>
    <t>Zona Cason di Tavole</t>
  </si>
  <si>
    <t>4901826703</t>
  </si>
  <si>
    <t>Zona Coscia</t>
  </si>
  <si>
    <t>4901820001</t>
  </si>
  <si>
    <t>4901820005</t>
  </si>
  <si>
    <t>Zona Intermedia San Bartolo</t>
  </si>
  <si>
    <t>4901826607</t>
  </si>
  <si>
    <t>Zona San Filippo</t>
  </si>
  <si>
    <t>4901826704</t>
  </si>
  <si>
    <t>Zona San Gregorio</t>
  </si>
  <si>
    <t>Sansepolcro [AR]</t>
  </si>
  <si>
    <t>5103440000</t>
  </si>
  <si>
    <t>Case sparse_59</t>
  </si>
  <si>
    <t>5103426601</t>
  </si>
  <si>
    <t>Comando</t>
  </si>
  <si>
    <t>5103420003</t>
  </si>
  <si>
    <t>Falcigiano</t>
  </si>
  <si>
    <t>5103426604</t>
  </si>
  <si>
    <t>5103420005</t>
  </si>
  <si>
    <t>Gragnano</t>
  </si>
  <si>
    <t>5103420006</t>
  </si>
  <si>
    <t>Gragnano Alto</t>
  </si>
  <si>
    <t>5103410001</t>
  </si>
  <si>
    <t>5103410002</t>
  </si>
  <si>
    <t>5103420007</t>
  </si>
  <si>
    <t>5103420008</t>
  </si>
  <si>
    <t>Pocaia di Sopra</t>
  </si>
  <si>
    <t>5103426612</t>
  </si>
  <si>
    <t>Rosadino</t>
  </si>
  <si>
    <t>5103420009</t>
  </si>
  <si>
    <t>San Pietro in Villa</t>
  </si>
  <si>
    <t>5103410003</t>
  </si>
  <si>
    <t>Sansepolcro</t>
  </si>
  <si>
    <t>5103426610</t>
  </si>
  <si>
    <t>Santa Croce</t>
  </si>
  <si>
    <t>5103410004</t>
  </si>
  <si>
    <t>Santa Fiora</t>
  </si>
  <si>
    <t>5103410005</t>
  </si>
  <si>
    <t>5103422011</t>
  </si>
  <si>
    <t>Villa Serena</t>
  </si>
  <si>
    <t>Santa Croce sull'Arno [PI]</t>
  </si>
  <si>
    <t>5003310003</t>
  </si>
  <si>
    <t>Baldacci</t>
  </si>
  <si>
    <t>5003320005</t>
  </si>
  <si>
    <t>Bocciardi</t>
  </si>
  <si>
    <t>5003320006</t>
  </si>
  <si>
    <t>5003340000</t>
  </si>
  <si>
    <t>Case sparse_19</t>
  </si>
  <si>
    <t>5003320007</t>
  </si>
  <si>
    <t>5003320001</t>
  </si>
  <si>
    <t>5003320002</t>
  </si>
  <si>
    <t>Cerri</t>
  </si>
  <si>
    <t>5003320008</t>
  </si>
  <si>
    <t>Pieraccioni</t>
  </si>
  <si>
    <t>5003310001</t>
  </si>
  <si>
    <t>Santa Croce sull'Arno</t>
  </si>
  <si>
    <t>5003310002</t>
  </si>
  <si>
    <t>5003326610</t>
  </si>
  <si>
    <t>Tramontano</t>
  </si>
  <si>
    <t>Santa Fiora [GR]</t>
  </si>
  <si>
    <t>5302210004</t>
  </si>
  <si>
    <t>Bagnolo</t>
  </si>
  <si>
    <t>5302210001</t>
  </si>
  <si>
    <t>Bagnore</t>
  </si>
  <si>
    <t>5302240000</t>
  </si>
  <si>
    <t>Case sparse_122</t>
  </si>
  <si>
    <t>5302220003</t>
  </si>
  <si>
    <t>San Bastiano</t>
  </si>
  <si>
    <t>5302210002</t>
  </si>
  <si>
    <t>5302210003</t>
  </si>
  <si>
    <t>Santa Luce [PI]</t>
  </si>
  <si>
    <t>5003440000</t>
  </si>
  <si>
    <t>Case sparse_20</t>
  </si>
  <si>
    <t>5003430001</t>
  </si>
  <si>
    <t>Macchiaverde</t>
  </si>
  <si>
    <t>5003410001</t>
  </si>
  <si>
    <t>5003410002</t>
  </si>
  <si>
    <t>Pieve di Santa Luce</t>
  </si>
  <si>
    <t>5003410003</t>
  </si>
  <si>
    <t>Pomaia</t>
  </si>
  <si>
    <t>5003410004</t>
  </si>
  <si>
    <t>Santa Maria a Monte [PI]</t>
  </si>
  <si>
    <t>5003540000</t>
  </si>
  <si>
    <t>Case sparse_21</t>
  </si>
  <si>
    <t>5003520005</t>
  </si>
  <si>
    <t>5003510001</t>
  </si>
  <si>
    <t>Cerretti</t>
  </si>
  <si>
    <t>5003520001</t>
  </si>
  <si>
    <t>Cinque Case</t>
  </si>
  <si>
    <t>5003520006</t>
  </si>
  <si>
    <t>Lungomonte</t>
  </si>
  <si>
    <t>5003510002</t>
  </si>
  <si>
    <t>Montecalvoli</t>
  </si>
  <si>
    <t>5003520002</t>
  </si>
  <si>
    <t>Paniaccio</t>
  </si>
  <si>
    <t>5003510003</t>
  </si>
  <si>
    <t>5003510004</t>
  </si>
  <si>
    <t>Santa Maria a Monte</t>
  </si>
  <si>
    <t>5003520003</t>
  </si>
  <si>
    <t>5003526604</t>
  </si>
  <si>
    <t>Villa Fantoni</t>
  </si>
  <si>
    <t>Sarteano [SI]</t>
  </si>
  <si>
    <t>5203126606</t>
  </si>
  <si>
    <t>Casa Bebi II</t>
  </si>
  <si>
    <t>5203140000</t>
  </si>
  <si>
    <t>Case sparse_95</t>
  </si>
  <si>
    <t>5203120001</t>
  </si>
  <si>
    <t>Castiglioncello del Trinoro</t>
  </si>
  <si>
    <t>5203120003</t>
  </si>
  <si>
    <t>Fonte della Regina</t>
  </si>
  <si>
    <t>5203120004</t>
  </si>
  <si>
    <t>Fonte Vetriana</t>
  </si>
  <si>
    <t>5203110001</t>
  </si>
  <si>
    <t>Sarteano</t>
  </si>
  <si>
    <t>5203126608</t>
  </si>
  <si>
    <t>Valverde</t>
  </si>
  <si>
    <t>Sassetta [LI]</t>
  </si>
  <si>
    <t>4901940000</t>
  </si>
  <si>
    <t>Case sparse_200</t>
  </si>
  <si>
    <t>4901920001</t>
  </si>
  <si>
    <t>4901910001</t>
  </si>
  <si>
    <t>Sassetta</t>
  </si>
  <si>
    <t>4901920002</t>
  </si>
  <si>
    <t>Valcanina</t>
  </si>
  <si>
    <t>Scandicci [FI]</t>
  </si>
  <si>
    <t>4804120001</t>
  </si>
  <si>
    <t>4804126702</t>
  </si>
  <si>
    <t>Broncigliano</t>
  </si>
  <si>
    <t>4804140000</t>
  </si>
  <si>
    <t>Case sparse_174</t>
  </si>
  <si>
    <t>4804126703</t>
  </si>
  <si>
    <t>Casignano</t>
  </si>
  <si>
    <t>4804120004</t>
  </si>
  <si>
    <t>La Palazzina</t>
  </si>
  <si>
    <t>4804126705</t>
  </si>
  <si>
    <t>La Porta</t>
  </si>
  <si>
    <t>4804120012</t>
  </si>
  <si>
    <t>L'Ermellino</t>
  </si>
  <si>
    <t>4804120006</t>
  </si>
  <si>
    <t>Mosciano</t>
  </si>
  <si>
    <t>4804126707</t>
  </si>
  <si>
    <t>Pian de' Cerri</t>
  </si>
  <si>
    <t>4804126608</t>
  </si>
  <si>
    <t>4804110001</t>
  </si>
  <si>
    <t>San Martino alla Palma</t>
  </si>
  <si>
    <t>4804120009</t>
  </si>
  <si>
    <t>San Michele a Torri</t>
  </si>
  <si>
    <t>4804110002</t>
  </si>
  <si>
    <t>San Vincenzo a Torri</t>
  </si>
  <si>
    <t>4804120010</t>
  </si>
  <si>
    <t>Santa Maria a Marciola</t>
  </si>
  <si>
    <t>4804110003</t>
  </si>
  <si>
    <t>Scandicci</t>
  </si>
  <si>
    <t>4804126711</t>
  </si>
  <si>
    <t>Scansano [GR]</t>
  </si>
  <si>
    <t>5302310001</t>
  </si>
  <si>
    <t>Baccinello</t>
  </si>
  <si>
    <t>5302320001</t>
  </si>
  <si>
    <t>Bivio Montorgiali</t>
  </si>
  <si>
    <t>5302326602</t>
  </si>
  <si>
    <t>Case Belardi</t>
  </si>
  <si>
    <t>5302340000</t>
  </si>
  <si>
    <t>Case sparse_123</t>
  </si>
  <si>
    <t>5302320003</t>
  </si>
  <si>
    <t>Chiesa Vecchia Giu'</t>
  </si>
  <si>
    <t>5302320004</t>
  </si>
  <si>
    <t>Fontalcarpine</t>
  </si>
  <si>
    <t>5302326605</t>
  </si>
  <si>
    <t>5302326610</t>
  </si>
  <si>
    <t>Localitá Trasubbie</t>
  </si>
  <si>
    <t>5302320009</t>
  </si>
  <si>
    <t>Localitá Valletta</t>
  </si>
  <si>
    <t>5302310002</t>
  </si>
  <si>
    <t>Montorgiali</t>
  </si>
  <si>
    <t>5302310003</t>
  </si>
  <si>
    <t>Murci</t>
  </si>
  <si>
    <t>5302310004</t>
  </si>
  <si>
    <t>5302320006</t>
  </si>
  <si>
    <t>Perazzeta</t>
  </si>
  <si>
    <t>5302310005</t>
  </si>
  <si>
    <t>Poggioferro</t>
  </si>
  <si>
    <t>5302310006</t>
  </si>
  <si>
    <t>Polveraia</t>
  </si>
  <si>
    <t>5302310007</t>
  </si>
  <si>
    <t>5302326608</t>
  </si>
  <si>
    <t>5302310008</t>
  </si>
  <si>
    <t>Scansano</t>
  </si>
  <si>
    <t>Scarlino [GR]</t>
  </si>
  <si>
    <t>5302440000</t>
  </si>
  <si>
    <t>Case sparse_124</t>
  </si>
  <si>
    <t>5302430001</t>
  </si>
  <si>
    <t>5302425805</t>
  </si>
  <si>
    <t>Il Fontino</t>
  </si>
  <si>
    <t>5302426601</t>
  </si>
  <si>
    <t>Imposto</t>
  </si>
  <si>
    <t>5302430002</t>
  </si>
  <si>
    <t>La Botte</t>
  </si>
  <si>
    <t>5302430003</t>
  </si>
  <si>
    <t>5302420002</t>
  </si>
  <si>
    <t>5302426703</t>
  </si>
  <si>
    <t>Palazzo Guelfi</t>
  </si>
  <si>
    <t>5302410001</t>
  </si>
  <si>
    <t>Portiglioni</t>
  </si>
  <si>
    <t>5302410003</t>
  </si>
  <si>
    <t>Scarlino</t>
  </si>
  <si>
    <t>5302410004</t>
  </si>
  <si>
    <t>Scarlino Scalo</t>
  </si>
  <si>
    <t>5302420004</t>
  </si>
  <si>
    <t>Zona 167 Scarlino</t>
  </si>
  <si>
    <t>Scarperia [FI]</t>
  </si>
  <si>
    <t>4804226601</t>
  </si>
  <si>
    <t>Bagnatoio</t>
  </si>
  <si>
    <t>4804240000</t>
  </si>
  <si>
    <t>Case sparse_175</t>
  </si>
  <si>
    <t>4804220004</t>
  </si>
  <si>
    <t>La Castellana</t>
  </si>
  <si>
    <t>4804220002</t>
  </si>
  <si>
    <t>4804210001</t>
  </si>
  <si>
    <t>Marcoiano</t>
  </si>
  <si>
    <t>4804230001</t>
  </si>
  <si>
    <t>Panna</t>
  </si>
  <si>
    <t>4804230003</t>
  </si>
  <si>
    <t>Petrona</t>
  </si>
  <si>
    <t>4804230002</t>
  </si>
  <si>
    <t>Pianvallico</t>
  </si>
  <si>
    <t>4804210002</t>
  </si>
  <si>
    <t>Ponzalla</t>
  </si>
  <si>
    <t>4804210003</t>
  </si>
  <si>
    <t>4804210004</t>
  </si>
  <si>
    <t>Scarperia</t>
  </si>
  <si>
    <t>4804220003</t>
  </si>
  <si>
    <t>Senni</t>
  </si>
  <si>
    <t>Seggiano [GR]</t>
  </si>
  <si>
    <t>5302520001</t>
  </si>
  <si>
    <t>Altori</t>
  </si>
  <si>
    <t>5302520002</t>
  </si>
  <si>
    <t>Casa la Bruca</t>
  </si>
  <si>
    <t>5302526607</t>
  </si>
  <si>
    <t>Casa Lichio</t>
  </si>
  <si>
    <t>5302540000</t>
  </si>
  <si>
    <t>Case sparse_125</t>
  </si>
  <si>
    <t>5302510001</t>
  </si>
  <si>
    <t>5302520004</t>
  </si>
  <si>
    <t>Piagge</t>
  </si>
  <si>
    <t>5302520005</t>
  </si>
  <si>
    <t>5302510002</t>
  </si>
  <si>
    <t>Seggiano</t>
  </si>
  <si>
    <t>5302520006</t>
  </si>
  <si>
    <t>Trefonti</t>
  </si>
  <si>
    <t>Semproniano [GR]</t>
  </si>
  <si>
    <t>5302820001</t>
  </si>
  <si>
    <t>5302840000</t>
  </si>
  <si>
    <t>Case sparse_128</t>
  </si>
  <si>
    <t>5302810001</t>
  </si>
  <si>
    <t>Catabbio</t>
  </si>
  <si>
    <t>5302810002</t>
  </si>
  <si>
    <t>Cellena</t>
  </si>
  <si>
    <t>5302820003</t>
  </si>
  <si>
    <t>5302826604</t>
  </si>
  <si>
    <t>Marruchina</t>
  </si>
  <si>
    <t>5302810003</t>
  </si>
  <si>
    <t>Petricci</t>
  </si>
  <si>
    <t>5302810005</t>
  </si>
  <si>
    <t>5302820006</t>
  </si>
  <si>
    <t>Scalabrelli</t>
  </si>
  <si>
    <t>5302810004</t>
  </si>
  <si>
    <t>Semproniano</t>
  </si>
  <si>
    <t>5302820007</t>
  </si>
  <si>
    <t>Verziliami</t>
  </si>
  <si>
    <t>Seravezza [LU]</t>
  </si>
  <si>
    <t>4602810001</t>
  </si>
  <si>
    <t>Azzano</t>
  </si>
  <si>
    <t>4602810002</t>
  </si>
  <si>
    <t>Basati</t>
  </si>
  <si>
    <t>4602840000</t>
  </si>
  <si>
    <t>Case sparse_267</t>
  </si>
  <si>
    <t>4602810003</t>
  </si>
  <si>
    <t>Cerreta Sant'Antonio</t>
  </si>
  <si>
    <t>4602810004</t>
  </si>
  <si>
    <t>Fabbiano</t>
  </si>
  <si>
    <t>4602810005</t>
  </si>
  <si>
    <t>Federigi</t>
  </si>
  <si>
    <t>4602810006</t>
  </si>
  <si>
    <t>Giustagnana</t>
  </si>
  <si>
    <t>4602810007</t>
  </si>
  <si>
    <t>Minazzana</t>
  </si>
  <si>
    <t>4602810008</t>
  </si>
  <si>
    <t>Riomagno</t>
  </si>
  <si>
    <t>4602810009</t>
  </si>
  <si>
    <t>Ripa-Pozzi-Querceta-Ponterosso</t>
  </si>
  <si>
    <t>4602810010</t>
  </si>
  <si>
    <t>Ruosina</t>
  </si>
  <si>
    <t>4602810011</t>
  </si>
  <si>
    <t>Seravezza</t>
  </si>
  <si>
    <t>4602826702</t>
  </si>
  <si>
    <t>Valventosa</t>
  </si>
  <si>
    <t>4602820004</t>
  </si>
  <si>
    <t>Zarra</t>
  </si>
  <si>
    <t>Serravalle Pistoiese [PT]</t>
  </si>
  <si>
    <t>4702020002</t>
  </si>
  <si>
    <t>Baco</t>
  </si>
  <si>
    <t>4702020003</t>
  </si>
  <si>
    <t>4702010001</t>
  </si>
  <si>
    <t>Cantagrillo-Casalguidi</t>
  </si>
  <si>
    <t>4702040000</t>
  </si>
  <si>
    <t>Case sparse_135</t>
  </si>
  <si>
    <t>4702010002</t>
  </si>
  <si>
    <t>Castellina</t>
  </si>
  <si>
    <t>4702020004</t>
  </si>
  <si>
    <t>Chiesina</t>
  </si>
  <si>
    <t>4702026618</t>
  </si>
  <si>
    <t>La Magione</t>
  </si>
  <si>
    <t>4702026619</t>
  </si>
  <si>
    <t>Le Vigne Grandi</t>
  </si>
  <si>
    <t>4702020006</t>
  </si>
  <si>
    <t>Marrazzano</t>
  </si>
  <si>
    <t>4702026620</t>
  </si>
  <si>
    <t>Pantano</t>
  </si>
  <si>
    <t>4702020009</t>
  </si>
  <si>
    <t>Pierucciani</t>
  </si>
  <si>
    <t>4702020010</t>
  </si>
  <si>
    <t>Pontassio</t>
  </si>
  <si>
    <t>4702010003</t>
  </si>
  <si>
    <t>Ponte di Serravalle</t>
  </si>
  <si>
    <t>4702026615</t>
  </si>
  <si>
    <t>Rio II</t>
  </si>
  <si>
    <t>4702020016</t>
  </si>
  <si>
    <t>Rio III</t>
  </si>
  <si>
    <t>4702010004</t>
  </si>
  <si>
    <t>Serravalle Pistoiese</t>
  </si>
  <si>
    <t>4702010005</t>
  </si>
  <si>
    <t>Stazione Masotti</t>
  </si>
  <si>
    <t>4702020011</t>
  </si>
  <si>
    <t>Valenta</t>
  </si>
  <si>
    <t>4702020013</t>
  </si>
  <si>
    <t>Sestino [AR]</t>
  </si>
  <si>
    <t>5103526601</t>
  </si>
  <si>
    <t>Calbuffa</t>
  </si>
  <si>
    <t>5103526602</t>
  </si>
  <si>
    <t>Calucaccia</t>
  </si>
  <si>
    <t>5103520003</t>
  </si>
  <si>
    <t>5103526604</t>
  </si>
  <si>
    <t>Case Barboni</t>
  </si>
  <si>
    <t>5103540000</t>
  </si>
  <si>
    <t>Case sparse_60</t>
  </si>
  <si>
    <t>5103520005</t>
  </si>
  <si>
    <t>Colcellalto</t>
  </si>
  <si>
    <t>5103521107</t>
  </si>
  <si>
    <t>Lucemburgo</t>
  </si>
  <si>
    <t>5103520008</t>
  </si>
  <si>
    <t>Martigliano</t>
  </si>
  <si>
    <t>5103520009</t>
  </si>
  <si>
    <t>Monteromano</t>
  </si>
  <si>
    <t>5103520010</t>
  </si>
  <si>
    <t>Monterone</t>
  </si>
  <si>
    <t>5103520011</t>
  </si>
  <si>
    <t>Motolano</t>
  </si>
  <si>
    <t>5103520012</t>
  </si>
  <si>
    <t>5103520013</t>
  </si>
  <si>
    <t>Petrella Massana</t>
  </si>
  <si>
    <t>5103510001</t>
  </si>
  <si>
    <t>Ponte Presale</t>
  </si>
  <si>
    <t>5103520014</t>
  </si>
  <si>
    <t>Presciano</t>
  </si>
  <si>
    <t>5103521115</t>
  </si>
  <si>
    <t>5103510002</t>
  </si>
  <si>
    <t>Sestino</t>
  </si>
  <si>
    <t>5103526618</t>
  </si>
  <si>
    <t>Valdiceci di Sopra</t>
  </si>
  <si>
    <t>5103520017</t>
  </si>
  <si>
    <t>Ville di Sopra</t>
  </si>
  <si>
    <t>Sesto Fiorentino [FI]</t>
  </si>
  <si>
    <t>4804340000</t>
  </si>
  <si>
    <t>Case sparse_176</t>
  </si>
  <si>
    <t>4804310001</t>
  </si>
  <si>
    <t>I Fondi</t>
  </si>
  <si>
    <t>4804320002</t>
  </si>
  <si>
    <t>4804320004</t>
  </si>
  <si>
    <t>Le Catese</t>
  </si>
  <si>
    <t>4804320008</t>
  </si>
  <si>
    <t>Malafrasca</t>
  </si>
  <si>
    <t>4804320005</t>
  </si>
  <si>
    <t>Miramonti</t>
  </si>
  <si>
    <t>4804310002</t>
  </si>
  <si>
    <t>Montorsoli</t>
  </si>
  <si>
    <t>4804310003</t>
  </si>
  <si>
    <t>Montorsoli Stazione</t>
  </si>
  <si>
    <t>4804310004</t>
  </si>
  <si>
    <t>Ponte a Giogoli</t>
  </si>
  <si>
    <t>4804326706</t>
  </si>
  <si>
    <t>Segalari</t>
  </si>
  <si>
    <t>4804320007</t>
  </si>
  <si>
    <t>4804310005</t>
  </si>
  <si>
    <t>Sesto Fiorentino</t>
  </si>
  <si>
    <t>Siena [SI]</t>
  </si>
  <si>
    <t>5203220001</t>
  </si>
  <si>
    <t>5203220002</t>
  </si>
  <si>
    <t>Agazzara</t>
  </si>
  <si>
    <t>5203226603</t>
  </si>
  <si>
    <t>Agostoli</t>
  </si>
  <si>
    <t>5203230002</t>
  </si>
  <si>
    <t>Area Produttiva Isola D'Arbia</t>
  </si>
  <si>
    <t>5203220004</t>
  </si>
  <si>
    <t>Ascarello</t>
  </si>
  <si>
    <t>5203220005</t>
  </si>
  <si>
    <t>Bolgione</t>
  </si>
  <si>
    <t>5203220006</t>
  </si>
  <si>
    <t>5203220007</t>
  </si>
  <si>
    <t>Casa Vannini</t>
  </si>
  <si>
    <t>5203226646</t>
  </si>
  <si>
    <t>5203240000</t>
  </si>
  <si>
    <t>Case sparse_96</t>
  </si>
  <si>
    <t>5203220009</t>
  </si>
  <si>
    <t>5203220010</t>
  </si>
  <si>
    <t>5203230001</t>
  </si>
  <si>
    <t>Cerchiaia</t>
  </si>
  <si>
    <t>5203220011</t>
  </si>
  <si>
    <t>Colle Malamerenda</t>
  </si>
  <si>
    <t>5203226612</t>
  </si>
  <si>
    <t>Colombaiolo</t>
  </si>
  <si>
    <t>5203226613</t>
  </si>
  <si>
    <t>Colonia Santa Regina</t>
  </si>
  <si>
    <t>5203226643</t>
  </si>
  <si>
    <t>Convento Vecchio</t>
  </si>
  <si>
    <t>5203220014</t>
  </si>
  <si>
    <t>Doglia</t>
  </si>
  <si>
    <t>5203220016</t>
  </si>
  <si>
    <t>Ferratore</t>
  </si>
  <si>
    <t>5203220017</t>
  </si>
  <si>
    <t>Ficareto</t>
  </si>
  <si>
    <t>5203220018</t>
  </si>
  <si>
    <t>Fogliano Grosso</t>
  </si>
  <si>
    <t>5203220044</t>
  </si>
  <si>
    <t>5203220019</t>
  </si>
  <si>
    <t>Ginestreto</t>
  </si>
  <si>
    <t>5203220045</t>
  </si>
  <si>
    <t>5203210001</t>
  </si>
  <si>
    <t>Isola D'Arbia</t>
  </si>
  <si>
    <t>5203220020</t>
  </si>
  <si>
    <t>La Bicocca</t>
  </si>
  <si>
    <t>5203220023</t>
  </si>
  <si>
    <t>5203226624</t>
  </si>
  <si>
    <t>Le Querce</t>
  </si>
  <si>
    <t>5203220025</t>
  </si>
  <si>
    <t>Le Scotte</t>
  </si>
  <si>
    <t>5203220026</t>
  </si>
  <si>
    <t>Le Tolfe</t>
  </si>
  <si>
    <t>5203221547</t>
  </si>
  <si>
    <t>Lecceto Eremo</t>
  </si>
  <si>
    <t>5203226622</t>
  </si>
  <si>
    <t>5203220028</t>
  </si>
  <si>
    <t>Montechiaro</t>
  </si>
  <si>
    <t>5203220029</t>
  </si>
  <si>
    <t>Monteliscai</t>
  </si>
  <si>
    <t>5203220030</t>
  </si>
  <si>
    <t>Peruzzo</t>
  </si>
  <si>
    <t>5203226631</t>
  </si>
  <si>
    <t>Pieve a Bozzone</t>
  </si>
  <si>
    <t>5203226633</t>
  </si>
  <si>
    <t>Poggio alle Rose</t>
  </si>
  <si>
    <t>5203220034</t>
  </si>
  <si>
    <t>5203230003</t>
  </si>
  <si>
    <t>Renaccio</t>
  </si>
  <si>
    <t>5203220035</t>
  </si>
  <si>
    <t>5203210002</t>
  </si>
  <si>
    <t>5203210003</t>
  </si>
  <si>
    <t>5203220036</t>
  </si>
  <si>
    <t>5203210004</t>
  </si>
  <si>
    <t>San Rocco a Pilli</t>
  </si>
  <si>
    <t>5203220037</t>
  </si>
  <si>
    <t>Santa Regina</t>
  </si>
  <si>
    <t>5203210005</t>
  </si>
  <si>
    <t>Sant'Andrea A Montecchio</t>
  </si>
  <si>
    <t>5203226638</t>
  </si>
  <si>
    <t>Selvaccia</t>
  </si>
  <si>
    <t>5203210006</t>
  </si>
  <si>
    <t>Siena</t>
  </si>
  <si>
    <t>5203210007</t>
  </si>
  <si>
    <t>Taverne D'Arbia</t>
  </si>
  <si>
    <t>5203220039</t>
  </si>
  <si>
    <t>Toiano</t>
  </si>
  <si>
    <t>5203220040</t>
  </si>
  <si>
    <t>Val DI Pugna</t>
  </si>
  <si>
    <t>5203220041</t>
  </si>
  <si>
    <t>Vico D'Arbia</t>
  </si>
  <si>
    <t>5203220042</t>
  </si>
  <si>
    <t>Volte Alte</t>
  </si>
  <si>
    <t>5203210008</t>
  </si>
  <si>
    <t>Volte Basse</t>
  </si>
  <si>
    <t>Signa [FI]</t>
  </si>
  <si>
    <t>4804440000</t>
  </si>
  <si>
    <t>Case sparse_177</t>
  </si>
  <si>
    <t>4804420001</t>
  </si>
  <si>
    <t>I Bassi</t>
  </si>
  <si>
    <t>4804426602</t>
  </si>
  <si>
    <t>La Beccheria</t>
  </si>
  <si>
    <t>4804410001</t>
  </si>
  <si>
    <t>Lecore</t>
  </si>
  <si>
    <t>4804410002</t>
  </si>
  <si>
    <t>4804410003</t>
  </si>
  <si>
    <t>San Mauro</t>
  </si>
  <si>
    <t>4804420003</t>
  </si>
  <si>
    <t>4804410004</t>
  </si>
  <si>
    <t>4804410005</t>
  </si>
  <si>
    <t>Signa</t>
  </si>
  <si>
    <t>Sillano [LU]</t>
  </si>
  <si>
    <t>4602910002</t>
  </si>
  <si>
    <t>Brica</t>
  </si>
  <si>
    <t>4602920001</t>
  </si>
  <si>
    <t>Camporanda</t>
  </si>
  <si>
    <t>4602910003</t>
  </si>
  <si>
    <t>4602940000</t>
  </si>
  <si>
    <t>Case sparse_268</t>
  </si>
  <si>
    <t>4602910004</t>
  </si>
  <si>
    <t>Dalli Sopra</t>
  </si>
  <si>
    <t>4602910005</t>
  </si>
  <si>
    <t>Dalli Sotto</t>
  </si>
  <si>
    <t>4602910001</t>
  </si>
  <si>
    <t>4602910006</t>
  </si>
  <si>
    <t>Sillano</t>
  </si>
  <si>
    <t>4602910007</t>
  </si>
  <si>
    <t>Sinalunga [SI]</t>
  </si>
  <si>
    <t>5203326601</t>
  </si>
  <si>
    <t>5203310001</t>
  </si>
  <si>
    <t>Bettolle</t>
  </si>
  <si>
    <t>5203326610</t>
  </si>
  <si>
    <t>Bisciano</t>
  </si>
  <si>
    <t>5203320012</t>
  </si>
  <si>
    <t>5203340000</t>
  </si>
  <si>
    <t>Case sparse_97</t>
  </si>
  <si>
    <t>5203326602</t>
  </si>
  <si>
    <t>5203310002</t>
  </si>
  <si>
    <t>Farnetella</t>
  </si>
  <si>
    <t>5203326713</t>
  </si>
  <si>
    <t>Fontecieca</t>
  </si>
  <si>
    <t>5203326603</t>
  </si>
  <si>
    <t>Fratta</t>
  </si>
  <si>
    <t>5203310003</t>
  </si>
  <si>
    <t>Guazzino</t>
  </si>
  <si>
    <t>5203320004</t>
  </si>
  <si>
    <t>Il Busso</t>
  </si>
  <si>
    <t>5203326706</t>
  </si>
  <si>
    <t>Montemartino</t>
  </si>
  <si>
    <t>5203320007</t>
  </si>
  <si>
    <t>5203320011</t>
  </si>
  <si>
    <t>Poggi Gialli</t>
  </si>
  <si>
    <t>5203310004</t>
  </si>
  <si>
    <t>Rigomagno</t>
  </si>
  <si>
    <t>5203320009</t>
  </si>
  <si>
    <t>Santarello</t>
  </si>
  <si>
    <t>5203310005</t>
  </si>
  <si>
    <t>Scrofiano</t>
  </si>
  <si>
    <t>5203310006</t>
  </si>
  <si>
    <t>Sinalunga</t>
  </si>
  <si>
    <t>Sorano [GR]</t>
  </si>
  <si>
    <t>5302626602</t>
  </si>
  <si>
    <t>Casa Faini</t>
  </si>
  <si>
    <t>5302626603</t>
  </si>
  <si>
    <t>Casa Pennacchi</t>
  </si>
  <si>
    <t>5302626605</t>
  </si>
  <si>
    <t>Casa Topi-Gabrielli</t>
  </si>
  <si>
    <t>5302626606</t>
  </si>
  <si>
    <t>Case Giovagnoli</t>
  </si>
  <si>
    <t>5302626607</t>
  </si>
  <si>
    <t>Case Mariotti</t>
  </si>
  <si>
    <t>5302620008</t>
  </si>
  <si>
    <t>Case Orienti</t>
  </si>
  <si>
    <t>5302620009</t>
  </si>
  <si>
    <t>Case Rocchi</t>
  </si>
  <si>
    <t>5302620010</t>
  </si>
  <si>
    <t>Case San Leopoldo</t>
  </si>
  <si>
    <t>5302640000</t>
  </si>
  <si>
    <t>Case sparse_126</t>
  </si>
  <si>
    <t>5302620011</t>
  </si>
  <si>
    <t>5302610001</t>
  </si>
  <si>
    <t>Castell'Ottieri</t>
  </si>
  <si>
    <t>5302620012</t>
  </si>
  <si>
    <t>Cerretino</t>
  </si>
  <si>
    <t>5302626613</t>
  </si>
  <si>
    <t>Cerreto</t>
  </si>
  <si>
    <t>5302610002</t>
  </si>
  <si>
    <t>Elmo</t>
  </si>
  <si>
    <t>5302626614</t>
  </si>
  <si>
    <t>Grotte Cavalieri</t>
  </si>
  <si>
    <t>5302620015</t>
  </si>
  <si>
    <t>Il Poderetto</t>
  </si>
  <si>
    <t>5302626616</t>
  </si>
  <si>
    <t>5302626617</t>
  </si>
  <si>
    <t>La Dispensa</t>
  </si>
  <si>
    <t>5302620018</t>
  </si>
  <si>
    <t>Le Capannelle</t>
  </si>
  <si>
    <t>5302620019</t>
  </si>
  <si>
    <t>Le Pianacce</t>
  </si>
  <si>
    <t>5302620020</t>
  </si>
  <si>
    <t>Le Porcarecce</t>
  </si>
  <si>
    <t>5302610003</t>
  </si>
  <si>
    <t>Montebuono</t>
  </si>
  <si>
    <t>5302620021</t>
  </si>
  <si>
    <t>Montesorano</t>
  </si>
  <si>
    <t>5302610004</t>
  </si>
  <si>
    <t>Montevitozzo</t>
  </si>
  <si>
    <t>5302620023</t>
  </si>
  <si>
    <t>5302626624</t>
  </si>
  <si>
    <t>Ronzinami</t>
  </si>
  <si>
    <t>5302610005</t>
  </si>
  <si>
    <t>San Giovanni delle Contee</t>
  </si>
  <si>
    <t>5302610006</t>
  </si>
  <si>
    <t>5302610007</t>
  </si>
  <si>
    <t>San Valentino</t>
  </si>
  <si>
    <t>5302626625</t>
  </si>
  <si>
    <t>Sant'Anna</t>
  </si>
  <si>
    <t>5302610008</t>
  </si>
  <si>
    <t>Sorano</t>
  </si>
  <si>
    <t>5302626626</t>
  </si>
  <si>
    <t>Sordino</t>
  </si>
  <si>
    <t>5302610009</t>
  </si>
  <si>
    <t>Sovana</t>
  </si>
  <si>
    <t>5302620027</t>
  </si>
  <si>
    <t>Valle Castagneta</t>
  </si>
  <si>
    <t>Sovicille [SI]</t>
  </si>
  <si>
    <t>5203420001</t>
  </si>
  <si>
    <t>Ampugnano</t>
  </si>
  <si>
    <t>5203420037</t>
  </si>
  <si>
    <t>Ancaiano</t>
  </si>
  <si>
    <t>5203426724</t>
  </si>
  <si>
    <t>Arnano</t>
  </si>
  <si>
    <t>5203430002</t>
  </si>
  <si>
    <t>Bellaria</t>
  </si>
  <si>
    <t>5203420032</t>
  </si>
  <si>
    <t>Brenna</t>
  </si>
  <si>
    <t>5203420002</t>
  </si>
  <si>
    <t>5203420003</t>
  </si>
  <si>
    <t>Caggio</t>
  </si>
  <si>
    <t>5203420004</t>
  </si>
  <si>
    <t>Caldana di Sopra</t>
  </si>
  <si>
    <t>5203426705</t>
  </si>
  <si>
    <t>Caldana di Sotto</t>
  </si>
  <si>
    <t>5203420035</t>
  </si>
  <si>
    <t>Carpineto</t>
  </si>
  <si>
    <t>5203426725</t>
  </si>
  <si>
    <t>Casalta e Belvedere</t>
  </si>
  <si>
    <t>5203440000</t>
  </si>
  <si>
    <t>Case sparse_98</t>
  </si>
  <si>
    <t>5203420007</t>
  </si>
  <si>
    <t>Castello-Fabbricaccia</t>
  </si>
  <si>
    <t>5203426628</t>
  </si>
  <si>
    <t>La Cetina</t>
  </si>
  <si>
    <t>5203430003</t>
  </si>
  <si>
    <t>La Macchia</t>
  </si>
  <si>
    <t>5203426609</t>
  </si>
  <si>
    <t>Malignano</t>
  </si>
  <si>
    <t>5203420031</t>
  </si>
  <si>
    <t>Orgia</t>
  </si>
  <si>
    <t>5203420010</t>
  </si>
  <si>
    <t>Palazzavelli</t>
  </si>
  <si>
    <t>5203426727</t>
  </si>
  <si>
    <t>Palazzo A Merse</t>
  </si>
  <si>
    <t>5203430001</t>
  </si>
  <si>
    <t>Pian dei Mori</t>
  </si>
  <si>
    <t>5203420017</t>
  </si>
  <si>
    <t>Pilli</t>
  </si>
  <si>
    <t>5203420012</t>
  </si>
  <si>
    <t>Piscialembita</t>
  </si>
  <si>
    <t>5203420013</t>
  </si>
  <si>
    <t>Poggio Salvi</t>
  </si>
  <si>
    <t>5203426714</t>
  </si>
  <si>
    <t>Ponte Allo Spino</t>
  </si>
  <si>
    <t>5203410005</t>
  </si>
  <si>
    <t>Rosia</t>
  </si>
  <si>
    <t>5203426616</t>
  </si>
  <si>
    <t>5203410006</t>
  </si>
  <si>
    <t>San Rocco A Pilli</t>
  </si>
  <si>
    <t>5203426730</t>
  </si>
  <si>
    <t>San Rocco-Lischeto</t>
  </si>
  <si>
    <t>5203420018</t>
  </si>
  <si>
    <t>Simignano</t>
  </si>
  <si>
    <t>5203426719</t>
  </si>
  <si>
    <t>Solatio di Sotto</t>
  </si>
  <si>
    <t>5203410007</t>
  </si>
  <si>
    <t>Sovicille</t>
  </si>
  <si>
    <t>5203420020</t>
  </si>
  <si>
    <t>Stigliano</t>
  </si>
  <si>
    <t>5203420033</t>
  </si>
  <si>
    <t>Tegoia</t>
  </si>
  <si>
    <t>5203426621</t>
  </si>
  <si>
    <t>5203420022</t>
  </si>
  <si>
    <t>Tonni</t>
  </si>
  <si>
    <t>5203420034</t>
  </si>
  <si>
    <t>5203426723</t>
  </si>
  <si>
    <t>Valacchio</t>
  </si>
  <si>
    <t>5203420036</t>
  </si>
  <si>
    <t>Stazzema [LU]</t>
  </si>
  <si>
    <t>4603020001</t>
  </si>
  <si>
    <t>Alla Costa</t>
  </si>
  <si>
    <t>4603010001</t>
  </si>
  <si>
    <t>Arni</t>
  </si>
  <si>
    <t>4603020003</t>
  </si>
  <si>
    <t>Calcaferro</t>
  </si>
  <si>
    <t>4603020011</t>
  </si>
  <si>
    <t>Campagrina</t>
  </si>
  <si>
    <t>4603026604</t>
  </si>
  <si>
    <t>Cansoli</t>
  </si>
  <si>
    <t>4603010003</t>
  </si>
  <si>
    <t>4603040000</t>
  </si>
  <si>
    <t>Case sparse_269</t>
  </si>
  <si>
    <t>4603010004</t>
  </si>
  <si>
    <t>4603010005</t>
  </si>
  <si>
    <t>Farnocchia</t>
  </si>
  <si>
    <t>4603020005</t>
  </si>
  <si>
    <t>Fontaneto</t>
  </si>
  <si>
    <t>4603010018</t>
  </si>
  <si>
    <t>Gallena</t>
  </si>
  <si>
    <t>4603020007</t>
  </si>
  <si>
    <t>Iacco</t>
  </si>
  <si>
    <t>4603010006</t>
  </si>
  <si>
    <t>Levigliani</t>
  </si>
  <si>
    <t>4603026612</t>
  </si>
  <si>
    <t>Luchera</t>
  </si>
  <si>
    <t>4603010007</t>
  </si>
  <si>
    <t>Mulina</t>
  </si>
  <si>
    <t>4603026608</t>
  </si>
  <si>
    <t>4603010008</t>
  </si>
  <si>
    <t>Palagnana</t>
  </si>
  <si>
    <t>4603010009</t>
  </si>
  <si>
    <t>Pomezzana</t>
  </si>
  <si>
    <t>4603010010</t>
  </si>
  <si>
    <t>Pontestazzemese</t>
  </si>
  <si>
    <t>4603010011</t>
  </si>
  <si>
    <t>Pruno</t>
  </si>
  <si>
    <t>4603010012</t>
  </si>
  <si>
    <t>Retignano</t>
  </si>
  <si>
    <t>4603010013</t>
  </si>
  <si>
    <t>4603010014</t>
  </si>
  <si>
    <t>4603010015</t>
  </si>
  <si>
    <t>Stazzema</t>
  </si>
  <si>
    <t>4603010016</t>
  </si>
  <si>
    <t>Terrinca</t>
  </si>
  <si>
    <t>4603010017</t>
  </si>
  <si>
    <t>Volegno</t>
  </si>
  <si>
    <t>4603020010</t>
  </si>
  <si>
    <t>Zarli</t>
  </si>
  <si>
    <t>Stia [AR]</t>
  </si>
  <si>
    <t>5103626601</t>
  </si>
  <si>
    <t>5103640000</t>
  </si>
  <si>
    <t>Case sparse_61</t>
  </si>
  <si>
    <t>5103610001</t>
  </si>
  <si>
    <t>5103626602</t>
  </si>
  <si>
    <t>5103626703</t>
  </si>
  <si>
    <t>Ponte Biforco</t>
  </si>
  <si>
    <t>5103610002</t>
  </si>
  <si>
    <t>5103610003</t>
  </si>
  <si>
    <t>5103610004</t>
  </si>
  <si>
    <t>Stia</t>
  </si>
  <si>
    <t>Subbiano [AR]</t>
  </si>
  <si>
    <t>5103720001</t>
  </si>
  <si>
    <t>Cá di Buffa</t>
  </si>
  <si>
    <t>5103720002</t>
  </si>
  <si>
    <t>Calbezzano</t>
  </si>
  <si>
    <t>5103720003</t>
  </si>
  <si>
    <t>Casacciola-Belvedere</t>
  </si>
  <si>
    <t>5103740000</t>
  </si>
  <si>
    <t>Case sparse_62</t>
  </si>
  <si>
    <t>5103710001</t>
  </si>
  <si>
    <t>5103710002</t>
  </si>
  <si>
    <t>Chiaveretto</t>
  </si>
  <si>
    <t>5103710003</t>
  </si>
  <si>
    <t>5103726604</t>
  </si>
  <si>
    <t>Giuliano</t>
  </si>
  <si>
    <t>5103726607</t>
  </si>
  <si>
    <t>La Piaggia</t>
  </si>
  <si>
    <t>5103726608</t>
  </si>
  <si>
    <t>Lavacchio</t>
  </si>
  <si>
    <t>5103720009</t>
  </si>
  <si>
    <t>Le Caselle</t>
  </si>
  <si>
    <t>5103726612</t>
  </si>
  <si>
    <t>Palbena</t>
  </si>
  <si>
    <t>5103720013</t>
  </si>
  <si>
    <t>Piaggia di Sopra</t>
  </si>
  <si>
    <t>5103710004</t>
  </si>
  <si>
    <t>Poggio d'Acona</t>
  </si>
  <si>
    <t>5103710005</t>
  </si>
  <si>
    <t>Ponte Caliano</t>
  </si>
  <si>
    <t>5103726714</t>
  </si>
  <si>
    <t>Ponte Francese</t>
  </si>
  <si>
    <t>5103726615</t>
  </si>
  <si>
    <t>Rocolino</t>
  </si>
  <si>
    <t>5103710006</t>
  </si>
  <si>
    <t>Santa Mama</t>
  </si>
  <si>
    <t>5103710007</t>
  </si>
  <si>
    <t>Subbiano</t>
  </si>
  <si>
    <t>5103726616</t>
  </si>
  <si>
    <t>Terranera di Sotto</t>
  </si>
  <si>
    <t>5103710008</t>
  </si>
  <si>
    <t>Vogognano</t>
  </si>
  <si>
    <t>Suvereto [LI]</t>
  </si>
  <si>
    <t>4902040000</t>
  </si>
  <si>
    <t>Case sparse_201</t>
  </si>
  <si>
    <t>4902020003</t>
  </si>
  <si>
    <t>Forni</t>
  </si>
  <si>
    <t>4902030001</t>
  </si>
  <si>
    <t>4902020005</t>
  </si>
  <si>
    <t>4902010001</t>
  </si>
  <si>
    <t>4902026611</t>
  </si>
  <si>
    <t>San Lorenzo Due</t>
  </si>
  <si>
    <t>4902010002</t>
  </si>
  <si>
    <t>Suvereto</t>
  </si>
  <si>
    <t>Talla [AR]</t>
  </si>
  <si>
    <t>5103810001</t>
  </si>
  <si>
    <t>Bicciano</t>
  </si>
  <si>
    <t>5103810002</t>
  </si>
  <si>
    <t>5103826601</t>
  </si>
  <si>
    <t>Casalvescovo</t>
  </si>
  <si>
    <t>5103840000</t>
  </si>
  <si>
    <t>Case sparse_63</t>
  </si>
  <si>
    <t>5103820002</t>
  </si>
  <si>
    <t>5103810003</t>
  </si>
  <si>
    <t>5103810004</t>
  </si>
  <si>
    <t>Pieve Pontenano</t>
  </si>
  <si>
    <t>5103810005</t>
  </si>
  <si>
    <t>Pontenano</t>
  </si>
  <si>
    <t>5103810006</t>
  </si>
  <si>
    <t>Santo Bagnena</t>
  </si>
  <si>
    <t>5103810007</t>
  </si>
  <si>
    <t>Talla</t>
  </si>
  <si>
    <t>5103826603</t>
  </si>
  <si>
    <t>Vallea</t>
  </si>
  <si>
    <t>Tavarnelle Val di Pesa [FI]</t>
  </si>
  <si>
    <t>4804520001</t>
  </si>
  <si>
    <t>Badia a Passignano</t>
  </si>
  <si>
    <t>4804526702</t>
  </si>
  <si>
    <t>Bonazza</t>
  </si>
  <si>
    <t>4804540000</t>
  </si>
  <si>
    <t>Case sparse_178</t>
  </si>
  <si>
    <t>4804526703</t>
  </si>
  <si>
    <t>Chiostrini</t>
  </si>
  <si>
    <t>4804520004</t>
  </si>
  <si>
    <t>Madonna di Pietracupa</t>
  </si>
  <si>
    <t>4804526605</t>
  </si>
  <si>
    <t>4804520006</t>
  </si>
  <si>
    <t>Morrocco</t>
  </si>
  <si>
    <t>4804520007</t>
  </si>
  <si>
    <t>Noce</t>
  </si>
  <si>
    <t>4804526608</t>
  </si>
  <si>
    <t>4804520009</t>
  </si>
  <si>
    <t>Romita</t>
  </si>
  <si>
    <t>4804510001</t>
  </si>
  <si>
    <t>4804510002</t>
  </si>
  <si>
    <t>4804526610</t>
  </si>
  <si>
    <t>4804526711</t>
  </si>
  <si>
    <t>San Pietro in Bossolo</t>
  </si>
  <si>
    <t>4804510003</t>
  </si>
  <si>
    <t>Tavarnelle</t>
  </si>
  <si>
    <t>4804520012</t>
  </si>
  <si>
    <t>Valluccia</t>
  </si>
  <si>
    <t>Terranuova Bracciolini [AR]</t>
  </si>
  <si>
    <t>5103910001</t>
  </si>
  <si>
    <t>Campogialli</t>
  </si>
  <si>
    <t>5103940000</t>
  </si>
  <si>
    <t>Case sparse_64</t>
  </si>
  <si>
    <t>5103926701</t>
  </si>
  <si>
    <t>Castiglione Ubertini</t>
  </si>
  <si>
    <t>5103910002</t>
  </si>
  <si>
    <t>Cicogna</t>
  </si>
  <si>
    <t>5103920002</t>
  </si>
  <si>
    <t>Comugni</t>
  </si>
  <si>
    <t>5103920003</t>
  </si>
  <si>
    <t>Farneto</t>
  </si>
  <si>
    <t>5103926604</t>
  </si>
  <si>
    <t>5103920005</t>
  </si>
  <si>
    <t>Lungarno</t>
  </si>
  <si>
    <t>5103910003</t>
  </si>
  <si>
    <t>Madrigale</t>
  </si>
  <si>
    <t>5103920006</t>
  </si>
  <si>
    <t>Malva Nuova-Squarcia</t>
  </si>
  <si>
    <t>5103910004</t>
  </si>
  <si>
    <t>Montemarciano</t>
  </si>
  <si>
    <t>5103926607</t>
  </si>
  <si>
    <t>Monticello</t>
  </si>
  <si>
    <t>5103910005</t>
  </si>
  <si>
    <t>Penna</t>
  </si>
  <si>
    <t>5103910006</t>
  </si>
  <si>
    <t>Persignano</t>
  </si>
  <si>
    <t>5103910007</t>
  </si>
  <si>
    <t>Piantravigne</t>
  </si>
  <si>
    <t>5103910008</t>
  </si>
  <si>
    <t>5103910009</t>
  </si>
  <si>
    <t>Tasso</t>
  </si>
  <si>
    <t>5103910010</t>
  </si>
  <si>
    <t>Terranuova Bracciolini</t>
  </si>
  <si>
    <t>5103910011</t>
  </si>
  <si>
    <t>Traiana</t>
  </si>
  <si>
    <t>5103910012</t>
  </si>
  <si>
    <t>5103920008</t>
  </si>
  <si>
    <t>Valle d'Inferno</t>
  </si>
  <si>
    <t>5103910013</t>
  </si>
  <si>
    <t>Terricciola [PI]</t>
  </si>
  <si>
    <t>5003620002</t>
  </si>
  <si>
    <t>Aia Bianca di Sotto</t>
  </si>
  <si>
    <t>5003620003</t>
  </si>
  <si>
    <t>5003640000</t>
  </si>
  <si>
    <t>Case sparse_22</t>
  </si>
  <si>
    <t>5003620007</t>
  </si>
  <si>
    <t>Chientina</t>
  </si>
  <si>
    <t>5003610002</t>
  </si>
  <si>
    <t>La Rosa</t>
  </si>
  <si>
    <t>5003626704</t>
  </si>
  <si>
    <t>5003620005</t>
  </si>
  <si>
    <t>5003610003</t>
  </si>
  <si>
    <t>Morrona</t>
  </si>
  <si>
    <t>5003610004</t>
  </si>
  <si>
    <t>Selvatelle</t>
  </si>
  <si>
    <t>5003610005</t>
  </si>
  <si>
    <t>Soiana</t>
  </si>
  <si>
    <t>5003610006</t>
  </si>
  <si>
    <t>Soianella</t>
  </si>
  <si>
    <t>5003620006</t>
  </si>
  <si>
    <t>Stibbiolo</t>
  </si>
  <si>
    <t>5003610007</t>
  </si>
  <si>
    <t>Terricciola</t>
  </si>
  <si>
    <t>Torrita di Siena [SI]</t>
  </si>
  <si>
    <t>5203540000</t>
  </si>
  <si>
    <t>Case sparse_99</t>
  </si>
  <si>
    <t>5203520001</t>
  </si>
  <si>
    <t>Caselle-Gore</t>
  </si>
  <si>
    <t>5203526702</t>
  </si>
  <si>
    <t>5203520012</t>
  </si>
  <si>
    <t>5203520003</t>
  </si>
  <si>
    <t>Foenna</t>
  </si>
  <si>
    <t>5203520004</t>
  </si>
  <si>
    <t>Fornaci Bellaria</t>
  </si>
  <si>
    <t>5203520005</t>
  </si>
  <si>
    <t>Guardavalle</t>
  </si>
  <si>
    <t>5203526713</t>
  </si>
  <si>
    <t>Guardavalle I</t>
  </si>
  <si>
    <t>5203526714</t>
  </si>
  <si>
    <t>Laparelli</t>
  </si>
  <si>
    <t>5203510001</t>
  </si>
  <si>
    <t>Montefollonico</t>
  </si>
  <si>
    <t>5203520006</t>
  </si>
  <si>
    <t>Osteria delle Noci</t>
  </si>
  <si>
    <t>5203520016</t>
  </si>
  <si>
    <t>5203520007</t>
  </si>
  <si>
    <t>Pantanelli di Sopra</t>
  </si>
  <si>
    <t>5203520008</t>
  </si>
  <si>
    <t>Pantanelli di Sotto</t>
  </si>
  <si>
    <t>5203526609</t>
  </si>
  <si>
    <t>Pelose</t>
  </si>
  <si>
    <t>5203526617</t>
  </si>
  <si>
    <t>Podere Case</t>
  </si>
  <si>
    <t>5203526618</t>
  </si>
  <si>
    <t>Podere Petriolo</t>
  </si>
  <si>
    <t>5203526611</t>
  </si>
  <si>
    <t>Selvanelli</t>
  </si>
  <si>
    <t>5203510002</t>
  </si>
  <si>
    <t>Torrita di Siena</t>
  </si>
  <si>
    <t>Trequanda [SI]</t>
  </si>
  <si>
    <t>5203640000</t>
  </si>
  <si>
    <t>Case sparse_100</t>
  </si>
  <si>
    <t>5203610001</t>
  </si>
  <si>
    <t>Castelmuzio</t>
  </si>
  <si>
    <t>5203626704</t>
  </si>
  <si>
    <t>Colombaio</t>
  </si>
  <si>
    <t>5203626603</t>
  </si>
  <si>
    <t>Fornoli</t>
  </si>
  <si>
    <t>5203610002</t>
  </si>
  <si>
    <t>5203626605</t>
  </si>
  <si>
    <t>5203610003</t>
  </si>
  <si>
    <t>Trequanda</t>
  </si>
  <si>
    <t>Tresana [MS]</t>
  </si>
  <si>
    <t>4501520001</t>
  </si>
  <si>
    <t>Baltrina</t>
  </si>
  <si>
    <t>4501526622</t>
  </si>
  <si>
    <t>Baltrina II</t>
  </si>
  <si>
    <t>4501510001</t>
  </si>
  <si>
    <t>Barbarasco</t>
  </si>
  <si>
    <t>4501520002</t>
  </si>
  <si>
    <t>Bocceda</t>
  </si>
  <si>
    <t>4501510002</t>
  </si>
  <si>
    <t>Bola</t>
  </si>
  <si>
    <t>4501520003</t>
  </si>
  <si>
    <t>Bottria</t>
  </si>
  <si>
    <t>4501520004</t>
  </si>
  <si>
    <t>Campo di Sopra</t>
  </si>
  <si>
    <t>4501520005</t>
  </si>
  <si>
    <t>Camporella</t>
  </si>
  <si>
    <t>4501510003</t>
  </si>
  <si>
    <t>Canala</t>
  </si>
  <si>
    <t>4501510004</t>
  </si>
  <si>
    <t>Careggia</t>
  </si>
  <si>
    <t>4501540000</t>
  </si>
  <si>
    <t>Case sparse_237</t>
  </si>
  <si>
    <t>4501524907</t>
  </si>
  <si>
    <t>4501520008</t>
  </si>
  <si>
    <t>Catizzola</t>
  </si>
  <si>
    <t>4501520009</t>
  </si>
  <si>
    <t>Cercò</t>
  </si>
  <si>
    <t>4501510005</t>
  </si>
  <si>
    <t>Corneda</t>
  </si>
  <si>
    <t>4501510006</t>
  </si>
  <si>
    <t>Giovagallo</t>
  </si>
  <si>
    <t>4501510007</t>
  </si>
  <si>
    <t>4501520011</t>
  </si>
  <si>
    <t>4501520012</t>
  </si>
  <si>
    <t>Meredo</t>
  </si>
  <si>
    <t>4501520013</t>
  </si>
  <si>
    <t>Nave</t>
  </si>
  <si>
    <t>4501510008</t>
  </si>
  <si>
    <t>Novegigola</t>
  </si>
  <si>
    <t>4501520014</t>
  </si>
  <si>
    <t>Ortigaro</t>
  </si>
  <si>
    <t>4501526615</t>
  </si>
  <si>
    <t>Pera</t>
  </si>
  <si>
    <t>4501520016</t>
  </si>
  <si>
    <t>Pietrasalta</t>
  </si>
  <si>
    <t>4501526617</t>
  </si>
  <si>
    <t>4501520018</t>
  </si>
  <si>
    <t>Popetto</t>
  </si>
  <si>
    <t>4501520019</t>
  </si>
  <si>
    <t>Serrapiana</t>
  </si>
  <si>
    <t>4501510009</t>
  </si>
  <si>
    <t>Tassonarla</t>
  </si>
  <si>
    <t>4501520020</t>
  </si>
  <si>
    <t>Tavella</t>
  </si>
  <si>
    <t>4501510010</t>
  </si>
  <si>
    <t>Tresana</t>
  </si>
  <si>
    <t>4501510011</t>
  </si>
  <si>
    <t>4501520021</t>
  </si>
  <si>
    <t>Villecchia</t>
  </si>
  <si>
    <t>Uzzano [PT]</t>
  </si>
  <si>
    <t>4702120002</t>
  </si>
  <si>
    <t>Case Benedetti</t>
  </si>
  <si>
    <t>4702140000</t>
  </si>
  <si>
    <t>Case sparse_136</t>
  </si>
  <si>
    <t>4702110001</t>
  </si>
  <si>
    <t>Forone</t>
  </si>
  <si>
    <t>4702110006</t>
  </si>
  <si>
    <t>Querceta</t>
  </si>
  <si>
    <t>4702110003</t>
  </si>
  <si>
    <t>4702110004</t>
  </si>
  <si>
    <t>Torricchio</t>
  </si>
  <si>
    <t>4702110005</t>
  </si>
  <si>
    <t>Uzzano</t>
  </si>
  <si>
    <t>Vagli Sotto [LU]</t>
  </si>
  <si>
    <t>4603140000</t>
  </si>
  <si>
    <t>Case sparse_270</t>
  </si>
  <si>
    <t>4603110001</t>
  </si>
  <si>
    <t>Fontana delle Monache</t>
  </si>
  <si>
    <t>4603110002</t>
  </si>
  <si>
    <t>Roggio</t>
  </si>
  <si>
    <t>4603110003</t>
  </si>
  <si>
    <t>Vagli Sopra</t>
  </si>
  <si>
    <t>4603110004</t>
  </si>
  <si>
    <t>Vagli Sotto</t>
  </si>
  <si>
    <t>Vaglia [FI]</t>
  </si>
  <si>
    <t>4804610001</t>
  </si>
  <si>
    <t>Bivigliano</t>
  </si>
  <si>
    <t>4804640000</t>
  </si>
  <si>
    <t>Case sparse_179</t>
  </si>
  <si>
    <t>4804610002</t>
  </si>
  <si>
    <t>Caselline</t>
  </si>
  <si>
    <t>4804620801</t>
  </si>
  <si>
    <t>Convento Monte Senario</t>
  </si>
  <si>
    <t>4804626602</t>
  </si>
  <si>
    <t>Ferraglia</t>
  </si>
  <si>
    <t>4804610003</t>
  </si>
  <si>
    <t>Fontebuona</t>
  </si>
  <si>
    <t>4804620003</t>
  </si>
  <si>
    <t>Il Torrino</t>
  </si>
  <si>
    <t>4804610004</t>
  </si>
  <si>
    <t>4804610005</t>
  </si>
  <si>
    <t>4804610006</t>
  </si>
  <si>
    <t>4804620008</t>
  </si>
  <si>
    <t>Poggio Conca</t>
  </si>
  <si>
    <t>4804610007</t>
  </si>
  <si>
    <t>Pratolino</t>
  </si>
  <si>
    <t>4804610008</t>
  </si>
  <si>
    <t>Vaglia</t>
  </si>
  <si>
    <t>4804620006</t>
  </si>
  <si>
    <t>Vetta le Croci</t>
  </si>
  <si>
    <t>4804620007</t>
  </si>
  <si>
    <t>Viliani</t>
  </si>
  <si>
    <t>Vaiano [PO]</t>
  </si>
  <si>
    <t>10000640000</t>
  </si>
  <si>
    <t>Case sparse_221</t>
  </si>
  <si>
    <t>10000620002</t>
  </si>
  <si>
    <t>10000610001</t>
  </si>
  <si>
    <t>Schignano</t>
  </si>
  <si>
    <t>10000610002</t>
  </si>
  <si>
    <t>Vaiano</t>
  </si>
  <si>
    <t>Vecchiano [PI]</t>
  </si>
  <si>
    <t>5003710001</t>
  </si>
  <si>
    <t>Avane</t>
  </si>
  <si>
    <t>5003710005</t>
  </si>
  <si>
    <t>Casa delle Guardie</t>
  </si>
  <si>
    <t>5003726703</t>
  </si>
  <si>
    <t>Case Il Troncolo</t>
  </si>
  <si>
    <t>5003740000</t>
  </si>
  <si>
    <t>Case sparse_23</t>
  </si>
  <si>
    <t>5003710002</t>
  </si>
  <si>
    <t>5003720005</t>
  </si>
  <si>
    <t>La Presa</t>
  </si>
  <si>
    <t>5003726704</t>
  </si>
  <si>
    <t>Laiano</t>
  </si>
  <si>
    <t>5003720006</t>
  </si>
  <si>
    <t>Malaventre</t>
  </si>
  <si>
    <t>5003710003</t>
  </si>
  <si>
    <t>Migliarino</t>
  </si>
  <si>
    <t>5003710004</t>
  </si>
  <si>
    <t>Vecchiano-Nodica</t>
  </si>
  <si>
    <t>5003730001</t>
  </si>
  <si>
    <t>Zona Industriale Migliarino Pisano</t>
  </si>
  <si>
    <t>Vergemoli [LU]</t>
  </si>
  <si>
    <t>4603210001</t>
  </si>
  <si>
    <t>Calomini</t>
  </si>
  <si>
    <t>4603210002</t>
  </si>
  <si>
    <t>Campolemisi</t>
  </si>
  <si>
    <t>4603240000</t>
  </si>
  <si>
    <t>Case sparse_271</t>
  </si>
  <si>
    <t>4603210003</t>
  </si>
  <si>
    <t>Fornovolasco</t>
  </si>
  <si>
    <t>4603224902</t>
  </si>
  <si>
    <t>Gallatoio</t>
  </si>
  <si>
    <t>4603210004</t>
  </si>
  <si>
    <t>Vergemoli</t>
  </si>
  <si>
    <t>Vernio [PO]</t>
  </si>
  <si>
    <t>10000740000</t>
  </si>
  <si>
    <t>Case sparse_222</t>
  </si>
  <si>
    <t>10000710001</t>
  </si>
  <si>
    <t>Cavarzano</t>
  </si>
  <si>
    <t>10000720001</t>
  </si>
  <si>
    <t>Costozze</t>
  </si>
  <si>
    <t>10000710002</t>
  </si>
  <si>
    <t>La Storaia</t>
  </si>
  <si>
    <t>10000710003</t>
  </si>
  <si>
    <t>10000710004</t>
  </si>
  <si>
    <t>Mercatale-San Quirico</t>
  </si>
  <si>
    <t>10000710005</t>
  </si>
  <si>
    <t>Montepiano</t>
  </si>
  <si>
    <t>10000710007</t>
  </si>
  <si>
    <t>Sasseta</t>
  </si>
  <si>
    <t>10000720007</t>
  </si>
  <si>
    <t>Terrigoli</t>
  </si>
  <si>
    <t>Viareggio [LU]</t>
  </si>
  <si>
    <t>4603326713</t>
  </si>
  <si>
    <t>Aurelia Sud</t>
  </si>
  <si>
    <t>4603322717</t>
  </si>
  <si>
    <t>Barbantini</t>
  </si>
  <si>
    <t>4603320001</t>
  </si>
  <si>
    <t>Barù</t>
  </si>
  <si>
    <t>4603326712</t>
  </si>
  <si>
    <t>Bozzana</t>
  </si>
  <si>
    <t>4603340000</t>
  </si>
  <si>
    <t>Case sparse_272</t>
  </si>
  <si>
    <t>4603326703</t>
  </si>
  <si>
    <t>Chiusa di Michelone</t>
  </si>
  <si>
    <t>4603326604</t>
  </si>
  <si>
    <t>Cinquini</t>
  </si>
  <si>
    <t>4603326711</t>
  </si>
  <si>
    <t>Ferrovia</t>
  </si>
  <si>
    <t>4603326714</t>
  </si>
  <si>
    <t>Fosso Guidario</t>
  </si>
  <si>
    <t>4603326716</t>
  </si>
  <si>
    <t>Fosso Matelli</t>
  </si>
  <si>
    <t>4603326705</t>
  </si>
  <si>
    <t>Gronda Sud</t>
  </si>
  <si>
    <t>4603320006</t>
  </si>
  <si>
    <t>Innocenzo</t>
  </si>
  <si>
    <t>4603326607</t>
  </si>
  <si>
    <t>Lecci</t>
  </si>
  <si>
    <t>4603326602</t>
  </si>
  <si>
    <t>Manone</t>
  </si>
  <si>
    <t>4603315704</t>
  </si>
  <si>
    <t>Marina di Torre del Lago Puccini</t>
  </si>
  <si>
    <t>4603315703</t>
  </si>
  <si>
    <t>Quartiere Lagomare</t>
  </si>
  <si>
    <t>4603326709</t>
  </si>
  <si>
    <t>Sasso Bianco</t>
  </si>
  <si>
    <t>4603320010</t>
  </si>
  <si>
    <t>Tombolo</t>
  </si>
  <si>
    <t>4603310001</t>
  </si>
  <si>
    <t>Torre del Lago Puccini</t>
  </si>
  <si>
    <t>4603310002</t>
  </si>
  <si>
    <t>Viareggio</t>
  </si>
  <si>
    <t>4603320015</t>
  </si>
  <si>
    <t>Villa Macchia</t>
  </si>
  <si>
    <t>Vicchio [FI]</t>
  </si>
  <si>
    <t>4804910001</t>
  </si>
  <si>
    <t>4804940000</t>
  </si>
  <si>
    <t>Case sparse_180</t>
  </si>
  <si>
    <t>4804910002</t>
  </si>
  <si>
    <t>4804926602</t>
  </si>
  <si>
    <t>4804910003</t>
  </si>
  <si>
    <t>Cistio</t>
  </si>
  <si>
    <t>4804920016</t>
  </si>
  <si>
    <t>Gattaia</t>
  </si>
  <si>
    <t>4804920003</t>
  </si>
  <si>
    <t>La Ginestra</t>
  </si>
  <si>
    <t>4804920015</t>
  </si>
  <si>
    <t>La Gracchia</t>
  </si>
  <si>
    <t>4804926617</t>
  </si>
  <si>
    <t>Le Balze</t>
  </si>
  <si>
    <t>4804920014</t>
  </si>
  <si>
    <t>Lo Spinoso</t>
  </si>
  <si>
    <t>4804920013</t>
  </si>
  <si>
    <t>Mattagnano</t>
  </si>
  <si>
    <t>4804920004</t>
  </si>
  <si>
    <t>Mirandola</t>
  </si>
  <si>
    <t>4804920005</t>
  </si>
  <si>
    <t>Molezzano</t>
  </si>
  <si>
    <t>4804926606</t>
  </si>
  <si>
    <t>4804910008</t>
  </si>
  <si>
    <t>4804920007</t>
  </si>
  <si>
    <t>Pilarciano</t>
  </si>
  <si>
    <t>4804920008</t>
  </si>
  <si>
    <t>Ponte a Vicchio</t>
  </si>
  <si>
    <t>4804926709</t>
  </si>
  <si>
    <t>Ricavo</t>
  </si>
  <si>
    <t>4804920012</t>
  </si>
  <si>
    <t>Rupecanina</t>
  </si>
  <si>
    <t>4804910010</t>
  </si>
  <si>
    <t>Santa Maria a Vezzano</t>
  </si>
  <si>
    <t>4804926610</t>
  </si>
  <si>
    <t>4804926711</t>
  </si>
  <si>
    <t>Uzzana</t>
  </si>
  <si>
    <t>4804910011</t>
  </si>
  <si>
    <t>4804920018</t>
  </si>
  <si>
    <t>Villore</t>
  </si>
  <si>
    <t>Vicopisano [PI]</t>
  </si>
  <si>
    <t>5003830001</t>
  </si>
  <si>
    <t>Barsiliana</t>
  </si>
  <si>
    <t>5003810001</t>
  </si>
  <si>
    <t>Caprona</t>
  </si>
  <si>
    <t>5003840000</t>
  </si>
  <si>
    <t>Case sparse_24</t>
  </si>
  <si>
    <t>5003830003</t>
  </si>
  <si>
    <t>5003826601</t>
  </si>
  <si>
    <t>5003810002</t>
  </si>
  <si>
    <t>Guerrazzi</t>
  </si>
  <si>
    <t>5003826608</t>
  </si>
  <si>
    <t>Luchetta</t>
  </si>
  <si>
    <t>5003820003</t>
  </si>
  <si>
    <t>5003826704</t>
  </si>
  <si>
    <t>Novi</t>
  </si>
  <si>
    <t>5003830002</t>
  </si>
  <si>
    <t>Piana di Noce</t>
  </si>
  <si>
    <t>5003826609</t>
  </si>
  <si>
    <t>Sarzanese Valdera</t>
  </si>
  <si>
    <t>5003810003</t>
  </si>
  <si>
    <t>Uliveto Terme</t>
  </si>
  <si>
    <t>5003810004</t>
  </si>
  <si>
    <t>Vicopisano</t>
  </si>
  <si>
    <t>Villa Basilica [LU]</t>
  </si>
  <si>
    <t>4603420001</t>
  </si>
  <si>
    <t>Biecina</t>
  </si>
  <si>
    <t>4603410001</t>
  </si>
  <si>
    <t>Botticino</t>
  </si>
  <si>
    <t>4603410002</t>
  </si>
  <si>
    <t>Boveglio</t>
  </si>
  <si>
    <t>4603426608</t>
  </si>
  <si>
    <t>Buoso</t>
  </si>
  <si>
    <t>4603420002</t>
  </si>
  <si>
    <t>Capornano</t>
  </si>
  <si>
    <t>4603440000</t>
  </si>
  <si>
    <t>Case sparse_273</t>
  </si>
  <si>
    <t>4603410003</t>
  </si>
  <si>
    <t>4603420003</t>
  </si>
  <si>
    <t>Duomo</t>
  </si>
  <si>
    <t>4603420004</t>
  </si>
  <si>
    <t>Guzzano</t>
  </si>
  <si>
    <t>4603410004</t>
  </si>
  <si>
    <t>4603410005</t>
  </si>
  <si>
    <t>Pizzorne</t>
  </si>
  <si>
    <t>4603420011</t>
  </si>
  <si>
    <t>Ponte a Villa</t>
  </si>
  <si>
    <t>4603426605</t>
  </si>
  <si>
    <t>Pontoro</t>
  </si>
  <si>
    <t>4603410006</t>
  </si>
  <si>
    <t>Pracando</t>
  </si>
  <si>
    <t>4603420006</t>
  </si>
  <si>
    <t>Rimogno</t>
  </si>
  <si>
    <t>4603410007</t>
  </si>
  <si>
    <t>Villa Basilica</t>
  </si>
  <si>
    <t>Villa Collemandina [LU]</t>
  </si>
  <si>
    <t>4603524909</t>
  </si>
  <si>
    <t>Alpe di Massa</t>
  </si>
  <si>
    <t>4603524901</t>
  </si>
  <si>
    <t>Campaiana</t>
  </si>
  <si>
    <t>4603510001</t>
  </si>
  <si>
    <t>Canigiano</t>
  </si>
  <si>
    <t>4603540000</t>
  </si>
  <si>
    <t>Case sparse_274</t>
  </si>
  <si>
    <t>4603526608</t>
  </si>
  <si>
    <t>Collaccio</t>
  </si>
  <si>
    <t>4603520002</t>
  </si>
  <si>
    <t>Comunale</t>
  </si>
  <si>
    <t>4603510002</t>
  </si>
  <si>
    <t>Corfino</t>
  </si>
  <si>
    <t>4603520007</t>
  </si>
  <si>
    <t>Fondo Il Piano</t>
  </si>
  <si>
    <t>4603520003</t>
  </si>
  <si>
    <t>4603510007</t>
  </si>
  <si>
    <t>Magnano</t>
  </si>
  <si>
    <t>4603510003</t>
  </si>
  <si>
    <t>4603526605</t>
  </si>
  <si>
    <t>Molino di Villa</t>
  </si>
  <si>
    <t>4603510004</t>
  </si>
  <si>
    <t>Pianacci</t>
  </si>
  <si>
    <t>4603510005</t>
  </si>
  <si>
    <t>Sassorosso</t>
  </si>
  <si>
    <t>4603526606</t>
  </si>
  <si>
    <t>Sulcina</t>
  </si>
  <si>
    <t>4603510006</t>
  </si>
  <si>
    <t>Villa Collemandina</t>
  </si>
  <si>
    <t>Villafranca in Lunigiana [MS]</t>
  </si>
  <si>
    <t>4501626602</t>
  </si>
  <si>
    <t>Ca' Rapetti</t>
  </si>
  <si>
    <t>4501620001</t>
  </si>
  <si>
    <t>4501640000</t>
  </si>
  <si>
    <t>Case sparse_238</t>
  </si>
  <si>
    <t>4501620003</t>
  </si>
  <si>
    <t>Cortenovo</t>
  </si>
  <si>
    <t>4501610001</t>
  </si>
  <si>
    <t>4501620006</t>
  </si>
  <si>
    <t>I Saldi</t>
  </si>
  <si>
    <t>4501626604</t>
  </si>
  <si>
    <t>Il Bosco</t>
  </si>
  <si>
    <t>4501620005</t>
  </si>
  <si>
    <t>4501626607</t>
  </si>
  <si>
    <t>La Montata</t>
  </si>
  <si>
    <t>4501626608</t>
  </si>
  <si>
    <t>La Piastra</t>
  </si>
  <si>
    <t>4501620009</t>
  </si>
  <si>
    <t>La Vigna</t>
  </si>
  <si>
    <t>4501610002</t>
  </si>
  <si>
    <t>Malgrate</t>
  </si>
  <si>
    <t>4501610003</t>
  </si>
  <si>
    <t>Merizzo</t>
  </si>
  <si>
    <t>4501610004</t>
  </si>
  <si>
    <t>Mocrone</t>
  </si>
  <si>
    <t>4501626610</t>
  </si>
  <si>
    <t>Pradaccio</t>
  </si>
  <si>
    <t>4501620011</t>
  </si>
  <si>
    <t>4501610005</t>
  </si>
  <si>
    <t>Villa di Sopra</t>
  </si>
  <si>
    <t>4501610006</t>
  </si>
  <si>
    <t>Villa di Sotto</t>
  </si>
  <si>
    <t>4501610007</t>
  </si>
  <si>
    <t>Villafranca in Lunigiana</t>
  </si>
  <si>
    <t>4501610008</t>
  </si>
  <si>
    <t>Virgoletta</t>
  </si>
  <si>
    <t>Vinci [FI]</t>
  </si>
  <si>
    <t>4805010001</t>
  </si>
  <si>
    <t>Apparita</t>
  </si>
  <si>
    <t>4805026601</t>
  </si>
  <si>
    <t>Barano</t>
  </si>
  <si>
    <t>4805026602</t>
  </si>
  <si>
    <t>Campocollese</t>
  </si>
  <si>
    <t>4805040000</t>
  </si>
  <si>
    <t>Case sparse_181</t>
  </si>
  <si>
    <t>4805026629</t>
  </si>
  <si>
    <t>4805026603</t>
  </si>
  <si>
    <t>Casiloste</t>
  </si>
  <si>
    <t>4805030002</t>
  </si>
  <si>
    <t>Ciambellana</t>
  </si>
  <si>
    <t>4805020004</t>
  </si>
  <si>
    <t>Dianella</t>
  </si>
  <si>
    <t>4805020008</t>
  </si>
  <si>
    <t>La Chiesa Collegozzi</t>
  </si>
  <si>
    <t>4805026609</t>
  </si>
  <si>
    <t>La Chiesa San Pantaleo</t>
  </si>
  <si>
    <t>4805026610</t>
  </si>
  <si>
    <t>4805010002</t>
  </si>
  <si>
    <t>La Stella</t>
  </si>
  <si>
    <t>4805020011</t>
  </si>
  <si>
    <t>4805020012</t>
  </si>
  <si>
    <t>Lugnano</t>
  </si>
  <si>
    <t>4805026613</t>
  </si>
  <si>
    <t>Marcello</t>
  </si>
  <si>
    <t>4805026615</t>
  </si>
  <si>
    <t>Mazzantino</t>
  </si>
  <si>
    <t>4805020016</t>
  </si>
  <si>
    <t>4805020017</t>
  </si>
  <si>
    <t>Mignana</t>
  </si>
  <si>
    <t>4805020020</t>
  </si>
  <si>
    <t>Piccaratico</t>
  </si>
  <si>
    <t>4805020021</t>
  </si>
  <si>
    <t>4805026730</t>
  </si>
  <si>
    <t>Salvino</t>
  </si>
  <si>
    <t>4805010003</t>
  </si>
  <si>
    <t>Sant'Ansano</t>
  </si>
  <si>
    <t>4805020023</t>
  </si>
  <si>
    <t>Santigliana</t>
  </si>
  <si>
    <t>4805010004</t>
  </si>
  <si>
    <t>Spicchio-Sovigliana</t>
  </si>
  <si>
    <t>4805020024</t>
  </si>
  <si>
    <t>Tigliano</t>
  </si>
  <si>
    <t>4805010005</t>
  </si>
  <si>
    <t>4805026625</t>
  </si>
  <si>
    <t>Valinardi</t>
  </si>
  <si>
    <t>4805026626</t>
  </si>
  <si>
    <t>Verella</t>
  </si>
  <si>
    <t>4805010006</t>
  </si>
  <si>
    <t>Vinci</t>
  </si>
  <si>
    <t>4805020028</t>
  </si>
  <si>
    <t>Virle</t>
  </si>
  <si>
    <t>4805010007</t>
  </si>
  <si>
    <t>Vitolini</t>
  </si>
  <si>
    <t>4805010008</t>
  </si>
  <si>
    <t>Zona Industriale di Mercatale</t>
  </si>
  <si>
    <t>Volterra [PI]</t>
  </si>
  <si>
    <t>5003940000</t>
  </si>
  <si>
    <t>Case sparse_25</t>
  </si>
  <si>
    <t>5003920001</t>
  </si>
  <si>
    <t>Il Cipresso</t>
  </si>
  <si>
    <t>5003910001</t>
  </si>
  <si>
    <t>Mazzolla</t>
  </si>
  <si>
    <t>5003920002</t>
  </si>
  <si>
    <t>Montebradoni</t>
  </si>
  <si>
    <t>5003926603</t>
  </si>
  <si>
    <t>Prato d'Era</t>
  </si>
  <si>
    <t>5003926604</t>
  </si>
  <si>
    <t>Roncolla</t>
  </si>
  <si>
    <t>5003910002</t>
  </si>
  <si>
    <t>Saline</t>
  </si>
  <si>
    <t>5003920005</t>
  </si>
  <si>
    <t>San Cipriano</t>
  </si>
  <si>
    <t>5003910003</t>
  </si>
  <si>
    <t>5003910004</t>
  </si>
  <si>
    <t>Volterra</t>
  </si>
  <si>
    <t>Zeri [MS]</t>
  </si>
  <si>
    <t>4501720001</t>
  </si>
  <si>
    <t>Antara</t>
  </si>
  <si>
    <t>4501710001</t>
  </si>
  <si>
    <t>Bergugliara</t>
  </si>
  <si>
    <t>4501720019</t>
  </si>
  <si>
    <t>Bosco di Rossano</t>
  </si>
  <si>
    <t>4501720002</t>
  </si>
  <si>
    <t>Calzavitello</t>
  </si>
  <si>
    <t>4501720003</t>
  </si>
  <si>
    <t>Casa Biagi</t>
  </si>
  <si>
    <t>4501720024</t>
  </si>
  <si>
    <t>Casa Bornia</t>
  </si>
  <si>
    <t>4501720021</t>
  </si>
  <si>
    <t>Casa Maddalena</t>
  </si>
  <si>
    <t>4501720023</t>
  </si>
  <si>
    <t>Casa Rocchino</t>
  </si>
  <si>
    <t>4501720022</t>
  </si>
  <si>
    <t>Casa Tosi</t>
  </si>
  <si>
    <t>4501740000</t>
  </si>
  <si>
    <t>Case sparse_239</t>
  </si>
  <si>
    <t>4501720018</t>
  </si>
  <si>
    <t>4501720004</t>
  </si>
  <si>
    <t>Castoglio</t>
  </si>
  <si>
    <t>4501710007</t>
  </si>
  <si>
    <t>Chiesa di Rossano</t>
  </si>
  <si>
    <t>4501720005</t>
  </si>
  <si>
    <t>Chioso</t>
  </si>
  <si>
    <t>4501720007</t>
  </si>
  <si>
    <t>Codolo di Sotto</t>
  </si>
  <si>
    <t>4501720006</t>
  </si>
  <si>
    <t>Codolo-Chiesa</t>
  </si>
  <si>
    <t>4501710004</t>
  </si>
  <si>
    <t>Coloretta</t>
  </si>
  <si>
    <t>4501724909</t>
  </si>
  <si>
    <t>La Dolce</t>
  </si>
  <si>
    <t>4501720010</t>
  </si>
  <si>
    <t>Montelama</t>
  </si>
  <si>
    <t>4501710005</t>
  </si>
  <si>
    <t>4501710008</t>
  </si>
  <si>
    <t>4501710006</t>
  </si>
  <si>
    <t>Patigno</t>
  </si>
  <si>
    <t>4501710009</t>
  </si>
  <si>
    <t>Piagna</t>
  </si>
  <si>
    <t>4501721113</t>
  </si>
  <si>
    <t>4501720014</t>
  </si>
  <si>
    <t>Valditermine</t>
  </si>
  <si>
    <t>4501720015</t>
  </si>
  <si>
    <t>4501720016</t>
  </si>
  <si>
    <t>Villaggio degli Aracci</t>
  </si>
  <si>
    <t>4501724917</t>
  </si>
  <si>
    <t>Villaggio del Rastrello</t>
  </si>
  <si>
    <t>5004010001</t>
  </si>
  <si>
    <t>5004010002</t>
  </si>
  <si>
    <t>5004010003</t>
  </si>
  <si>
    <t>5004010004</t>
  </si>
  <si>
    <t>5004010005</t>
  </si>
  <si>
    <t>5004020004</t>
  </si>
  <si>
    <t>5004026601</t>
  </si>
  <si>
    <t>5004026602</t>
  </si>
  <si>
    <t>5004026703</t>
  </si>
  <si>
    <t>5004010006</t>
  </si>
  <si>
    <t>5004010007</t>
  </si>
  <si>
    <t>5004010008</t>
  </si>
  <si>
    <t>5004010009</t>
  </si>
  <si>
    <t>5004010010</t>
  </si>
  <si>
    <t>5004010011</t>
  </si>
  <si>
    <t>5004020001</t>
  </si>
  <si>
    <t>5004020005</t>
  </si>
  <si>
    <t>5004020007</t>
  </si>
  <si>
    <t>5004020008</t>
  </si>
  <si>
    <t>5004020009</t>
  </si>
  <si>
    <t>5004020010</t>
  </si>
  <si>
    <t>5004020012</t>
  </si>
  <si>
    <t>5004026613</t>
  </si>
  <si>
    <t>5004040000</t>
  </si>
  <si>
    <t>Case sparse_288</t>
  </si>
  <si>
    <t>5004110001</t>
  </si>
  <si>
    <t>5004110002</t>
  </si>
  <si>
    <t>5004110003</t>
  </si>
  <si>
    <t>5004110004</t>
  </si>
  <si>
    <t>5004110005</t>
  </si>
  <si>
    <t>5004120001</t>
  </si>
  <si>
    <t>5004120002</t>
  </si>
  <si>
    <t>5004120003</t>
  </si>
  <si>
    <t>5004120006</t>
  </si>
  <si>
    <t>5004120007</t>
  </si>
  <si>
    <t>5004126605</t>
  </si>
  <si>
    <t>5004126704</t>
  </si>
  <si>
    <t>5004126608</t>
  </si>
  <si>
    <t>5004140000</t>
  </si>
  <si>
    <t>Case sparse_289</t>
  </si>
  <si>
    <t>CHIAVE</t>
  </si>
  <si>
    <t>CHIAVE.TESTO</t>
  </si>
  <si>
    <t>DESCRIZIONE</t>
  </si>
  <si>
    <t>TIPO DATO</t>
  </si>
  <si>
    <t>1*</t>
  </si>
  <si>
    <t>&lt;FILE.MODULO&gt;</t>
  </si>
  <si>
    <t>Individua i tipi di dato contenuti nel file; i possibili valori per il campo testo sono:</t>
  </si>
  <si>
    <t>TESTO</t>
  </si>
  <si>
    <r>
      <rPr>
        <sz val="8"/>
        <color rgb="FF000000"/>
        <rFont val="Courier New"/>
        <charset val="1"/>
      </rPr>
      <t>INFRASTR</t>
    </r>
    <r>
      <rPr>
        <sz val="8"/>
        <rFont val="Courier New"/>
        <charset val="1"/>
      </rPr>
      <t xml:space="preserve"> = </t>
    </r>
    <r>
      <rPr>
        <sz val="8"/>
        <color rgb="FF000000"/>
        <rFont val="Courier New"/>
        <charset val="1"/>
      </rPr>
      <t>Infrastrutture</t>
    </r>
  </si>
  <si>
    <t>8 CARATTERI</t>
  </si>
  <si>
    <r>
      <rPr>
        <sz val="8"/>
        <color rgb="FF000000"/>
        <rFont val="Courier New"/>
        <charset val="1"/>
      </rPr>
      <t>CECRICLA</t>
    </r>
    <r>
      <rPr>
        <sz val="8"/>
        <rFont val="Courier New"/>
        <charset val="1"/>
      </rPr>
      <t xml:space="preserve"> = </t>
    </r>
    <r>
      <rPr>
        <sz val="8"/>
        <color rgb="FF000000"/>
        <rFont val="Courier New"/>
        <charset val="1"/>
      </rPr>
      <t>Conto Economico Riclassificato</t>
    </r>
  </si>
  <si>
    <r>
      <rPr>
        <sz val="8"/>
        <rFont val="Courier New"/>
        <charset val="1"/>
      </rPr>
      <t xml:space="preserve">(es. </t>
    </r>
    <r>
      <rPr>
        <sz val="8"/>
        <color rgb="FF000000"/>
        <rFont val="Courier New"/>
        <charset val="1"/>
      </rPr>
      <t>CECRICLA)</t>
    </r>
  </si>
  <si>
    <r>
      <rPr>
        <sz val="8"/>
        <color rgb="FF000000"/>
        <rFont val="Courier New"/>
        <charset val="1"/>
      </rPr>
      <t>GESTIONE</t>
    </r>
    <r>
      <rPr>
        <sz val="8"/>
        <rFont val="Courier New"/>
        <charset val="1"/>
      </rPr>
      <t xml:space="preserve"> = </t>
    </r>
    <r>
      <rPr>
        <sz val="8"/>
        <color rgb="FF000000"/>
        <rFont val="Courier New"/>
        <charset val="1"/>
      </rPr>
      <t>Dati Gestionali</t>
    </r>
  </si>
  <si>
    <r>
      <rPr>
        <sz val="8"/>
        <color rgb="FF000000"/>
        <rFont val="Courier New"/>
        <charset val="1"/>
      </rPr>
      <t>FATTURAT</t>
    </r>
    <r>
      <rPr>
        <sz val="8"/>
        <rFont val="Courier New"/>
        <charset val="1"/>
      </rPr>
      <t xml:space="preserve"> = </t>
    </r>
    <r>
      <rPr>
        <sz val="8"/>
        <color rgb="FF000000"/>
        <rFont val="Courier New"/>
        <charset val="1"/>
      </rPr>
      <t>Volumi e Fatturati</t>
    </r>
  </si>
  <si>
    <r>
      <rPr>
        <sz val="8"/>
        <color rgb="FF000000"/>
        <rFont val="Courier New"/>
        <charset val="1"/>
      </rPr>
      <t>INVESTIM</t>
    </r>
    <r>
      <rPr>
        <sz val="8"/>
        <rFont val="Courier New"/>
        <charset val="1"/>
      </rPr>
      <t xml:space="preserve"> = </t>
    </r>
    <r>
      <rPr>
        <sz val="8"/>
        <color rgb="FF000000"/>
        <rFont val="Courier New"/>
        <charset val="1"/>
      </rPr>
      <t>Investimenti e Revisioni</t>
    </r>
  </si>
  <si>
    <r>
      <rPr>
        <sz val="8"/>
        <color rgb="FF000000"/>
        <rFont val="Courier New"/>
        <charset val="1"/>
      </rPr>
      <t>LCESPITI</t>
    </r>
    <r>
      <rPr>
        <sz val="8"/>
        <rFont val="Courier New"/>
        <charset val="1"/>
      </rPr>
      <t xml:space="preserve"> = </t>
    </r>
    <r>
      <rPr>
        <sz val="8"/>
        <color rgb="FF000000"/>
        <rFont val="Courier New"/>
        <charset val="1"/>
      </rPr>
      <t>Libro dei Cespiti</t>
    </r>
  </si>
  <si>
    <r>
      <rPr>
        <sz val="8"/>
        <color rgb="FF000000"/>
        <rFont val="Courier New"/>
        <charset val="1"/>
      </rPr>
      <t>INDICATO</t>
    </r>
    <r>
      <rPr>
        <sz val="8"/>
        <rFont val="Courier New"/>
        <charset val="1"/>
      </rPr>
      <t xml:space="preserve"> = </t>
    </r>
    <r>
      <rPr>
        <sz val="8"/>
        <color rgb="FF000000"/>
        <rFont val="Courier New"/>
        <charset val="1"/>
      </rPr>
      <t xml:space="preserve">Indicatori Standard </t>
    </r>
  </si>
  <si>
    <t>INDIBASE = Dati di Base per calcolo Indicatori</t>
  </si>
  <si>
    <t>GENERALE = Documentazione generica senza tracciato</t>
  </si>
  <si>
    <t>VCONSUMI = Volumi per utenza</t>
  </si>
  <si>
    <r>
      <rPr>
        <sz val="8"/>
        <rFont val="Courier New"/>
        <charset val="1"/>
      </rPr>
      <t>ANAGRAFI</t>
    </r>
    <r>
      <rPr>
        <sz val="8"/>
        <rFont val="Courier New"/>
        <charset val="1"/>
      </rPr>
      <t xml:space="preserve"> = Dati Anagrafici</t>
    </r>
  </si>
  <si>
    <r>
      <rPr>
        <sz val="8"/>
        <rFont val="Courier New"/>
        <charset val="1"/>
      </rPr>
      <t>MAPPAGEO</t>
    </r>
    <r>
      <rPr>
        <sz val="8"/>
        <rFont val="Courier New"/>
        <charset val="1"/>
      </rPr>
      <t xml:space="preserve"> = Schemi Geografici</t>
    </r>
  </si>
  <si>
    <t>2*</t>
  </si>
  <si>
    <t>&lt;FILE.VERSIONE&gt;</t>
  </si>
  <si>
    <r>
      <rPr>
        <sz val="8"/>
        <rFont val="Courier New"/>
        <charset val="1"/>
      </rPr>
      <t xml:space="preserve">Individua la versione del file prevista per il tipo di dato sopra indicato. La versione iniziale e accettata da tutti i moduli è </t>
    </r>
    <r>
      <rPr>
        <sz val="8"/>
        <rFont val="Courier New"/>
        <charset val="1"/>
      </rPr>
      <t>100</t>
    </r>
    <r>
      <rPr>
        <sz val="8"/>
        <rFont val="Courier New"/>
        <charset val="1"/>
      </rPr>
      <t xml:space="preserve"> (cento). Le versioni presenti per ognuno dei moduli sono indicate nella tabella del data base: </t>
    </r>
    <r>
      <rPr>
        <sz val="8"/>
        <rFont val="Courier New"/>
        <charset val="1"/>
      </rPr>
      <t>tcfg_base_prototipi</t>
    </r>
    <r>
      <rPr>
        <sz val="8"/>
        <rFont val="Courier New"/>
        <charset val="1"/>
      </rPr>
      <t>.</t>
    </r>
  </si>
  <si>
    <t>NUMERO INTERO</t>
  </si>
  <si>
    <t>N &gt;= 100</t>
  </si>
  <si>
    <r>
      <rPr>
        <sz val="8"/>
        <rFont val="Courier New"/>
        <charset val="1"/>
      </rPr>
      <t>NOTA</t>
    </r>
    <r>
      <rPr>
        <sz val="8"/>
        <rFont val="Courier New"/>
        <charset val="1"/>
      </rPr>
      <t xml:space="preserve">. Il valore è composto dalla somma di due numeri. Il primo compreso tra 0 e 99 (decine e unità) indica che l’eventuale aggiornamento della versione non necessita di un nuovo modulo di acquisizione, mentre il secondo numero è costituito dalle centinaia e indica la versione del modulo di acquisizione necessario.  </t>
    </r>
  </si>
  <si>
    <r>
      <rPr>
        <sz val="8"/>
        <rFont val="Courier New"/>
        <charset val="1"/>
      </rPr>
      <t xml:space="preserve">(es. </t>
    </r>
    <r>
      <rPr>
        <sz val="8"/>
        <rFont val="Courier New"/>
        <charset val="1"/>
      </rPr>
      <t>100</t>
    </r>
    <r>
      <rPr>
        <sz val="8"/>
        <rFont val="Courier New"/>
        <charset val="1"/>
      </rPr>
      <t>)</t>
    </r>
  </si>
  <si>
    <t>&lt;FILE.DATA&gt;</t>
  </si>
  <si>
    <t>Contiene la data nel formato “gg/mm/aaaa hh:mm:ss” della progettazione del file prototipo. Necessitano due caratteri per: i giorni, i mesi, le ore, i minuti e i secondi, mentre occorrono quattro cifre per l’anno (es.13/01/2011 09:01:30).</t>
  </si>
  <si>
    <t>DATA</t>
  </si>
  <si>
    <t>gg/mm/aaaa hh:mm:ss</t>
  </si>
  <si>
    <t>&lt;FILE.PRODUZIONE&gt;</t>
  </si>
  <si>
    <t>Contiene il nome della società che ha prodotto il file</t>
  </si>
  <si>
    <t>128 caratteri</t>
  </si>
  <si>
    <t>&lt;FILE.CONTATTO&gt;</t>
  </si>
  <si>
    <t>Contiene l’email e/o il contatto della società che ha prodotto il file.</t>
  </si>
  <si>
    <t>128 CARATTERI</t>
  </si>
  <si>
    <t>&lt;FILE.NUMERO&gt;
NUMERO INTERO
N &gt;= 1</t>
  </si>
  <si>
    <t>Numero intero, che indica il numero del file rispetto al totale previsto. 
1 = Default o primo file. Contiene il totale o una parte dei dati previsti (parte se esiste la consegna nr.2 o sup)
2 = secondo file contenente il completamento o una parte dei dati previsti
N = n-esimo e ultimo file previsto per la consegna (non esiste N+1)</t>
  </si>
  <si>
    <t>&lt;FILE.TOTALI&gt;
NUMERO INTERO
N &gt;= 1</t>
  </si>
  <si>
    <t>Numero intero che indica il munero totale dei file previsti per la consegna</t>
  </si>
  <si>
    <t>&lt;MODO.IMPORT&gt;
NUMERO INTERO
N &gt;= 0</t>
  </si>
  <si>
    <t>Numero intero che indica la modalità di inserimento nel data base dei dati presenti nel file.
0 = CONSEGNA. (Default. Codice Assente=0). La consegna è aggiunta al Data Base
1 = INTEGRAZIONE. Consegna prevista, non bloccata ed esistono dati. I dati non presenti saranno aggiunti, i presenti sovrascritti.
2 = SOSTITUZIONE. Consegna prevista, non bloccata ed esistono dati. I dati presenti annullati e i nuovi aggiunti.
3 = AGGIUNTA. Consegna prevista, non bloccata ed esistono dati. I presenti annullati e i nuovi aggiunti. Se la consegna non era prevista; aggiungi: tipo, piano e file e quindi i dati.</t>
  </si>
  <si>
    <t>21*</t>
  </si>
  <si>
    <t>&lt;CONSEGNA.GESTORE&gt;</t>
  </si>
  <si>
    <t>Numero che individua il soggetto e/o il gestore che fornisce i dati. I valori previsti al momento hanno la seguente codifica:</t>
  </si>
  <si>
    <r>
      <rPr>
        <sz val="8"/>
        <rFont val="Courier New"/>
        <charset val="1"/>
      </rPr>
      <t>1</t>
    </r>
    <r>
      <rPr>
        <sz val="8"/>
        <rFont val="Courier New"/>
        <charset val="1"/>
      </rPr>
      <t xml:space="preserve"> = GAIA SpA</t>
    </r>
  </si>
  <si>
    <t>N &gt;= 1</t>
  </si>
  <si>
    <r>
      <rPr>
        <sz val="8"/>
        <rFont val="Courier New"/>
        <charset val="1"/>
      </rPr>
      <t>2</t>
    </r>
    <r>
      <rPr>
        <sz val="8"/>
        <rFont val="Courier New"/>
        <charset val="1"/>
      </rPr>
      <t xml:space="preserve"> = ACQUE SpA</t>
    </r>
  </si>
  <si>
    <r>
      <rPr>
        <sz val="8"/>
        <rFont val="Courier New"/>
        <charset val="1"/>
      </rPr>
      <t xml:space="preserve">(es. </t>
    </r>
    <r>
      <rPr>
        <sz val="8"/>
        <rFont val="Courier New"/>
        <charset val="1"/>
      </rPr>
      <t>1</t>
    </r>
    <r>
      <rPr>
        <sz val="8"/>
        <rFont val="Courier New"/>
        <charset val="1"/>
      </rPr>
      <t>)</t>
    </r>
  </si>
  <si>
    <r>
      <rPr>
        <sz val="8"/>
        <rFont val="Courier New"/>
        <charset val="1"/>
      </rPr>
      <t>3</t>
    </r>
    <r>
      <rPr>
        <sz val="8"/>
        <rFont val="Courier New"/>
        <charset val="1"/>
      </rPr>
      <t xml:space="preserve"> = PUBLIACQUA SpA</t>
    </r>
  </si>
  <si>
    <r>
      <rPr>
        <sz val="8"/>
        <rFont val="Courier New"/>
        <charset val="1"/>
      </rPr>
      <t>4</t>
    </r>
    <r>
      <rPr>
        <sz val="8"/>
        <rFont val="Courier New"/>
        <charset val="1"/>
      </rPr>
      <t xml:space="preserve"> = NUOVE ACQUE SpA</t>
    </r>
  </si>
  <si>
    <r>
      <rPr>
        <sz val="8"/>
        <rFont val="Courier New"/>
        <charset val="1"/>
      </rPr>
      <t>5</t>
    </r>
    <r>
      <rPr>
        <sz val="8"/>
        <rFont val="Courier New"/>
        <charset val="1"/>
      </rPr>
      <t xml:space="preserve"> = ASA SpA</t>
    </r>
  </si>
  <si>
    <t>6 = ACQUEDOTTO FIORA SpA</t>
  </si>
  <si>
    <t>7 = GEAL SpA</t>
  </si>
  <si>
    <t>8 = ACQUE TOSCANE SpA</t>
  </si>
  <si>
    <r>
      <rPr>
        <sz val="8"/>
        <rFont val="Courier New"/>
        <charset val="1"/>
      </rPr>
      <t xml:space="preserve">La codifica è assegnata nella tabella del dB: </t>
    </r>
    <r>
      <rPr>
        <sz val="8"/>
        <rFont val="Courier New"/>
        <charset val="1"/>
      </rPr>
      <t>tanag_gestori</t>
    </r>
  </si>
  <si>
    <t>22*</t>
  </si>
  <si>
    <t>&lt;CONSEGNA.DATA&gt;</t>
  </si>
  <si>
    <t>Contiene la data nel formato “gg/mm/aaaa hh:mm:ss” corrispondente alla data di aggiornamento delle informazioni contenute nel file (es.13/01/2011 09:01:30).</t>
  </si>
  <si>
    <t>&lt;CONSEGNA.UTENTE&gt;</t>
  </si>
  <si>
    <t>Contiene il nome utente utilizzabile per la connessione automatica al data base.</t>
  </si>
  <si>
    <t>64 caratteri</t>
  </si>
  <si>
    <t>&lt;CONSEGNA.PASSWORD&gt;</t>
  </si>
  <si>
    <t>Contiene la password cryptata per la connessione automatica al data base.</t>
  </si>
  <si>
    <t>BINARIO</t>
  </si>
  <si>
    <t>255 BYTE</t>
  </si>
  <si>
    <t>&lt;ESEGUE.ELABORAZIONE&gt;</t>
  </si>
  <si>
    <t>Se l'import dei dati è andato a buon fine e se è prevista un'elaborazione permette di eseguirla:</t>
  </si>
  <si>
    <t>NULLO o CODICE RIGA MANCANTE = nessuna elaborazione</t>
  </si>
  <si>
    <t>32 caratteri</t>
  </si>
  <si>
    <t>ELABORA = esegue l'elaborazione di default (NON NULLO SE PREVISTA 1 SOLA ELABORAZIONE)</t>
  </si>
  <si>
    <t>.</t>
  </si>
  <si>
    <t>NOME = indicare il nome dell'elaborazione con massimo 64 car. (riservato)</t>
  </si>
  <si>
    <t>41*</t>
  </si>
  <si>
    <t>&lt;COMPETENZA.ANNUALE&gt;</t>
  </si>
  <si>
    <t>Indica l’intervallo temporale di competenza dei dati presenti nel file. I valori possibili sono:</t>
  </si>
  <si>
    <r>
      <rPr>
        <sz val="8"/>
        <rFont val="Courier New"/>
        <charset val="1"/>
      </rPr>
      <t>MESE</t>
    </r>
    <r>
      <rPr>
        <sz val="8"/>
        <rFont val="Courier New"/>
        <charset val="1"/>
      </rPr>
      <t xml:space="preserve"> = aggregazione mensile</t>
    </r>
  </si>
  <si>
    <t>12 caratteri</t>
  </si>
  <si>
    <r>
      <rPr>
        <sz val="8"/>
        <rFont val="Courier New"/>
        <charset val="1"/>
      </rPr>
      <t>BIMESTRE</t>
    </r>
    <r>
      <rPr>
        <sz val="8"/>
        <rFont val="Courier New"/>
        <charset val="1"/>
      </rPr>
      <t xml:space="preserve"> = aggregazione bimestrale</t>
    </r>
  </si>
  <si>
    <r>
      <rPr>
        <sz val="8"/>
        <rFont val="Courier New"/>
        <charset val="1"/>
      </rPr>
      <t xml:space="preserve">(es. </t>
    </r>
    <r>
      <rPr>
        <sz val="8"/>
        <rFont val="Courier New"/>
        <charset val="1"/>
      </rPr>
      <t>ANNUALE</t>
    </r>
    <r>
      <rPr>
        <sz val="8"/>
        <rFont val="Courier New"/>
        <charset val="1"/>
      </rPr>
      <t>)</t>
    </r>
  </si>
  <si>
    <r>
      <rPr>
        <sz val="8"/>
        <rFont val="Courier New"/>
        <charset val="1"/>
      </rPr>
      <t>TRIMESTRE</t>
    </r>
    <r>
      <rPr>
        <sz val="8"/>
        <rFont val="Courier New"/>
        <charset val="1"/>
      </rPr>
      <t xml:space="preserve"> = aggregazione trimestrale</t>
    </r>
  </si>
  <si>
    <r>
      <rPr>
        <sz val="8"/>
        <rFont val="Courier New"/>
        <charset val="1"/>
      </rPr>
      <t>QUADRIMESTRE</t>
    </r>
    <r>
      <rPr>
        <sz val="8"/>
        <rFont val="Courier New"/>
        <charset val="1"/>
      </rPr>
      <t xml:space="preserve"> = aggregazione quadrimestrale</t>
    </r>
  </si>
  <si>
    <r>
      <rPr>
        <sz val="8"/>
        <rFont val="Courier New"/>
        <charset val="1"/>
      </rPr>
      <t>SEMESTRE</t>
    </r>
    <r>
      <rPr>
        <sz val="8"/>
        <rFont val="Courier New"/>
        <charset val="1"/>
      </rPr>
      <t xml:space="preserve"> = aggregazione semestrale</t>
    </r>
  </si>
  <si>
    <r>
      <rPr>
        <sz val="8"/>
        <rFont val="Courier New"/>
        <charset val="1"/>
      </rPr>
      <t>ANNUALE</t>
    </r>
    <r>
      <rPr>
        <sz val="8"/>
        <rFont val="Courier New"/>
        <charset val="1"/>
      </rPr>
      <t xml:space="preserve"> = aggregazione annuale (o pluriennale)</t>
    </r>
  </si>
  <si>
    <r>
      <rPr>
        <sz val="8"/>
        <rFont val="Courier New"/>
        <charset val="1"/>
      </rPr>
      <t xml:space="preserve">SINGOLA </t>
    </r>
    <r>
      <rPr>
        <sz val="8"/>
        <rFont val="Courier New"/>
        <charset val="1"/>
      </rPr>
      <t>= aggregazione definita nei campi con chiave &lt;45&gt; e &lt;46&gt;. Tipicamente con cadenza occasionale e non ricorrente.</t>
    </r>
  </si>
  <si>
    <r>
      <rPr>
        <sz val="8"/>
        <rFont val="Courier New"/>
        <charset val="1"/>
      </rPr>
      <t>NOTA</t>
    </r>
    <r>
      <rPr>
        <sz val="8"/>
        <rFont val="Courier New"/>
        <charset val="1"/>
      </rPr>
      <t>. L’anno è diviso in periodi interi, ciò implica che, ad esempio, il primo quadrimestre comprenderà i mesi di: GEN, FEB, MAR, APR, il secondo di: MAG, GIU, LUG, AGO, e il terzo e ultimo di: SET,OTT,NOV e DIC.</t>
    </r>
  </si>
  <si>
    <t>42*</t>
  </si>
  <si>
    <t>&lt;COMPETENZA.ANNUALE.NUMERO&gt;</t>
  </si>
  <si>
    <r>
      <rPr>
        <sz val="8"/>
        <rFont val="Courier New"/>
        <charset val="1"/>
      </rPr>
      <t xml:space="preserve">Individua il numero di consegna all’interno dell’anno di competenza e può variare da </t>
    </r>
    <r>
      <rPr>
        <sz val="8"/>
        <rFont val="Courier New"/>
        <charset val="1"/>
      </rPr>
      <t xml:space="preserve">1 </t>
    </r>
    <r>
      <rPr>
        <sz val="8"/>
        <rFont val="Courier New"/>
        <charset val="1"/>
      </rPr>
      <t>a</t>
    </r>
    <r>
      <rPr>
        <sz val="8"/>
        <rFont val="Courier New"/>
        <charset val="1"/>
      </rPr>
      <t xml:space="preserve"> 12</t>
    </r>
    <r>
      <rPr>
        <sz val="8"/>
        <rFont val="Courier New"/>
        <charset val="1"/>
      </rPr>
      <t>. I valori possibili sono limitati dell’aggregazione temporale della competenza scelta nella chiave &lt;41&gt; e sono:</t>
    </r>
  </si>
  <si>
    <r>
      <rPr>
        <sz val="8"/>
        <rFont val="Courier New"/>
        <charset val="1"/>
      </rPr>
      <t>MESE</t>
    </r>
    <r>
      <rPr>
        <sz val="8"/>
        <rFont val="Courier New"/>
        <charset val="1"/>
      </rPr>
      <t xml:space="preserve"> = valori da: </t>
    </r>
    <r>
      <rPr>
        <sz val="8"/>
        <rFont val="Courier New"/>
        <charset val="1"/>
      </rPr>
      <t>1</t>
    </r>
    <r>
      <rPr>
        <sz val="8"/>
        <rFont val="Courier New"/>
        <charset val="1"/>
      </rPr>
      <t xml:space="preserve"> a </t>
    </r>
    <r>
      <rPr>
        <sz val="8"/>
        <rFont val="Courier New"/>
        <charset val="1"/>
      </rPr>
      <t xml:space="preserve">12 </t>
    </r>
    <r>
      <rPr>
        <sz val="8"/>
        <rFont val="Courier New"/>
        <charset val="1"/>
      </rPr>
      <t>(1=GEN e 12=DIC)</t>
    </r>
  </si>
  <si>
    <t>1 &lt;= N &lt;= 12</t>
  </si>
  <si>
    <r>
      <rPr>
        <sz val="8"/>
        <rFont val="Courier New"/>
        <charset val="1"/>
      </rPr>
      <t>BIMESTRE</t>
    </r>
    <r>
      <rPr>
        <sz val="8"/>
        <rFont val="Courier New"/>
        <charset val="1"/>
      </rPr>
      <t xml:space="preserve"> = valori da </t>
    </r>
    <r>
      <rPr>
        <sz val="8"/>
        <rFont val="Courier New"/>
        <charset val="1"/>
      </rPr>
      <t>1</t>
    </r>
    <r>
      <rPr>
        <sz val="8"/>
        <rFont val="Courier New"/>
        <charset val="1"/>
      </rPr>
      <t xml:space="preserve"> a </t>
    </r>
    <r>
      <rPr>
        <sz val="8"/>
        <rFont val="Courier New"/>
        <charset val="1"/>
      </rPr>
      <t xml:space="preserve">6 </t>
    </r>
    <r>
      <rPr>
        <sz val="8"/>
        <rFont val="Courier New"/>
        <charset val="1"/>
      </rPr>
      <t>(1=GEN:FEB e 6=NOV:DIC)</t>
    </r>
  </si>
  <si>
    <r>
      <rPr>
        <sz val="8"/>
        <rFont val="Courier New"/>
        <charset val="1"/>
      </rPr>
      <t>TRIMESTRE</t>
    </r>
    <r>
      <rPr>
        <sz val="8"/>
        <rFont val="Courier New"/>
        <charset val="1"/>
      </rPr>
      <t xml:space="preserve"> = valori da </t>
    </r>
    <r>
      <rPr>
        <sz val="8"/>
        <rFont val="Courier New"/>
        <charset val="1"/>
      </rPr>
      <t>1</t>
    </r>
    <r>
      <rPr>
        <sz val="8"/>
        <rFont val="Courier New"/>
        <charset val="1"/>
      </rPr>
      <t xml:space="preserve"> a </t>
    </r>
    <r>
      <rPr>
        <sz val="8"/>
        <rFont val="Courier New"/>
        <charset val="1"/>
      </rPr>
      <t xml:space="preserve">4 </t>
    </r>
    <r>
      <rPr>
        <sz val="8"/>
        <rFont val="Courier New"/>
        <charset val="1"/>
      </rPr>
      <t>(1=GEN:MAR e 4=OTT:DIC)</t>
    </r>
  </si>
  <si>
    <r>
      <rPr>
        <sz val="8"/>
        <rFont val="Courier New"/>
        <charset val="1"/>
      </rPr>
      <t>QUADRIMESTRE</t>
    </r>
    <r>
      <rPr>
        <sz val="8"/>
        <rFont val="Courier New"/>
        <charset val="1"/>
      </rPr>
      <t xml:space="preserve"> = valori da </t>
    </r>
    <r>
      <rPr>
        <sz val="8"/>
        <rFont val="Courier New"/>
        <charset val="1"/>
      </rPr>
      <t>1</t>
    </r>
    <r>
      <rPr>
        <sz val="8"/>
        <rFont val="Courier New"/>
        <charset val="1"/>
      </rPr>
      <t xml:space="preserve"> a </t>
    </r>
    <r>
      <rPr>
        <sz val="8"/>
        <rFont val="Courier New"/>
        <charset val="1"/>
      </rPr>
      <t xml:space="preserve">3 </t>
    </r>
    <r>
      <rPr>
        <sz val="8"/>
        <rFont val="Courier New"/>
        <charset val="1"/>
      </rPr>
      <t>(1=GEN:APR e 4=SET:DIC)</t>
    </r>
  </si>
  <si>
    <r>
      <rPr>
        <sz val="8"/>
        <rFont val="Courier New"/>
        <charset val="1"/>
      </rPr>
      <t>SEMESTRE</t>
    </r>
    <r>
      <rPr>
        <sz val="8"/>
        <rFont val="Courier New"/>
        <charset val="1"/>
      </rPr>
      <t xml:space="preserve"> = valori da </t>
    </r>
    <r>
      <rPr>
        <sz val="8"/>
        <rFont val="Courier New"/>
        <charset val="1"/>
      </rPr>
      <t>1</t>
    </r>
    <r>
      <rPr>
        <sz val="8"/>
        <rFont val="Courier New"/>
        <charset val="1"/>
      </rPr>
      <t xml:space="preserve"> a </t>
    </r>
    <r>
      <rPr>
        <sz val="8"/>
        <rFont val="Courier New"/>
        <charset val="1"/>
      </rPr>
      <t xml:space="preserve">2 </t>
    </r>
    <r>
      <rPr>
        <sz val="8"/>
        <rFont val="Courier New"/>
        <charset val="1"/>
      </rPr>
      <t>(1=GEN:GIU e 4=LUG:DIC)</t>
    </r>
  </si>
  <si>
    <r>
      <rPr>
        <sz val="8"/>
        <rFont val="Courier New"/>
        <charset val="1"/>
      </rPr>
      <t>ANNUALE</t>
    </r>
    <r>
      <rPr>
        <sz val="8"/>
        <rFont val="Courier New"/>
        <charset val="1"/>
      </rPr>
      <t xml:space="preserve">, </t>
    </r>
    <r>
      <rPr>
        <sz val="8"/>
        <rFont val="Courier New"/>
        <charset val="1"/>
      </rPr>
      <t>SINGOLA</t>
    </r>
    <r>
      <rPr>
        <sz val="8"/>
        <rFont val="Courier New"/>
        <charset val="1"/>
      </rPr>
      <t xml:space="preserve"> = valore </t>
    </r>
    <r>
      <rPr>
        <sz val="8"/>
        <rFont val="Courier New"/>
        <charset val="1"/>
      </rPr>
      <t>1</t>
    </r>
  </si>
  <si>
    <r>
      <rPr>
        <sz val="8"/>
        <rFont val="Courier New"/>
        <charset val="1"/>
      </rPr>
      <t>NOTA</t>
    </r>
    <r>
      <rPr>
        <sz val="8"/>
        <rFont val="Courier New"/>
        <charset val="1"/>
      </rPr>
      <t xml:space="preserve">. Nel caso di consegne pluriennali, ad esempio per consegne triennali, il valore della chiave deve essere assegnato uguale a 1. </t>
    </r>
  </si>
  <si>
    <t>43*</t>
  </si>
  <si>
    <t>&lt;COMPETENZA.ANNO&gt;</t>
  </si>
  <si>
    <t>Individua l’anno di competenza dei dati presenti nel file. Nel caso di dati pluriennali l’anno indicato corrisponde al primo anno della serie. L’anno deve essere assegnato con quattro cifre (es.2011)</t>
  </si>
  <si>
    <t>4 cifre - NNNN</t>
  </si>
  <si>
    <r>
      <rPr>
        <sz val="8"/>
        <rFont val="Courier New"/>
        <charset val="1"/>
      </rPr>
      <t xml:space="preserve">(es. </t>
    </r>
    <r>
      <rPr>
        <sz val="8"/>
        <rFont val="Courier New"/>
        <charset val="1"/>
      </rPr>
      <t>2010</t>
    </r>
    <r>
      <rPr>
        <sz val="8"/>
        <rFont val="Courier New"/>
        <charset val="1"/>
      </rPr>
      <t>)</t>
    </r>
  </si>
  <si>
    <t>44*</t>
  </si>
  <si>
    <t>&lt;COMPETENZA.ANNO.NUMERO&gt;</t>
  </si>
  <si>
    <t>Indica il numero di anni sottesi dalla competenza dei dati. Nel caso di dati pluriennali sarà uguale al numero di anni coperto (es.dati triennali -&gt; Numero di anni=3).</t>
  </si>
  <si>
    <t>&lt;COMPETENZA.DATA.INIZIO&gt;</t>
  </si>
  <si>
    <t>Contiene la data nel formato “gg/mm/aaaa” corrispondente all’inizio del periodo di competenza coperto dai dati presenti nel file.</t>
  </si>
  <si>
    <t>gg/mm/aaaa</t>
  </si>
  <si>
    <t>&lt;COMPETENZA.DATA.FINE&gt;</t>
  </si>
  <si>
    <t>Contiene la data nel formato “gg/mm/aaaa” corrispondente alla fine del periodo di competenza coperto dai dati presenti nel file.</t>
  </si>
  <si>
    <t>61*</t>
  </si>
  <si>
    <t>&lt;REDAZIONE.DATA&gt;</t>
  </si>
  <si>
    <t>Contiene la data nel formato “gg/mm/aaaa hh:mm:ss” corrispondente alla data di redazione delle informazioni contenute nel file.</t>
  </si>
  <si>
    <t>&lt;REDAZIONE.COMPILAZIONE&gt;</t>
  </si>
  <si>
    <t>Individua il tipo di compilazione delle informazioni contenute nel file e può assumere i valori:</t>
  </si>
  <si>
    <r>
      <rPr>
        <sz val="8"/>
        <rFont val="Courier New"/>
        <charset val="1"/>
      </rPr>
      <t>AUTOMATICO</t>
    </r>
    <r>
      <rPr>
        <sz val="8"/>
        <rFont val="Courier New"/>
        <charset val="1"/>
      </rPr>
      <t xml:space="preserve"> = i dati provengono da un export di un sistema software.</t>
    </r>
  </si>
  <si>
    <r>
      <rPr>
        <sz val="8"/>
        <rFont val="Courier New"/>
        <charset val="1"/>
      </rPr>
      <t>MANUALE</t>
    </r>
    <r>
      <rPr>
        <sz val="8"/>
        <rFont val="Courier New"/>
        <charset val="1"/>
      </rPr>
      <t xml:space="preserve"> = i dati sono stati inseriti manualmente da un utente.</t>
    </r>
  </si>
  <si>
    <r>
      <rPr>
        <sz val="8"/>
        <rFont val="Courier New"/>
        <charset val="1"/>
      </rPr>
      <t xml:space="preserve">(es. </t>
    </r>
    <r>
      <rPr>
        <sz val="8"/>
        <rFont val="Courier New"/>
        <charset val="1"/>
      </rPr>
      <t>MANUALE</t>
    </r>
    <r>
      <rPr>
        <sz val="8"/>
        <rFont val="Courier New"/>
        <charset val="1"/>
      </rPr>
      <t>)</t>
    </r>
  </si>
  <si>
    <t>&lt;REDAZIONE.SISTEMA&gt;</t>
  </si>
  <si>
    <t>Contiene il nome del sistema software utilizzato per l’inserimento dei dati.</t>
  </si>
  <si>
    <t>&lt;REDAZIONE.SISTEMA.VER&gt;</t>
  </si>
  <si>
    <t>Contiene la versione del sistema software utilizzato per l’inserimento dei dati.</t>
  </si>
  <si>
    <t>32 CARATTERI</t>
  </si>
  <si>
    <t>&lt;REDAZIONE.PROCEDURA&gt;</t>
  </si>
  <si>
    <t>Contiene il nome della procedura presente nel sistema software utilizzata per l’inserimento dei dati.</t>
  </si>
  <si>
    <t>&lt;REDAZIONE.PROCEDURA.VER&gt;</t>
  </si>
  <si>
    <t>Contiene la versione della procedura presente nel sistema software utilizzata per l’inserimento dei dati</t>
  </si>
  <si>
    <t>&lt;REDAZIONE.PROCESSO&gt;</t>
  </si>
  <si>
    <t>Contiene il nome del processo presente nel sistema software utilizzato per l’inserimento dei dati.</t>
  </si>
  <si>
    <t>&lt;REDAZIONE.PROCESSO.VER&gt;</t>
  </si>
  <si>
    <t>Contiene la versione del processo presente nel sistema software utilizzato per l’inserimento dei dati.</t>
  </si>
  <si>
    <t>&lt;REDAZIONE.AZIENDA&gt;</t>
  </si>
  <si>
    <t>Contiene il nome dell’azienda che ha fornito i dati inseriti.</t>
  </si>
  <si>
    <t>&lt;REDAZIONE.UFFICIO</t>
  </si>
  <si>
    <t>Contiene il nome dell’ufficio/settore che ha fornito i dati inseriti.</t>
  </si>
  <si>
    <t>&lt;REDAZIONE.NOME&gt;</t>
  </si>
  <si>
    <t>Contiene il cognome e nome del responsabile dell’ufficio/settore o della persona che ha materialmente inserito i dati nel file.</t>
  </si>
  <si>
    <t>&lt;REDAZIONE.EMAIL&gt;</t>
  </si>
  <si>
    <t>Contiene l’email del responsabile dell’ufficio/settore o della persona che ha materialmente inserito i dati nel file.</t>
  </si>
  <si>
    <t>&lt;REDAZIONE.POSIZIONE&gt;</t>
  </si>
  <si>
    <t>Contiene il ruolo ricoperto dalla persona indicata nella chiave &lt;71&gt; all’interno dell’azienda.</t>
  </si>
  <si>
    <t>&lt;REDAZIONE.NOTE&gt;</t>
  </si>
  <si>
    <t>Note aggiuntive.</t>
  </si>
  <si>
    <t>255 CARATTERI</t>
  </si>
  <si>
    <t>id_conserva</t>
  </si>
  <si>
    <t>SCONOSCIUTO</t>
  </si>
  <si>
    <t>INSUFFICIENTE</t>
  </si>
  <si>
    <t>SUFFICIENTE</t>
  </si>
  <si>
    <t>BUONO</t>
  </si>
  <si>
    <t>OTTIMO</t>
  </si>
  <si>
    <t>NON APPLICABILE</t>
  </si>
  <si>
    <t>corso_acqua_classe</t>
  </si>
  <si>
    <t>A1</t>
  </si>
  <si>
    <t>A2</t>
  </si>
  <si>
    <t>A3</t>
  </si>
  <si>
    <t>Sub.A3</t>
  </si>
  <si>
    <t>Non CLASSIFICATA</t>
  </si>
  <si>
    <t>linea_acqua</t>
  </si>
  <si>
    <t>SOLO SEDIMENTAZIONE</t>
  </si>
  <si>
    <t>SECONDARIO MASSA SOSPESA</t>
  </si>
  <si>
    <t>SECONDARIO MASSA ADESA</t>
  </si>
  <si>
    <t>Con trattamento fino al PRIMARIO</t>
  </si>
  <si>
    <t>con trattamento fino al SECONDARIO</t>
  </si>
  <si>
    <t>con trattamento fino al TERZIARIO</t>
  </si>
  <si>
    <t>con trattamento fino al TERZIARIO AVANZATO</t>
  </si>
  <si>
    <t>IMHOFF</t>
  </si>
  <si>
    <r>
      <rPr>
        <sz val="8"/>
        <color rgb="FF000000"/>
        <rFont val="Courier New"/>
        <charset val="1"/>
      </rPr>
      <t>Altro</t>
    </r>
    <r>
      <rPr>
        <sz val="8"/>
        <rFont val="Calibri"/>
        <charset val="1"/>
      </rPr>
      <t> </t>
    </r>
  </si>
  <si>
    <t>NESSUNO</t>
  </si>
  <si>
    <t>linea_fango</t>
  </si>
  <si>
    <t>ISPESSIMENTO, DIG. AEROBICA, ESSICCAMENTO IN LETTO</t>
  </si>
  <si>
    <t>DIGESTIONE ANAEROBICA</t>
  </si>
  <si>
    <t>DISIDRATAZIONE SENZA DIGESTIONE ANAEROBICA</t>
  </si>
  <si>
    <t>DIGESTIONE ANAEROBICA CON DISIDRATAZIONE</t>
  </si>
  <si>
    <t>DIG. ANAEROBICA, DISIDRATAZIONE, ESSICCAMENTO</t>
  </si>
  <si>
    <t>DISIDRATAZIONE, ESSICCAMENTO</t>
  </si>
  <si>
    <t>DIG. ANAEROBICA, DISIDRATAZIONE, INCENERIMENTO</t>
  </si>
  <si>
    <t>DISIDRATAZIONE, INCENERIMENTO</t>
  </si>
  <si>
    <t>NESSUNA</t>
  </si>
  <si>
    <t>tinfra_inv_materiali (NOTA. NON utilizzare per indicare i materiali degli SCARICATORI)</t>
  </si>
  <si>
    <t>ACCIAIO</t>
  </si>
  <si>
    <t>ACCIAIO CATRAMATO</t>
  </si>
  <si>
    <t>ACCIAIO INOX</t>
  </si>
  <si>
    <t>ACCIAIO RAMATO</t>
  </si>
  <si>
    <t>ACCIAIO ZINCATO</t>
  </si>
  <si>
    <t>CEMENTO AMIANTO</t>
  </si>
  <si>
    <t>CEMENTO ARMATO</t>
  </si>
  <si>
    <t>CEMENTO GIROPRESSATO</t>
  </si>
  <si>
    <t>CEMENTO</t>
  </si>
  <si>
    <t>CLS</t>
  </si>
  <si>
    <t>ETERNIT</t>
  </si>
  <si>
    <t>FERRO</t>
  </si>
  <si>
    <t>FERRO CATRAMATO</t>
  </si>
  <si>
    <t>FERRO ZINCATO</t>
  </si>
  <si>
    <t>FIBROCEMENTO</t>
  </si>
  <si>
    <t>GHISA</t>
  </si>
  <si>
    <t>GHISA SFEROIDALE</t>
  </si>
  <si>
    <t>GRES</t>
  </si>
  <si>
    <t>LEGNO</t>
  </si>
  <si>
    <t>MATERIE PLASTICHE</t>
  </si>
  <si>
    <t>MURATURA</t>
  </si>
  <si>
    <t>OTTONE</t>
  </si>
  <si>
    <t>OTTONE FILETTATO</t>
  </si>
  <si>
    <t>PE</t>
  </si>
  <si>
    <t>PEAD</t>
  </si>
  <si>
    <t>PEAD CORRUGATO</t>
  </si>
  <si>
    <t>PET</t>
  </si>
  <si>
    <t>PIETRE</t>
  </si>
  <si>
    <t>PIOMBO</t>
  </si>
  <si>
    <t>POLIETILENE</t>
  </si>
  <si>
    <t>POLIETILENE MULTISTRATO</t>
  </si>
  <si>
    <t>PVC</t>
  </si>
  <si>
    <t>PVC CORRUGATO</t>
  </si>
  <si>
    <t>RESINA</t>
  </si>
  <si>
    <t>SFVR</t>
  </si>
  <si>
    <t>SUPERACQUADUCT</t>
  </si>
  <si>
    <t>TERRA</t>
  </si>
  <si>
    <t>TERRACOTTA</t>
  </si>
  <si>
    <t>VARIO</t>
  </si>
  <si>
    <t>VETRORESINA</t>
  </si>
  <si>
    <t>ACCIAIO IUTATO</t>
  </si>
  <si>
    <t>GHISA GRIGIA</t>
  </si>
  <si>
    <t>GHISA TRATTATA</t>
  </si>
  <si>
    <t>ACCIAIO+PE</t>
  </si>
  <si>
    <t>PVC EXTRA</t>
  </si>
  <si>
    <t>PVC PESANTE</t>
  </si>
  <si>
    <t>PVC TIPO P</t>
  </si>
  <si>
    <t>PEMD</t>
  </si>
  <si>
    <t>MATTONI</t>
  </si>
  <si>
    <t>MATTONI+PIETRAME</t>
  </si>
  <si>
    <t>ACCIAIO CEMENTO</t>
  </si>
  <si>
    <t>FERRO CEMENTO</t>
  </si>
  <si>
    <t>opera_stato</t>
  </si>
  <si>
    <t>ATTIVO</t>
  </si>
  <si>
    <t>FERMO IMPIANTO PARZIALE</t>
  </si>
  <si>
    <t>IN COSTRUZIONE</t>
  </si>
  <si>
    <t>FERMO IMPIANTO</t>
  </si>
  <si>
    <t>DISMESSO</t>
  </si>
  <si>
    <t>ELIMINATO DA DB</t>
  </si>
  <si>
    <t>refluo_trasportato</t>
  </si>
  <si>
    <t>MISTA</t>
  </si>
  <si>
    <t>NERA</t>
  </si>
  <si>
    <t>tinfra_inv_scol_materiali - NOTA. DA UTILIZZARE COME MATERIALI PER SCARICATORI</t>
  </si>
  <si>
    <t>materiale_scolmatore</t>
  </si>
  <si>
    <t>PIETRA</t>
  </si>
  <si>
    <t>ALTRO</t>
  </si>
  <si>
    <t>tipo_scolmatore</t>
  </si>
  <si>
    <t>STRAMAZZO LATERALE</t>
  </si>
  <si>
    <t>LUCE DI SFONDO</t>
  </si>
  <si>
    <t>id_servizio</t>
  </si>
  <si>
    <t>servizio</t>
  </si>
  <si>
    <t>GENERICO</t>
  </si>
  <si>
    <t>ACQUEDOTTO</t>
  </si>
  <si>
    <t>FOGNATURA E DEPURAZIONE</t>
  </si>
  <si>
    <t>FOGNATURA</t>
  </si>
  <si>
    <t>DEPURAZIONE</t>
  </si>
  <si>
    <t>tipo_clorazione</t>
  </si>
  <si>
    <t>CLOROGAS</t>
  </si>
  <si>
    <t>IPOCLORITI</t>
  </si>
  <si>
    <t>BIOSSIDO DI CLORO</t>
  </si>
  <si>
    <t>UV</t>
  </si>
  <si>
    <t>tipo_serbatoio</t>
  </si>
  <si>
    <t>FUORITERRA</t>
  </si>
  <si>
    <t>INTERRATO</t>
  </si>
  <si>
    <t>PENSILE</t>
  </si>
  <si>
    <t>SEMI-INTERRATO</t>
  </si>
  <si>
    <t>tipo_telecontrollo</t>
  </si>
  <si>
    <t>ASSENTE</t>
  </si>
  <si>
    <t>MANUALE</t>
  </si>
  <si>
    <t>SEMI-AUTOMATICO</t>
  </si>
  <si>
    <t>AUTOMATICO</t>
  </si>
  <si>
    <t>tipo_trattamento</t>
  </si>
  <si>
    <t>DISINFEZIONE</t>
  </si>
  <si>
    <t>DISSALATORI</t>
  </si>
  <si>
    <t>tra_acarboni_attivi</t>
  </si>
  <si>
    <t>NO</t>
  </si>
  <si>
    <t>PAC</t>
  </si>
  <si>
    <t>GAC</t>
  </si>
  <si>
    <t>tra_filtraz_rapida</t>
  </si>
  <si>
    <t>PRESSIONE</t>
  </si>
  <si>
    <t>GRAVITA</t>
  </si>
  <si>
    <t>tra_ossida_riduzione</t>
  </si>
  <si>
    <t>OSSIGENO</t>
  </si>
  <si>
    <t>OZONO</t>
  </si>
  <si>
    <t>PERMANGANATO POTASSIO</t>
  </si>
  <si>
    <t>tinfra_inv_traf_anaerobica</t>
  </si>
  <si>
    <t>dig_anaerobica</t>
  </si>
  <si>
    <t>MONOSTADIO</t>
  </si>
  <si>
    <t>BISTADIO</t>
  </si>
  <si>
    <t>destinazione_fango</t>
  </si>
  <si>
    <t>DISCARICA</t>
  </si>
  <si>
    <t>RIUTILIZZO AGRICOLO</t>
  </si>
  <si>
    <t>COMPOSTAGGIO</t>
  </si>
  <si>
    <t>TERMOVALORIZZATORI</t>
  </si>
  <si>
    <t>FILTROPRESSA</t>
  </si>
  <si>
    <t>NASTROPRESSA</t>
  </si>
  <si>
    <t>CENTRIFUGA</t>
  </si>
  <si>
    <t>tinfra_f5_classe_reg</t>
  </si>
  <si>
    <t>classe_regionale</t>
  </si>
  <si>
    <t>scaricatori piena a servizio di agglomerati, o parti, costituiti da insediamenti e/o stabilimenti scaricanti in fognatura esclusivamente acque reflue domestiche o assimilate</t>
  </si>
  <si>
    <t>B1</t>
  </si>
  <si>
    <t>scaricatori piena a servizio di agglomerati, o parti, costituiti da insediamenti e/o stabilimenti scaricanti acque reflue urbane od industriali nel cui ciclo produttivo non sono presenti sostanze pericolose (tab.3A, 5, all.5 parte III-D.L.152/2006)</t>
  </si>
  <si>
    <t>B2</t>
  </si>
  <si>
    <t>scaricatori piena a servizio di agglomerati, o parti, costituiti da insediamenti e/o stabilimenti scaricanti acque reflue urbane od industriali nel cui ciclo produttivo sono presenti sostanze pericolose  (tab.3A, 5, all.5 parte III-D.L.152/2006)</t>
  </si>
  <si>
    <t>id_indice_idx</t>
  </si>
  <si>
    <t>indice_idx</t>
  </si>
  <si>
    <t>A</t>
  </si>
  <si>
    <t>Valori misurati direttamente. Dati provenienti da rilievi diretti. Es.Misure di lunghezza tubazioni, di portata, di volumi, di parametri analitici di qualità delle acque, ecc., oppure da elaborati progettuali esecutivi, quali volume di serbatoi, ecc..</t>
  </si>
  <si>
    <t>B</t>
  </si>
  <si>
    <t>Valori desunti da analisi cartografica (scala da 1:500 a 1:10.000) ove, ad esempio, la lunghezza della rete o la quota di un invaso sia dedotta dalla cartografia di base.</t>
  </si>
  <si>
    <t>C</t>
  </si>
  <si>
    <t>Valori dedotti da stime dirette o da cartografia con scala sup. 1:25.000. Non è disponibile una misura classificabile  “A” o  “B”, ma può essere fornita una stima. Es.Tempo di funzionamento di una pompa, dedotto da registrazioni collaterali.</t>
  </si>
  <si>
    <t>D</t>
  </si>
  <si>
    <t>Valori fondati su stime indirette, basate su analogie con altri servizi, oppure da dati parametrici, attinti anche da letteratura, in funzione di elementi certi, quali gli abitanti o gli utenti serviti.</t>
  </si>
  <si>
    <t>X</t>
  </si>
  <si>
    <t>Sconosciuto e non assegnabile con nessuno dei criteri sopra indicati.</t>
  </si>
  <si>
    <t>tinfra_inv_sostanze (NON UTILIZZATA)</t>
  </si>
  <si>
    <t>id_sostanza</t>
  </si>
  <si>
    <t>sostanza</t>
  </si>
  <si>
    <t>valore</t>
  </si>
  <si>
    <t>unita_misura</t>
  </si>
  <si>
    <t>ESCHERICHIA COLI (E. COLI)</t>
  </si>
  <si>
    <t>nr/100 ml</t>
  </si>
  <si>
    <t>ENTEROCOCCHI</t>
  </si>
  <si>
    <t>ACRILAMMIDE</t>
  </si>
  <si>
    <t>μg/l</t>
  </si>
  <si>
    <t>ANTIMONIO</t>
  </si>
  <si>
    <t>ARSENICO</t>
  </si>
  <si>
    <t>BENZENE</t>
  </si>
  <si>
    <t>BENZO(A)PIRENE</t>
  </si>
  <si>
    <t>BORO</t>
  </si>
  <si>
    <t>BROMATO</t>
  </si>
  <si>
    <t>CADMIO</t>
  </si>
  <si>
    <t>CROMO</t>
  </si>
  <si>
    <t>RAME</t>
  </si>
  <si>
    <t>CIANURO</t>
  </si>
  <si>
    <t>1.2 DICLOROETANO</t>
  </si>
  <si>
    <t>EPICIORIDRINA</t>
  </si>
  <si>
    <t>FLUORURO</t>
  </si>
  <si>
    <t>MERCURIO</t>
  </si>
  <si>
    <t>NICHEL</t>
  </si>
  <si>
    <t>NITRATO (COME NO3)</t>
  </si>
  <si>
    <t>NITRITO (COME NO2)</t>
  </si>
  <si>
    <t>ANTIPARASSITARI</t>
  </si>
  <si>
    <t>ANTIPARASSITARI - TOTALE</t>
  </si>
  <si>
    <t>IDROCARBURI POLICICLICI AROMATICI</t>
  </si>
  <si>
    <t>SELENIO</t>
  </si>
  <si>
    <t>TETRACLOROETILENE - TRICIOROETILENE</t>
  </si>
  <si>
    <t>TRIALOMETANI - TOTALE</t>
  </si>
  <si>
    <t>CLORURO DI VINILE</t>
  </si>
  <si>
    <t>CLORITO</t>
  </si>
  <si>
    <t>VANADIO</t>
  </si>
  <si>
    <t>TRIZIO</t>
  </si>
  <si>
    <t>Becquerel/l</t>
  </si>
  <si>
    <t>RADIOATTIVITÀ - DOSE TOTALE INDICATIVA</t>
  </si>
  <si>
    <t>mSv/anno</t>
  </si>
  <si>
    <t>id_tipo_opera</t>
  </si>
  <si>
    <t>tipo_opera_icona</t>
  </si>
  <si>
    <t>tipo_opera_desc</t>
  </si>
  <si>
    <t>tipo_opera_sigla</t>
  </si>
  <si>
    <t>tipo_opera_scheda</t>
  </si>
  <si>
    <t>tipo_opera_image</t>
  </si>
  <si>
    <t>tipo_opera_vettore</t>
  </si>
  <si>
    <t>infra_a1x1.png</t>
  </si>
  <si>
    <t>Captazione da Corsi di Acqua</t>
  </si>
  <si>
    <t>FI</t>
  </si>
  <si>
    <t>a1x1</t>
  </si>
  <si>
    <t>infra_a1x2.png</t>
  </si>
  <si>
    <t>Captazione da Laghi - Serbatoi</t>
  </si>
  <si>
    <t>LA</t>
  </si>
  <si>
    <t>a1x2</t>
  </si>
  <si>
    <t>infra_a1x3.png</t>
  </si>
  <si>
    <t>Captazione da Campi - Pozzi</t>
  </si>
  <si>
    <t>PO</t>
  </si>
  <si>
    <t>a1x3</t>
  </si>
  <si>
    <t>infra_a1x4.png</t>
  </si>
  <si>
    <t>Captazione da Sorgenti</t>
  </si>
  <si>
    <t>SO</t>
  </si>
  <si>
    <t>a1x4</t>
  </si>
  <si>
    <t>infra_a1x5.png</t>
  </si>
  <si>
    <t>Captazione da Presa a Mare</t>
  </si>
  <si>
    <t>MA</t>
  </si>
  <si>
    <t>a1x5</t>
  </si>
  <si>
    <t>infra_a2.png</t>
  </si>
  <si>
    <t>Impianti di Potabilizzazione</t>
  </si>
  <si>
    <t>PT</t>
  </si>
  <si>
    <t>a2</t>
  </si>
  <si>
    <t>infra_a3.png</t>
  </si>
  <si>
    <t>AD</t>
  </si>
  <si>
    <t>a3</t>
  </si>
  <si>
    <t>infra_a4.png</t>
  </si>
  <si>
    <t>Opere di Accumulo</t>
  </si>
  <si>
    <t>AC</t>
  </si>
  <si>
    <t>a4</t>
  </si>
  <si>
    <t>infra_a5.png</t>
  </si>
  <si>
    <t>Impianti di Pompaggio</t>
  </si>
  <si>
    <t>PG</t>
  </si>
  <si>
    <t>a5</t>
  </si>
  <si>
    <t>infra_a6.png</t>
  </si>
  <si>
    <t>Reti di Distribuzione</t>
  </si>
  <si>
    <t>DI</t>
  </si>
  <si>
    <t>a6</t>
  </si>
  <si>
    <t>infra_f1.png</t>
  </si>
  <si>
    <t>Reti di Raccolta</t>
  </si>
  <si>
    <t>FG</t>
  </si>
  <si>
    <t>f1</t>
  </si>
  <si>
    <t>infra_f2.png</t>
  </si>
  <si>
    <t>Impianti di Sollevamento</t>
  </si>
  <si>
    <t>SL</t>
  </si>
  <si>
    <t>f2</t>
  </si>
  <si>
    <t>infra_f3.png</t>
  </si>
  <si>
    <t>CL</t>
  </si>
  <si>
    <t>f3</t>
  </si>
  <si>
    <t>infra_f4.png</t>
  </si>
  <si>
    <t>Opere per il Trattamento delle Acque Usate</t>
  </si>
  <si>
    <t>DE</t>
  </si>
  <si>
    <t>f4</t>
  </si>
  <si>
    <t>infra_f5.png</t>
  </si>
  <si>
    <t>Scaricatori di Piena</t>
  </si>
  <si>
    <t>SF</t>
  </si>
  <si>
    <t>f5</t>
  </si>
  <si>
    <t>infra_f6.png</t>
  </si>
  <si>
    <t>Condotta Sottomarina</t>
  </si>
  <si>
    <t>CS</t>
  </si>
  <si>
    <t>f6</t>
  </si>
  <si>
    <t>infra_a7.png</t>
  </si>
  <si>
    <t>Cloratore di Rete</t>
  </si>
  <si>
    <t>CR</t>
  </si>
  <si>
    <t>a7</t>
  </si>
  <si>
    <t>arch16x16.png</t>
  </si>
  <si>
    <t>Schema di Dettaglio</t>
  </si>
  <si>
    <t>ZZ</t>
  </si>
  <si>
    <t>NA2</t>
  </si>
  <si>
    <t>VALORE</t>
  </si>
  <si>
    <t>INFRASTR</t>
  </si>
  <si>
    <t>IDENTIFICATORE DEL MODULO NETSIC</t>
  </si>
  <si>
    <t>103</t>
  </si>
  <si>
    <t>ID FORMATO (NR=102 DEFAULT)</t>
  </si>
  <si>
    <t>ID GESTORE (Nr.ID del GESTORE es. 6=ACQUEDOTTO DEL FIORA)</t>
  </si>
  <si>
    <t>DATA AGGIORNAMENTO INFORMAZIONI (01/12/2016)</t>
  </si>
  <si>
    <t>SINGOLA</t>
  </si>
  <si>
    <t>RICORRENZA COMPETENZA (ANNUALE;SINGOLA)</t>
  </si>
  <si>
    <t>1</t>
  </si>
  <si>
    <t>NR.CONSEGNA NELL'ANNO (da 1 a 12)</t>
  </si>
  <si>
    <t>ANNO COMPETENZA (AAAA di COMPETENZA DATI) 2015</t>
  </si>
  <si>
    <t>NUMERO ANNI SOTTESI (NR.ANNI es.1 = 1 ANNO)</t>
  </si>
  <si>
    <t>DATA REDAZIONE FILE (01/06/2016)</t>
  </si>
  <si>
    <t>codice opera [idt]</t>
  </si>
  <si>
    <t>codice origine [testo]</t>
  </si>
  <si>
    <t>descrizione impianto [testo]</t>
  </si>
  <si>
    <t>g.boaga NORD [m]</t>
  </si>
  <si>
    <t>g.boaga EST [m]</t>
  </si>
  <si>
    <t>fuso RIF. [nr]</t>
  </si>
  <si>
    <t>codice schema acquedottistico [idt]</t>
  </si>
  <si>
    <t>descrizione schema acquedottistico [testo]</t>
  </si>
  <si>
    <t>quota s.l.m [m]</t>
  </si>
  <si>
    <t>località [testo]</t>
  </si>
  <si>
    <t>comune [istat]</t>
  </si>
  <si>
    <t>bacino appartenza corso acqua [testo]</t>
  </si>
  <si>
    <t>nome del corso acqua [testo]</t>
  </si>
  <si>
    <t>classe corso acqua [idn]</t>
  </si>
  <si>
    <t>estremi della concessione [testo]</t>
  </si>
  <si>
    <t>portata concessa uso potabile [l/s]</t>
  </si>
  <si>
    <t>uso plurimo [sn]</t>
  </si>
  <si>
    <t>anno costruzione [anno]</t>
  </si>
  <si>
    <t>anno ristrutturazione [anno]</t>
  </si>
  <si>
    <t>conservazione [idn]</t>
  </si>
  <si>
    <t>utilizzo (continuo,occasionale,periodico) [testo]</t>
  </si>
  <si>
    <t>utilizzo annuo (0 - 100) [%]</t>
  </si>
  <si>
    <t>area del bacino a monte [kmq]</t>
  </si>
  <si>
    <t>volume prelevato [mc/anno]</t>
  </si>
  <si>
    <t>volume immesso in rete [mc/anno]</t>
  </si>
  <si>
    <t>portata di esercizio [l/s]</t>
  </si>
  <si>
    <t>portata derivata massima [l/s]</t>
  </si>
  <si>
    <t>portata derivata minima [l/s]</t>
  </si>
  <si>
    <t>portata derivabile massima [l/s]</t>
  </si>
  <si>
    <t>traversa fluviale [sn]</t>
  </si>
  <si>
    <t>camera di presa [sn]</t>
  </si>
  <si>
    <t>presa con succhierola [sn]</t>
  </si>
  <si>
    <t>griglia [sn]</t>
  </si>
  <si>
    <t>filtro [sn]</t>
  </si>
  <si>
    <t>dissabbiatore [sn]</t>
  </si>
  <si>
    <t>tipo telecontrollo [idn]</t>
  </si>
  <si>
    <t>misura portata [sn]</t>
  </si>
  <si>
    <t>zona tutela assoluta [sn]</t>
  </si>
  <si>
    <t>zona di rispetto [sn]</t>
  </si>
  <si>
    <t>zona di protezione [sn]</t>
  </si>
  <si>
    <t>tipo di clorazione [idn]</t>
  </si>
  <si>
    <t>anno istallazione cloratore [anno]</t>
  </si>
  <si>
    <t>anno ristrutturazione cloratore [anno]</t>
  </si>
  <si>
    <t>opera stato [idn]</t>
  </si>
  <si>
    <t>ind.conf. area bacino monte [idt]</t>
  </si>
  <si>
    <t>ind.conf. anno costruzione [idt]</t>
  </si>
  <si>
    <t>ind.conf. anno ristrutturazione [idt]</t>
  </si>
  <si>
    <t>ind.conf. volume prelevato [idt]</t>
  </si>
  <si>
    <t>ind.conf. volume immesso [idt]</t>
  </si>
  <si>
    <t>ind.conf. portata esercizio [idt]</t>
  </si>
  <si>
    <t>ind.conf. portata derivata max [idt]</t>
  </si>
  <si>
    <t>ind.conf. portata derivata min [idt]</t>
  </si>
  <si>
    <t>ind.conf. portata derivabile max [idt]</t>
  </si>
  <si>
    <t>aggiornamento [data]</t>
  </si>
  <si>
    <t>NOTE</t>
  </si>
  <si>
    <t>Controllo correttezza coordinate Gauss Boaga Nord</t>
  </si>
  <si>
    <t>Controllo correttezza coordinate Gauss Boaga Est</t>
  </si>
  <si>
    <t>Controllo che la quota sia maggiore di 0</t>
  </si>
  <si>
    <t>controllare se indice compreso fra 1 e 5</t>
  </si>
  <si>
    <t>controllo che la portata sia compresa fra 0 e 3000 come range indicativo (si elimina pertanto la possibilità di inserimento di 0 o di 9800 o 9999)</t>
  </si>
  <si>
    <t>Controllo corretta compilazione campo</t>
  </si>
  <si>
    <t>accetta 9999 e anno &lt;=A</t>
  </si>
  <si>
    <t>accetta 9800, 9999 e anno &lt;=A</t>
  </si>
  <si>
    <t>Verifica che le opere in stato 3 abbiano anno di costruzione pari all'anno di riferimento dei dati</t>
  </si>
  <si>
    <t>Controlla che le captazioni con %utilizzo=0 abbiano volumi captati nulli</t>
  </si>
  <si>
    <t xml:space="preserve">Controlla che volume prelevato sia congruente con lo stato opera:maggiore di zero se opere in stato 1 e 2; pari a 0 se opere in stato 3-4-5-6. </t>
  </si>
  <si>
    <t>l'immesso in rete deve essere sempre inferiore o uguale al prelevato</t>
  </si>
  <si>
    <t>minore o uguale all'anno di riferimento del DBI</t>
  </si>
  <si>
    <t>Verifica anno di costruzione/indice confidenza (se=9999 deve essere pari ad X; se &gt;=2014 deve essere pari ad A)</t>
  </si>
  <si>
    <t>Verifica anno di ristrutturazione/indice confidenza (se=9800 deve essere pari ad A; se=9999 deve essere pari a X; se &gt;=2014 deve essere pari ad A)</t>
  </si>
  <si>
    <t>se anno ristrutturazione &gt;=2019, conservazione &gt;=4</t>
  </si>
  <si>
    <t>se anno di costruzione&gt;=2014, anno di ristrutturazione &gt;anno di costruzione e stato di conservazione &gt;=4</t>
  </si>
  <si>
    <t>Se anno di costruzione &gt;=2015 tutti i campi devono essere completi</t>
  </si>
  <si>
    <t>ids_codice - testo 16 car [utf8] [idt] 
es.FI00000001</t>
  </si>
  <si>
    <t>ids_codice_origine - testo 32 car [utf8] [testo]</t>
  </si>
  <si>
    <t>descrizione - testo 64 car [utf8] [testo]</t>
  </si>
  <si>
    <t>coord_nord - decimale 8 byte [m]</t>
  </si>
  <si>
    <t>coord_est - decimale 8 byte [m]</t>
  </si>
  <si>
    <t>coord_rif - intero 4 byte [nr]</t>
  </si>
  <si>
    <t>schema_codici - testo 128 car [utf8] [testo]</t>
  </si>
  <si>
    <t>schema_descrizioni - testo 255 car [utf8] [testo]</t>
  </si>
  <si>
    <t>quota_slm - intero 4 byte [m]</t>
  </si>
  <si>
    <t>localita_nome - testo 64 car [utf8] [testo]</t>
  </si>
  <si>
    <t>id_comune_istat - intero 4 byte [istat]</t>
  </si>
  <si>
    <t>bacino_nome - testo 64 car [utf8] [testo]</t>
  </si>
  <si>
    <t>corso_acqua_nome - testo 64 car [utf8] [testo]</t>
  </si>
  <si>
    <t>id_corso_acqua_classe - intero 4 byte [idn]</t>
  </si>
  <si>
    <t>concessione_estremi - testo 64 car [utf8] [testo]</t>
  </si>
  <si>
    <t>concessione_port_pota - decimale 8 byte [l/s]</t>
  </si>
  <si>
    <t>uso_plurimo - binario 1 bit [sn]</t>
  </si>
  <si>
    <t>anno_costruzione - intero 4 byte [anno]</t>
  </si>
  <si>
    <t>anno_ristrutturazione - intero 4 byte [anno]</t>
  </si>
  <si>
    <t>id_conservazione - intero 4 byte [idn]</t>
  </si>
  <si>
    <t>utilizzo_tipo - testo 16 car [utf8] [testo]</t>
  </si>
  <si>
    <t>utilizzo_annuo - decimale 8 byte [%]</t>
  </si>
  <si>
    <t>area_bacino_monte - decimale 8 byte [kmq]</t>
  </si>
  <si>
    <t>volume_prelevato - decimale 8 byte [mc/anno]</t>
  </si>
  <si>
    <t>volume_immesso - decimale 8 byte [mc/anno]</t>
  </si>
  <si>
    <t>portata_esercizio - decimale 8 byte [l/s]</t>
  </si>
  <si>
    <t>portata_derivata_max - decimale 8 byte [l/s]</t>
  </si>
  <si>
    <t>portata_derivata_min - decimale 8 byte [l/s]</t>
  </si>
  <si>
    <t>portata_derivabile_max - decimale 8 byte [l/s]</t>
  </si>
  <si>
    <t>pres_traversa_fluviale - binario 1 bit [sn]</t>
  </si>
  <si>
    <t>pres_camera_presa - binario 1 bit [sn]</t>
  </si>
  <si>
    <t>pres_psucchieruola - binario 1 bit [sn]</t>
  </si>
  <si>
    <t>pres_griglia - binario 1 bit [sn]</t>
  </si>
  <si>
    <t>pres_filtro - binario 1 bit [sn]</t>
  </si>
  <si>
    <t>pres_dissabbiatore - binario 1 bit [sn]</t>
  </si>
  <si>
    <t>id_tipo_telecontrollo - intero 4 byte [idn]</t>
  </si>
  <si>
    <t>pres_misura_portata - binario 1 bit [sn]</t>
  </si>
  <si>
    <t>zona_tutela_assoluta - binario 1 bit [sn]</t>
  </si>
  <si>
    <t>zona_rispetto - binario 1 bit [sn]</t>
  </si>
  <si>
    <t>zona_protezione - binario 1 bit [sn]</t>
  </si>
  <si>
    <t>id_tipo_clorazione - intero 4 byte [idn]</t>
  </si>
  <si>
    <t>cloratore_anno_insta - intero 4 byte [anno]</t>
  </si>
  <si>
    <t>cloratore_anno_ristru - intero 4 byte [anno]</t>
  </si>
  <si>
    <t>id_opera_stato - intero 4 byte [idn]</t>
  </si>
  <si>
    <t>idx_area_bacino_monte - testo 2 car [utf8] [idt]</t>
  </si>
  <si>
    <t>idx_anno_costruzione - testo 2 car [utf8] [idt]</t>
  </si>
  <si>
    <t>idx_anno_ristrutturazione - testo 2 car [utf8] [idt]</t>
  </si>
  <si>
    <t>idx_volume_prelevato - testo 2 car [utf8] [idt]</t>
  </si>
  <si>
    <t>idx_volume_immesso - testo 2 car [utf8] [idt]</t>
  </si>
  <si>
    <t>idx_portata_esercizio - testo 2 car [utf8] [idt]</t>
  </si>
  <si>
    <t>idx_portata_derivata_max - testo 2 car [utf8] [idt]</t>
  </si>
  <si>
    <t>idx_portata_derivata_min - testo 2 car [utf8] [idt]</t>
  </si>
  <si>
    <t>idx_portata_derivabile_max - testo 2 car [utf8] [idt]</t>
  </si>
  <si>
    <t>data_ua - data 8 byte [data]</t>
  </si>
  <si>
    <t>800</t>
  </si>
  <si>
    <t>1000</t>
  </si>
  <si>
    <t>1100</t>
  </si>
  <si>
    <t>1200</t>
  </si>
  <si>
    <t>1300</t>
  </si>
  <si>
    <t>1400</t>
  </si>
  <si>
    <t>1500</t>
  </si>
  <si>
    <t>1600</t>
  </si>
  <si>
    <t>1700</t>
  </si>
  <si>
    <t>1800</t>
  </si>
  <si>
    <t>1900</t>
  </si>
  <si>
    <t>2000</t>
  </si>
  <si>
    <t>2100</t>
  </si>
  <si>
    <t>2200</t>
  </si>
  <si>
    <t>2700</t>
  </si>
  <si>
    <t>2800</t>
  </si>
  <si>
    <t>2900</t>
  </si>
  <si>
    <t>3000</t>
  </si>
  <si>
    <t>3100</t>
  </si>
  <si>
    <t>3200</t>
  </si>
  <si>
    <t>3300</t>
  </si>
  <si>
    <t>3400</t>
  </si>
  <si>
    <t>3500</t>
  </si>
  <si>
    <t>3600</t>
  </si>
  <si>
    <t>3700</t>
  </si>
  <si>
    <t>3800</t>
  </si>
  <si>
    <t>3900</t>
  </si>
  <si>
    <t>4000</t>
  </si>
  <si>
    <t>4100</t>
  </si>
  <si>
    <t>4200</t>
  </si>
  <si>
    <t>4300</t>
  </si>
  <si>
    <t>4400</t>
  </si>
  <si>
    <t>4500</t>
  </si>
  <si>
    <t>4600</t>
  </si>
  <si>
    <t>4700</t>
  </si>
  <si>
    <t>4800</t>
  </si>
  <si>
    <t>4900</t>
  </si>
  <si>
    <t>5000</t>
  </si>
  <si>
    <t>5100</t>
  </si>
  <si>
    <t>5200</t>
  </si>
  <si>
    <t>5300</t>
  </si>
  <si>
    <t>5400</t>
  </si>
  <si>
    <t>5500</t>
  </si>
  <si>
    <t>5600</t>
  </si>
  <si>
    <t>5700</t>
  </si>
  <si>
    <t>5800</t>
  </si>
  <si>
    <t>5900</t>
  </si>
  <si>
    <t>6000</t>
  </si>
  <si>
    <t>6100</t>
  </si>
  <si>
    <t>6200</t>
  </si>
  <si>
    <t>6300</t>
  </si>
  <si>
    <t>Controllo su QUOTA</t>
  </si>
  <si>
    <t>Classe corso acqua</t>
  </si>
  <si>
    <t>Controllo su portata concessa uso potabile</t>
  </si>
  <si>
    <t>anno costruzione opere in stato 3</t>
  </si>
  <si>
    <t>anno costruzione &lt;anno ristrutturazione</t>
  </si>
  <si>
    <t>Controllo su 
tipo utilizzo e 
% utilizzo</t>
  </si>
  <si>
    <t>Controllo utilizzo/volumi</t>
  </si>
  <si>
    <t>Controllo su volume prelevato</t>
  </si>
  <si>
    <t>Verifica prelevato/immesso</t>
  </si>
  <si>
    <t>anno installaz cloratore &lt;anno ristrutturazione cloratore</t>
  </si>
  <si>
    <t xml:space="preserve">anno installaz cloratore </t>
  </si>
  <si>
    <t xml:space="preserve">anno ristrutturaz cloratore </t>
  </si>
  <si>
    <t>anno costruz/indice confid</t>
  </si>
  <si>
    <t>anno ristrutt/indice confidenza</t>
  </si>
  <si>
    <t>anno ristruttu/conservazione</t>
  </si>
  <si>
    <t>anno costr 2014/ristrutt e conserv congruenti</t>
  </si>
  <si>
    <t>anno costr. 2015/celle vuote</t>
  </si>
  <si>
    <t>verifica completezza su nuove opere</t>
  </si>
  <si>
    <t>Verifica su QUOTA</t>
  </si>
  <si>
    <t>controllo su classe corso acqua</t>
  </si>
  <si>
    <t>Uso plurimo</t>
  </si>
  <si>
    <t>anno costruzione &lt; anno ristrutturazione</t>
  </si>
  <si>
    <t>anno ristrutt&gt;=2018/stato conservazione</t>
  </si>
  <si>
    <t>codice opera [idt]
o
codice origine [idt]</t>
  </si>
  <si>
    <t>codice potabilizzatore [idt]</t>
  </si>
  <si>
    <t>gestore potababilizzatore [idn]</t>
  </si>
  <si>
    <t>ids_codice - testo 16 o 32 car [utf8] [idt] (vd.colonna.A)</t>
  </si>
  <si>
    <t>ids_codice_potab - testo 16 car [utf8] [idt]</t>
  </si>
  <si>
    <t>id_gestore_potab - intero 4 byte [idn]</t>
  </si>
  <si>
    <t>6600</t>
  </si>
  <si>
    <t>6800</t>
  </si>
  <si>
    <t>6900</t>
  </si>
  <si>
    <t>Verifica volume prelevato opere in potab</t>
  </si>
  <si>
    <t>Verifica su potabilizzatore</t>
  </si>
  <si>
    <t>Verifica sui volumi associati ai fiumi collegati ai potabilizzatori</t>
  </si>
  <si>
    <t>Verifica sullo stato opera dei potabilizzatori</t>
  </si>
  <si>
    <t>area bacino afferente all'invaso [kmq]</t>
  </si>
  <si>
    <t>volume invaso [mc]</t>
  </si>
  <si>
    <t>altezza diga [m]</t>
  </si>
  <si>
    <t>invaso a norma collaudo [sn]</t>
  </si>
  <si>
    <t>zona rispetto [sn]</t>
  </si>
  <si>
    <t>zona protezione [sn]</t>
  </si>
  <si>
    <t>ind.conf. area bacino afferente [idt]</t>
  </si>
  <si>
    <t>controllo che la portata sia compresa fra 0 e 1000 come range indicativo (si elimina pertanto la possibilità di inserimento di 0 o di 9800 o 9999)</t>
  </si>
  <si>
    <t>ids_codice - testo 16 car [utf8] [idt] 
es.LA00000001</t>
  </si>
  <si>
    <t>area_bacino_afferente - decimale 8 byte [kmq]</t>
  </si>
  <si>
    <t>volume_invaso - decimale 8 byte [mc]</t>
  </si>
  <si>
    <t>altezza_diga - decimale 8 byte [m]</t>
  </si>
  <si>
    <t>invaso_norma_collaudo - binario 1 bit [sn]</t>
  </si>
  <si>
    <t>idx_area_bacino_afferente - testo 2 car [utf8] [idt]</t>
  </si>
  <si>
    <t>7800</t>
  </si>
  <si>
    <t>8000</t>
  </si>
  <si>
    <t>8100</t>
  </si>
  <si>
    <t>8200</t>
  </si>
  <si>
    <t>8300</t>
  </si>
  <si>
    <t>8400</t>
  </si>
  <si>
    <t>8500</t>
  </si>
  <si>
    <t>8600</t>
  </si>
  <si>
    <t>8700</t>
  </si>
  <si>
    <t>8800</t>
  </si>
  <si>
    <t>8900</t>
  </si>
  <si>
    <t>9000</t>
  </si>
  <si>
    <t>9100</t>
  </si>
  <si>
    <t>9200</t>
  </si>
  <si>
    <t>9700</t>
  </si>
  <si>
    <t>9800</t>
  </si>
  <si>
    <t>9900</t>
  </si>
  <si>
    <t>10000</t>
  </si>
  <si>
    <t>10100</t>
  </si>
  <si>
    <t>10200</t>
  </si>
  <si>
    <t>10300</t>
  </si>
  <si>
    <t>10400</t>
  </si>
  <si>
    <t>10500</t>
  </si>
  <si>
    <t>10600</t>
  </si>
  <si>
    <t>10700</t>
  </si>
  <si>
    <t>10800</t>
  </si>
  <si>
    <t>10900</t>
  </si>
  <si>
    <t>11000</t>
  </si>
  <si>
    <t>11100</t>
  </si>
  <si>
    <t>11200</t>
  </si>
  <si>
    <t>11300</t>
  </si>
  <si>
    <t>11400</t>
  </si>
  <si>
    <t>11500</t>
  </si>
  <si>
    <t>11600</t>
  </si>
  <si>
    <t>11700</t>
  </si>
  <si>
    <t>11800</t>
  </si>
  <si>
    <t>11900</t>
  </si>
  <si>
    <t>12000</t>
  </si>
  <si>
    <t>12100</t>
  </si>
  <si>
    <t>12200</t>
  </si>
  <si>
    <t>12300</t>
  </si>
  <si>
    <t>12400</t>
  </si>
  <si>
    <t>12500</t>
  </si>
  <si>
    <t>12600</t>
  </si>
  <si>
    <t>12700</t>
  </si>
  <si>
    <t>12800</t>
  </si>
  <si>
    <t>12900</t>
  </si>
  <si>
    <t>13000</t>
  </si>
  <si>
    <t>gestore potabilizzatore [idn]</t>
  </si>
  <si>
    <t>13300</t>
  </si>
  <si>
    <t>13500</t>
  </si>
  <si>
    <t>13600</t>
  </si>
  <si>
    <t>Verifica sui volumi associati ai laghi collegati ai potabilizzatori</t>
  </si>
  <si>
    <t>codice campo pozzi [idt]</t>
  </si>
  <si>
    <t>denominazione campo pozzi [testo]</t>
  </si>
  <si>
    <t>anno perforazione [anno]</t>
  </si>
  <si>
    <t>utilizzo annuo (0-100) [%]</t>
  </si>
  <si>
    <t>profondità di perforazione [m]</t>
  </si>
  <si>
    <t>diametro perforazione [mm]</t>
  </si>
  <si>
    <t>potenza installata [Kw]</t>
  </si>
  <si>
    <t>consumo di energia [kwh/anno]</t>
  </si>
  <si>
    <t>portata di utilizzo massima [l/s]</t>
  </si>
  <si>
    <t>portata di utilizzo minima [l/s]</t>
  </si>
  <si>
    <t>misura pressione [sn]</t>
  </si>
  <si>
    <t>episodi inquinamento 5anni [sn]</t>
  </si>
  <si>
    <t>ind.conf. anno perforazione [idt]</t>
  </si>
  <si>
    <t>ind.conf. potenza installata [idt]</t>
  </si>
  <si>
    <t>ind.conf. portata utilizzo max [idt]</t>
  </si>
  <si>
    <t>ind.conf. portata utilizzo min [idt]</t>
  </si>
  <si>
    <t>&gt;0</t>
  </si>
  <si>
    <t>Accetto lo 0 solo se lo stato è 3-4-5-6</t>
  </si>
  <si>
    <t>&gt;0 se volume prelevato &gt;0</t>
  </si>
  <si>
    <t>accetta 9999 e anno &lt;A+1</t>
  </si>
  <si>
    <t>accetta 9800, 9999 e anno &lt;A</t>
  </si>
  <si>
    <t>Verifica che le opere in stato 3 abbiano anno di perforazione pari all'anno di riferimento dei dati</t>
  </si>
  <si>
    <t>Verifica anno di perforazione/indice confidenza (se=9800 deve essere pari ad A; se=9999 deve essere pari a X; se &gt;=2014 deve essere pari ad A)</t>
  </si>
  <si>
    <t>ids_codice - testo 16 car [utf8] [idt] 
es.PO00000001</t>
  </si>
  <si>
    <t>codice - testo 32 car [utf8] [testo]</t>
  </si>
  <si>
    <t>denominazione - testo 64 car [utf8] [testo]</t>
  </si>
  <si>
    <t>anno_perforazione - intero 4 byte [anno]</t>
  </si>
  <si>
    <t>profondita_perforazione - decimale 8 byte [m]</t>
  </si>
  <si>
    <t>diametro_perforazione - decimale 8 byte [mm]</t>
  </si>
  <si>
    <t>potenza_installata - decimale 8 byte [Kw]</t>
  </si>
  <si>
    <t>consumo_energia - decimale 8 byte [kwh/anno]</t>
  </si>
  <si>
    <t>portata_utilizzo_max - decimale 8 byte [l/s]</t>
  </si>
  <si>
    <t>portata_utilizzo_min - decimale 8 byte [l/s]</t>
  </si>
  <si>
    <t>pres_misura_pressione - binario 1 bit [sn]</t>
  </si>
  <si>
    <t>episodi_inquinamento5 - binario 1 bit [sn]</t>
  </si>
  <si>
    <t>idx_anno_perforazione - testo 2 car [utf8] [idt]</t>
  </si>
  <si>
    <t>idx_potenza_installata - testo 2 car [utf8] [idt]</t>
  </si>
  <si>
    <t>idx_portata_utilizzo_max - testo 2 car [utf8] [idt]</t>
  </si>
  <si>
    <t>idx_portata_utilizzo_min - testo 2 car [utf8] [idt]</t>
  </si>
  <si>
    <t>14500</t>
  </si>
  <si>
    <t>14700</t>
  </si>
  <si>
    <t>14800</t>
  </si>
  <si>
    <t>14900</t>
  </si>
  <si>
    <t>15000</t>
  </si>
  <si>
    <t>15100</t>
  </si>
  <si>
    <t>15200</t>
  </si>
  <si>
    <t>15300</t>
  </si>
  <si>
    <t>15400</t>
  </si>
  <si>
    <t>15500</t>
  </si>
  <si>
    <t>15600</t>
  </si>
  <si>
    <t>16100</t>
  </si>
  <si>
    <t>16200</t>
  </si>
  <si>
    <t>16300</t>
  </si>
  <si>
    <t>16400</t>
  </si>
  <si>
    <t>16500</t>
  </si>
  <si>
    <t>16600</t>
  </si>
  <si>
    <t>16700</t>
  </si>
  <si>
    <t>16800</t>
  </si>
  <si>
    <t>16900</t>
  </si>
  <si>
    <t>17000</t>
  </si>
  <si>
    <t>17100</t>
  </si>
  <si>
    <t>17200</t>
  </si>
  <si>
    <t>17300</t>
  </si>
  <si>
    <t>17400</t>
  </si>
  <si>
    <t>17500</t>
  </si>
  <si>
    <t>17600</t>
  </si>
  <si>
    <t>17700</t>
  </si>
  <si>
    <t>17800</t>
  </si>
  <si>
    <t>17900</t>
  </si>
  <si>
    <t>18000</t>
  </si>
  <si>
    <t>18100</t>
  </si>
  <si>
    <t>18200</t>
  </si>
  <si>
    <t>18300</t>
  </si>
  <si>
    <t>18400</t>
  </si>
  <si>
    <t>18500</t>
  </si>
  <si>
    <t>18600</t>
  </si>
  <si>
    <t>18700</t>
  </si>
  <si>
    <t>18800</t>
  </si>
  <si>
    <t>18900</t>
  </si>
  <si>
    <t>19000</t>
  </si>
  <si>
    <t>19100</t>
  </si>
  <si>
    <t>19200</t>
  </si>
  <si>
    <t>19300</t>
  </si>
  <si>
    <t>19400</t>
  </si>
  <si>
    <t>Profondità di perforazione</t>
  </si>
  <si>
    <t>consumo energia</t>
  </si>
  <si>
    <t>anno perforazione opere in stato 3</t>
  </si>
  <si>
    <t>anno perforazione &lt;anno ristrutturazione</t>
  </si>
  <si>
    <t>anno installazione [anno]</t>
  </si>
  <si>
    <t>potenza [Kw]</t>
  </si>
  <si>
    <t>portata [l/s]</t>
  </si>
  <si>
    <t>prevalenza [M.C.A.]</t>
  </si>
  <si>
    <t>funziona riserva [sn]</t>
  </si>
  <si>
    <t>ind.conf. anno installazione [idt]</t>
  </si>
  <si>
    <t>ind.conf. potenza [idt]</t>
  </si>
  <si>
    <t>ind.conf. portata [idt]</t>
  </si>
  <si>
    <t>ind.conf. prevalenza [idt]</t>
  </si>
  <si>
    <t>Stato di conservazione deve essere compreso fra 1 e 5</t>
  </si>
  <si>
    <t>accetta 9800 e anno &lt;=A</t>
  </si>
  <si>
    <t xml:space="preserve">congruenza anno costruz./anno ristrutt. </t>
  </si>
  <si>
    <t>Verifica anno di ristrutturazione/indice confidenza (se 9800 deve essere pari ad A)</t>
  </si>
  <si>
    <t>se anno ristrutturazione &gt;=2018, conservazione &gt;=4</t>
  </si>
  <si>
    <t>se anno di ristrutturazione&gt;=
2014 indice di confidenza pari ad A</t>
  </si>
  <si>
    <t>&gt;0 kw</t>
  </si>
  <si>
    <t>&gt;0 l/s</t>
  </si>
  <si>
    <t>&gt;0mca</t>
  </si>
  <si>
    <t xml:space="preserve"> deve essere =0 o =1</t>
  </si>
  <si>
    <t>anno_installazione - intero 4 byte [anno]</t>
  </si>
  <si>
    <t>potenza - decimale 8 byte [Kw]</t>
  </si>
  <si>
    <t>portata - decimale 8 byte [l/s]</t>
  </si>
  <si>
    <t>prevalenza - decimale 8 byte [M.C.A.]</t>
  </si>
  <si>
    <t>funziona_riserva - binario 1 bit [sn]</t>
  </si>
  <si>
    <t>idx_anno_installazione - testo 2 car [utf8] [idt]</t>
  </si>
  <si>
    <t>idx_potenza - testo 2 car [utf8] [idt]</t>
  </si>
  <si>
    <t>idx_portata - testo 2 car [utf8] [idt]</t>
  </si>
  <si>
    <t>idx_prevalenza - testo 2 car [utf8] [idt]</t>
  </si>
  <si>
    <t>19700</t>
  </si>
  <si>
    <t>19900</t>
  </si>
  <si>
    <t>20000</t>
  </si>
  <si>
    <t>20100</t>
  </si>
  <si>
    <t>20200</t>
  </si>
  <si>
    <t>20300</t>
  </si>
  <si>
    <t>20400</t>
  </si>
  <si>
    <t>20500</t>
  </si>
  <si>
    <t>20600</t>
  </si>
  <si>
    <t>20700</t>
  </si>
  <si>
    <t>20800</t>
  </si>
  <si>
    <t>20900</t>
  </si>
  <si>
    <t>21000</t>
  </si>
  <si>
    <t>stato di conservazione</t>
  </si>
  <si>
    <t>anno installazione[anno]</t>
  </si>
  <si>
    <t>anno installazione &lt;anno ristrutturazione</t>
  </si>
  <si>
    <t>anno ristruttu/indice confidenza</t>
  </si>
  <si>
    <t>potenza [kw]</t>
  </si>
  <si>
    <t>portata[l/s]</t>
  </si>
  <si>
    <t>funzione riserva</t>
  </si>
  <si>
    <t>anno installazione &lt; anno ristrutturazione</t>
  </si>
  <si>
    <t>anno ristrutturazione/ind. Confidenza</t>
  </si>
  <si>
    <t>anno ristrutturazione&gt;=2018/stato conservazione</t>
  </si>
  <si>
    <t>anno ristrutturazione &gt;=2014/indice confidenza</t>
  </si>
  <si>
    <t>21300</t>
  </si>
  <si>
    <t>21500</t>
  </si>
  <si>
    <t>21600</t>
  </si>
  <si>
    <t>Verifica sui volumi associati ai pozzi collegati ai potabilizzatori</t>
  </si>
  <si>
    <t>codice campo sorgenti [idt]</t>
  </si>
  <si>
    <t>denominazione campo sorgenti [testo]</t>
  </si>
  <si>
    <t>cunicolo di presa [sn]</t>
  </si>
  <si>
    <t>vasca captazione [sn]</t>
  </si>
  <si>
    <t>vasca misura [sn]</t>
  </si>
  <si>
    <t>vasca carico [sn]</t>
  </si>
  <si>
    <t>portata di utilizzo [l/s]</t>
  </si>
  <si>
    <t>ind.conf. portata utilizzo [idt]</t>
  </si>
  <si>
    <t>accetta 9800, 9999 e anno &lt;A+1</t>
  </si>
  <si>
    <t>se tipo clorazione pari a 1 la coppia degli anni deve essere pari a 9800</t>
  </si>
  <si>
    <t>ids_codice - testo 16 car [utf8] [idt] 
es.SO00000001</t>
  </si>
  <si>
    <t>pres_cunicolo_presa - binario 1 bit [sn]</t>
  </si>
  <si>
    <t>pres_vasca_captazione - binario 1 bit [sn]</t>
  </si>
  <si>
    <t>pres_vasca_misura - binario 1 bit [sn]</t>
  </si>
  <si>
    <t>pres_vasca_carico - binario 1 bit [sn]</t>
  </si>
  <si>
    <t>portata_utilizzo - decimale 8 byte [l/s]</t>
  </si>
  <si>
    <t>idx_portata_utilizzo - testo 2 car [utf8] [idt]</t>
  </si>
  <si>
    <t>23500</t>
  </si>
  <si>
    <t>23700</t>
  </si>
  <si>
    <t>23800</t>
  </si>
  <si>
    <t>23900</t>
  </si>
  <si>
    <t>24000</t>
  </si>
  <si>
    <t>24100</t>
  </si>
  <si>
    <t>24200</t>
  </si>
  <si>
    <t>24300</t>
  </si>
  <si>
    <t>24400</t>
  </si>
  <si>
    <t>24500</t>
  </si>
  <si>
    <t>24600</t>
  </si>
  <si>
    <t>25100</t>
  </si>
  <si>
    <t>25200</t>
  </si>
  <si>
    <t>25300</t>
  </si>
  <si>
    <t>25400</t>
  </si>
  <si>
    <t>25500</t>
  </si>
  <si>
    <t>25600</t>
  </si>
  <si>
    <t>25700</t>
  </si>
  <si>
    <t>25800</t>
  </si>
  <si>
    <t>25900</t>
  </si>
  <si>
    <t>26000</t>
  </si>
  <si>
    <t>26100</t>
  </si>
  <si>
    <t>26200</t>
  </si>
  <si>
    <t>26300</t>
  </si>
  <si>
    <t>26400</t>
  </si>
  <si>
    <t>26500</t>
  </si>
  <si>
    <t>26600</t>
  </si>
  <si>
    <t>26700</t>
  </si>
  <si>
    <t>26800</t>
  </si>
  <si>
    <t>26900</t>
  </si>
  <si>
    <t>27000</t>
  </si>
  <si>
    <t>27100</t>
  </si>
  <si>
    <t>27200</t>
  </si>
  <si>
    <t>27300</t>
  </si>
  <si>
    <t>27400</t>
  </si>
  <si>
    <t>27500</t>
  </si>
  <si>
    <t>27600</t>
  </si>
  <si>
    <t>27700</t>
  </si>
  <si>
    <t>27800</t>
  </si>
  <si>
    <t>27900</t>
  </si>
  <si>
    <t>28000</t>
  </si>
  <si>
    <t>28100</t>
  </si>
  <si>
    <t>28200</t>
  </si>
  <si>
    <t>tipo clorazione vs(anno install,anno ristrutt)</t>
  </si>
  <si>
    <t>Verifica sulla terna di clorazione</t>
  </si>
  <si>
    <t>anno costruz/indice confididenza</t>
  </si>
  <si>
    <t>28500</t>
  </si>
  <si>
    <t>28700</t>
  </si>
  <si>
    <t>28800</t>
  </si>
  <si>
    <t>Verifica sui volumi associati alle sorgenti in potab collegate ai potabilizzatori</t>
  </si>
  <si>
    <t>profondità s.l.m [m]</t>
  </si>
  <si>
    <t>lunghezza [m]</t>
  </si>
  <si>
    <t>diametro [mm]</t>
  </si>
  <si>
    <t>note [testo]</t>
  </si>
  <si>
    <t>Controllo profondità</t>
  </si>
  <si>
    <t>Controlla che volume prelevato sia congruente con lo stato opera e con il consumo di energia</t>
  </si>
  <si>
    <t>Controlla le portate minima/massima</t>
  </si>
  <si>
    <t>ids_codice - testo 16 car [utf8] [idt]</t>
  </si>
  <si>
    <t>profondita_slm - intero 4 byte [m]</t>
  </si>
  <si>
    <t>lunghezza - decimale 8 byte [m]</t>
  </si>
  <si>
    <t>diametro - decimale 8 byte [mm]</t>
  </si>
  <si>
    <t>note - testo 255 car [utf8] [testo]</t>
  </si>
  <si>
    <t>Controllo su profondità</t>
  </si>
  <si>
    <t>Controllo su portate di utilizzo</t>
  </si>
  <si>
    <t>controllo su portate di utilizzo</t>
  </si>
  <si>
    <t>Verifica stato opera</t>
  </si>
  <si>
    <t>Verifica sui volumi associati alle prese a mare collegate ai potabilizzatori</t>
  </si>
  <si>
    <t>tipo trattamento [idn]</t>
  </si>
  <si>
    <t>anno ristrutturazione civili [anno]</t>
  </si>
  <si>
    <t>conservazione op.civili [idn]</t>
  </si>
  <si>
    <t>anno ristrutturazione elet.mecc. [anno]</t>
  </si>
  <si>
    <t>conservazione op.elettr.mecc. [idn]</t>
  </si>
  <si>
    <t>volume trattabile [Mln/gg]</t>
  </si>
  <si>
    <t>volume trattato [mc/anno]</t>
  </si>
  <si>
    <t>volume in uscita immesso all'utilizzazione (A06) [mc/anno]</t>
  </si>
  <si>
    <t>presidio medio impianto [hr/gg]</t>
  </si>
  <si>
    <t>presidio saltuario [sn]</t>
  </si>
  <si>
    <t>riserva di acqua [mc]</t>
  </si>
  <si>
    <t>misura portata in ingresso impianto [sn]</t>
  </si>
  <si>
    <t>misura portata in uscita impianto [sn]</t>
  </si>
  <si>
    <t>tra grigliatura [sn]</t>
  </si>
  <si>
    <t>tra dissabbiamento [sn]</t>
  </si>
  <si>
    <t>tra chiarificazione [sn]</t>
  </si>
  <si>
    <t>trattamento filtrazione rapida [idn]</t>
  </si>
  <si>
    <t>trattamento ossidazione e riduzione [idn]</t>
  </si>
  <si>
    <t>tra precipitazione [sn]</t>
  </si>
  <si>
    <t>tra strippaggio [sn]</t>
  </si>
  <si>
    <t>trattamento a carboni attivi [idn]</t>
  </si>
  <si>
    <t>tra resine scambiatrici ioni [sn]</t>
  </si>
  <si>
    <t>tra elettrodialisi [sn]</t>
  </si>
  <si>
    <t>tra osmosi inversa [sn]</t>
  </si>
  <si>
    <t>tra filtrazione lenta [sn]</t>
  </si>
  <si>
    <t>tra processi biologici [sn]</t>
  </si>
  <si>
    <t>tra micro ultra filtrazione [sn]</t>
  </si>
  <si>
    <t>tra fanghi [sn]</t>
  </si>
  <si>
    <t>tra disinfezione ozonazione [sn]</t>
  </si>
  <si>
    <t>tra irraggiamento uv [sn]</t>
  </si>
  <si>
    <t>rim ferro [sn]</t>
  </si>
  <si>
    <t>rim manganese [sn]</t>
  </si>
  <si>
    <t>rim ammoniaca nitrati [sn]</t>
  </si>
  <si>
    <t>rim fosfati [sn]</t>
  </si>
  <si>
    <t>rim metalli pesanti [sn]</t>
  </si>
  <si>
    <t>rim trialometani [sn]</t>
  </si>
  <si>
    <t>rim organo alogenati [sn]</t>
  </si>
  <si>
    <t>rim anidride solforosa [sn]</t>
  </si>
  <si>
    <t>ind.conf. anno ristruttura op.civili [idt]</t>
  </si>
  <si>
    <t>ind.conf. anno ristruttura op.el.mec. [idt]</t>
  </si>
  <si>
    <t>ind.conf. volume trattabile giorno [idt]</t>
  </si>
  <si>
    <t>ind.conf. volume trattato anno [idt]</t>
  </si>
  <si>
    <t>ind.conf. volume in uscita immesso all'utilizzazione (A06) [idt]</t>
  </si>
  <si>
    <t>Stato di conservazione opere civili deve essere compreso fra 1 e 5</t>
  </si>
  <si>
    <t>Stato di conservazione opere civili deve essere compreso fra 1 e 6</t>
  </si>
  <si>
    <t>maggiore di 0 se opera in stato attivo o fermo impianto parziale</t>
  </si>
  <si>
    <t>Tipo telecontrollo deve essere compreso fra 1 e 4</t>
  </si>
  <si>
    <t>Tipo di trattamento deve essere =1, 2, 3, 4, 5</t>
  </si>
  <si>
    <t>&gt;0 se opere in stato 1,2</t>
  </si>
  <si>
    <t>Verifica volume trattabile/Volume trattato</t>
  </si>
  <si>
    <t>Verifica anno di ristrutturazione OO.CC./indice confidenza (se=9800 deve essere pari ad A; se=9999 deve essere pari a X; se &gt;=2014 deve essere pari ad A)</t>
  </si>
  <si>
    <t>Verifica anno di ristrutturazione OO.EE.MM./indice confidenza (se=9800 deve essere pari ad A; se=9999 deve essere pari a X; se &gt;=2014 deve essere pari ad A)</t>
  </si>
  <si>
    <t>se anno ristrutturazione op. civili &gt;=2019, conservazione &gt;=4</t>
  </si>
  <si>
    <t>se anno ristrutturazione op. elettrom. &gt;=2019, conservazione &gt;=4</t>
  </si>
  <si>
    <t>ids_codice - testo 16 car [utf8] [idt] 
es.PT00000001</t>
  </si>
  <si>
    <t>id_tipo_trattamento - intero 4 byte [idn]</t>
  </si>
  <si>
    <t>anno_ristruttura_civile - intero 4 byte [anno]</t>
  </si>
  <si>
    <t>id_conservazione_civile - intero 4 byte [idn]</t>
  </si>
  <si>
    <t>anno_ristruttura_elmec - intero 4 byte [anno]</t>
  </si>
  <si>
    <t>id_conservazione_elmec - intero 4 byte [idn]</t>
  </si>
  <si>
    <t>volume_trattabile_giorno - decimale 8 byte [Mln/gg]</t>
  </si>
  <si>
    <t>volume_trattato_anno - decimale 8 byte [mc/anno]</t>
  </si>
  <si>
    <t>presidio_ore_giorno - decimale 8 byte [hr/gg]</t>
  </si>
  <si>
    <t>presidio_saltuario - binario 1 bit [sn]</t>
  </si>
  <si>
    <t>riserva_acqua - decimale 8 byte [mc]</t>
  </si>
  <si>
    <t>tra_grigliatura - binario 1 bit [sn]</t>
  </si>
  <si>
    <t>tra_dissabbiamento - binario 1 bit [sn]</t>
  </si>
  <si>
    <t>tra_chiarificazione - binario 1 bit [sn]</t>
  </si>
  <si>
    <t>id_tra_filtraz_rapida - intero 4 byte [idn]</t>
  </si>
  <si>
    <t>id_tra_ossida_riduzione - intero 4 byte [idn]</t>
  </si>
  <si>
    <t>tra_precipitazione - binario 1 bit [sn]</t>
  </si>
  <si>
    <t>tra_strippaggio - binario 1 bit [sn]</t>
  </si>
  <si>
    <t>id_tra_acarboni_attivi - intero 4 byte [idn]</t>
  </si>
  <si>
    <t>tra_resine_scambiatrici_ioni - binario 1 bit [sn]</t>
  </si>
  <si>
    <t>tra_elettrodialisi - binario 1 bit [sn]</t>
  </si>
  <si>
    <t>tra_osmosi_inversa - binario 1 bit [sn]</t>
  </si>
  <si>
    <t>tra_filtrazione_lenta - binario 1 bit [sn]</t>
  </si>
  <si>
    <t>tra_processi_biologici - binario 1 bit [sn]</t>
  </si>
  <si>
    <t>tra_micro_ultra_filtrazione - binario 1 bit [sn]</t>
  </si>
  <si>
    <t>tra_fanghi - binario 1 bit [sn]</t>
  </si>
  <si>
    <t>tra_disinfezione_ozonazione - binario 1 bit [sn]</t>
  </si>
  <si>
    <t>tra_irraggiamento_uv - binario 1 bit [sn]</t>
  </si>
  <si>
    <t>rim_ferro - binario 1 bit [sn]</t>
  </si>
  <si>
    <t>rim_manganese - binario 1 bit [sn]</t>
  </si>
  <si>
    <t>rim_ammoniaca_nitrati - binario 1 bit [sn]</t>
  </si>
  <si>
    <t>rim_fosfati - binario 1 bit [sn]</t>
  </si>
  <si>
    <t>rim_metalli_pesanti - binario 1 bit [sn]</t>
  </si>
  <si>
    <t>rim_trialometani - binario 1 bit [sn]</t>
  </si>
  <si>
    <t>rim_organo_alogenati - binario 1 bit [sn]</t>
  </si>
  <si>
    <t>rim_anidride_solforosa - binario 1 bit [sn]</t>
  </si>
  <si>
    <t>idx_anno_ristruttura_civile - testo 2 car [utf8] [idt]</t>
  </si>
  <si>
    <t>idx_anno_ristruttura_elmec - testo 2 car [utf8] [idt]</t>
  </si>
  <si>
    <t>idx_volume_trattabile_giorno - testo 2 car [utf8] [idt]</t>
  </si>
  <si>
    <t>idx_volume_trattato_anno - testo 2 car [utf8] [idt]</t>
  </si>
  <si>
    <t>30700</t>
  </si>
  <si>
    <t>30900</t>
  </si>
  <si>
    <t>31000</t>
  </si>
  <si>
    <t>31100</t>
  </si>
  <si>
    <t>31200</t>
  </si>
  <si>
    <t>31300</t>
  </si>
  <si>
    <t>31400</t>
  </si>
  <si>
    <t>31500</t>
  </si>
  <si>
    <t>31600</t>
  </si>
  <si>
    <t>31700</t>
  </si>
  <si>
    <t>31800</t>
  </si>
  <si>
    <t>32100</t>
  </si>
  <si>
    <t>32200</t>
  </si>
  <si>
    <t>98600</t>
  </si>
  <si>
    <t>32300</t>
  </si>
  <si>
    <t>32400</t>
  </si>
  <si>
    <t>32500</t>
  </si>
  <si>
    <t>32600</t>
  </si>
  <si>
    <t>32700</t>
  </si>
  <si>
    <t>32800</t>
  </si>
  <si>
    <t>98400</t>
  </si>
  <si>
    <t>98500</t>
  </si>
  <si>
    <t>32900</t>
  </si>
  <si>
    <t>33000</t>
  </si>
  <si>
    <t>33100</t>
  </si>
  <si>
    <t>33200</t>
  </si>
  <si>
    <t>33300</t>
  </si>
  <si>
    <t>33400</t>
  </si>
  <si>
    <t>33500</t>
  </si>
  <si>
    <t>33600</t>
  </si>
  <si>
    <t>33700</t>
  </si>
  <si>
    <t>33800</t>
  </si>
  <si>
    <t>33900</t>
  </si>
  <si>
    <t>34000</t>
  </si>
  <si>
    <t>34100</t>
  </si>
  <si>
    <t>34200</t>
  </si>
  <si>
    <t>34300</t>
  </si>
  <si>
    <t>34400</t>
  </si>
  <si>
    <t>34500</t>
  </si>
  <si>
    <t>34600</t>
  </si>
  <si>
    <t>34700</t>
  </si>
  <si>
    <t>34800</t>
  </si>
  <si>
    <t>34900</t>
  </si>
  <si>
    <t>35000</t>
  </si>
  <si>
    <t>35100</t>
  </si>
  <si>
    <t>35200</t>
  </si>
  <si>
    <t>35300</t>
  </si>
  <si>
    <t>35400</t>
  </si>
  <si>
    <t>35500</t>
  </si>
  <si>
    <t>35600</t>
  </si>
  <si>
    <r>
      <rPr>
        <sz val="8"/>
        <color rgb="FF000000"/>
        <rFont val="Courier New"/>
        <charset val="1"/>
      </rPr>
      <t>35720</t>
    </r>
    <r>
      <rPr>
        <sz val="8"/>
        <color rgb="FFFF0000"/>
        <rFont val="Courier New"/>
        <charset val="1"/>
      </rPr>
      <t> </t>
    </r>
  </si>
  <si>
    <t>35800</t>
  </si>
  <si>
    <t>35900</t>
  </si>
  <si>
    <t>36000</t>
  </si>
  <si>
    <t>98700</t>
  </si>
  <si>
    <t>36100</t>
  </si>
  <si>
    <t>anno ristrutturazione opere civili[anno]</t>
  </si>
  <si>
    <t>anno ristrutturazione opere elettrom[anno]</t>
  </si>
  <si>
    <t>stato di conservazione opere civili</t>
  </si>
  <si>
    <t xml:space="preserve">stato di conservazione opere elettrom. </t>
  </si>
  <si>
    <t xml:space="preserve">Tipo telecontrollo </t>
  </si>
  <si>
    <t>anno ristrutt op civ/indice confidenza</t>
  </si>
  <si>
    <t>anno ristrutt op elettrom/indice confidenza</t>
  </si>
  <si>
    <t>anno ristrutt. Op. civili/conservazione</t>
  </si>
  <si>
    <t>anno ristrutt. Op. elettrom/conservazione</t>
  </si>
  <si>
    <t>volume trattato/volume trattabile</t>
  </si>
  <si>
    <t>anno ristrutt. Op. civili&gt;=2018/stato conservazione</t>
  </si>
  <si>
    <t>anno ristrutt. Op. elettrom.&gt;=2018/stato conservazione</t>
  </si>
  <si>
    <t>37000</t>
  </si>
  <si>
    <t>37200</t>
  </si>
  <si>
    <t>37300</t>
  </si>
  <si>
    <t>37400</t>
  </si>
  <si>
    <t>37500</t>
  </si>
  <si>
    <t>37600</t>
  </si>
  <si>
    <t>37700</t>
  </si>
  <si>
    <t>37800</t>
  </si>
  <si>
    <t>37900</t>
  </si>
  <si>
    <t>38000</t>
  </si>
  <si>
    <t>38100</t>
  </si>
  <si>
    <t>38200</t>
  </si>
  <si>
    <t>38300</t>
  </si>
  <si>
    <t>descrizione adduttrice [testo]</t>
  </si>
  <si>
    <t>portata media addotta [l/s]</t>
  </si>
  <si>
    <t>lunghezza totale [km]</t>
  </si>
  <si>
    <t>lunghezza rete telecontrollata [km]</t>
  </si>
  <si>
    <t>volume erogato [mc/anno]</t>
  </si>
  <si>
    <t>volume fatturato [mc/anno]</t>
  </si>
  <si>
    <t>volume acquistato da terzi [mc/anno]</t>
  </si>
  <si>
    <t>volume ceduto a terzi [mc/anno]</t>
  </si>
  <si>
    <t>numero utenti diretti [nr]</t>
  </si>
  <si>
    <t>numero utenti diretti - domestici [nr]</t>
  </si>
  <si>
    <t>numero utenti diretti - domestici - residenti [nr]</t>
  </si>
  <si>
    <t>numero utenze condominiali [nr]</t>
  </si>
  <si>
    <t>numero utenti indiretti [nr]</t>
  </si>
  <si>
    <t>numero utenti indiretti - domestici [nr]</t>
  </si>
  <si>
    <t>numero utenti indiretti - domestici - residenti [nr]</t>
  </si>
  <si>
    <t>utenze dotate di misuratore [nr]</t>
  </si>
  <si>
    <t>numero di riparazioni sulle condotte [nr]</t>
  </si>
  <si>
    <t>punti di clorazione sulla rete [nr]</t>
  </si>
  <si>
    <t>ind.conf. portata addotta [idt]</t>
  </si>
  <si>
    <t>ind.conf. lunghezza totale [idt]</t>
  </si>
  <si>
    <t>ind.conf. lunghezza rete telecontrollata [idt]</t>
  </si>
  <si>
    <t>ind.conf. volume immesso in rete [idt]</t>
  </si>
  <si>
    <t>ind.conf. volume erogato [idt]</t>
  </si>
  <si>
    <t>ind.conf. volume fatturato [idt]</t>
  </si>
  <si>
    <t>ind.conf. volume acquistato da terzi [idt]</t>
  </si>
  <si>
    <t>ind.conf. volume ceduto a terzi [idt]</t>
  </si>
  <si>
    <t>&gt;0 se opere in stato 1, 2</t>
  </si>
  <si>
    <t>&lt;=lunghezza totale</t>
  </si>
  <si>
    <t>Verifiche sui di cui degli utenti diretti</t>
  </si>
  <si>
    <t>utenze condominiali&lt;=utenze dirette</t>
  </si>
  <si>
    <t>se le utenze condominiali sono nulle allora il campo utenze indirette è nullo o non compilato, viceversa le utenze indirette devono essere maggiori delle utenze condominiali</t>
  </si>
  <si>
    <t>Verifiche sui di cui degli utenti indiretti</t>
  </si>
  <si>
    <t>verifica la congruenza lunghezza fra foglio principale e dettagli nei tronchi</t>
  </si>
  <si>
    <t>ids_codice - testo 16 car [utf8] [idt] 
es.AD00000001</t>
  </si>
  <si>
    <t>portata_addotta - decimale 8 byte [l/s]</t>
  </si>
  <si>
    <t>lunghezza_totale - decimale 8 byte [km]</t>
  </si>
  <si>
    <t>volume_immesso_rete - decimale 8 byte [km]</t>
  </si>
  <si>
    <t>volume_erogato - decimale 8 byte [km]</t>
  </si>
  <si>
    <t>volume_fatturato - decimale 8 byte [km]</t>
  </si>
  <si>
    <t>volume_acquistato_terzi - decimale 8 byte [km]</t>
  </si>
  <si>
    <t>volume_ceduto_terzi - decimale 8 byte [km]</t>
  </si>
  <si>
    <t>utenti_diretti - intero 4 byte [nr]</t>
  </si>
  <si>
    <t>utenti_diretti_domestici - intero 4 byte [nr]</t>
  </si>
  <si>
    <t>utenti_diretti_domestici_res - intero 4 byte [nr]</t>
  </si>
  <si>
    <t>utenti_condominiali - intero 4 byte [nr]</t>
  </si>
  <si>
    <t>utenti_indiretti - intero 4 byte [nr]</t>
  </si>
  <si>
    <t>utenti_indiretti_domestici - intero 4 byte [nr]</t>
  </si>
  <si>
    <t>utenti_indiretti_domestici_res - intero 4 byte [nr]</t>
  </si>
  <si>
    <t>utenze_con_misuratore - decimale 8 byte [km]</t>
  </si>
  <si>
    <t>punti_clorazione_rete - intero 4 byte [nr]</t>
  </si>
  <si>
    <t>idx_portata_addotta - testo 2 car [utf8] [idt]</t>
  </si>
  <si>
    <t>idx_lunghezza_totale - testo 2 car [utf8] [idt]</t>
  </si>
  <si>
    <t>idx_volume_immesso_rete - testo 2 car [utf8] [idt]</t>
  </si>
  <si>
    <t>idx_volume_erogato - testo 2 car [utf8] [idt]</t>
  </si>
  <si>
    <t>idx_volume_fatturato - testo 2 car [utf8] [idt]</t>
  </si>
  <si>
    <t>idx_volume_acquistato_terzi - testo 2 car [utf8] [idt]</t>
  </si>
  <si>
    <t>idx_volume_ceduto_terzi - testo 2 car [utf8] [idt]</t>
  </si>
  <si>
    <t>39200</t>
  </si>
  <si>
    <t>39400</t>
  </si>
  <si>
    <t>39500</t>
  </si>
  <si>
    <t>39600</t>
  </si>
  <si>
    <t>39700</t>
  </si>
  <si>
    <t>98800</t>
  </si>
  <si>
    <t>39800</t>
  </si>
  <si>
    <t>39900</t>
  </si>
  <si>
    <t>99000</t>
  </si>
  <si>
    <t>40300</t>
  </si>
  <si>
    <t>40400</t>
  </si>
  <si>
    <t>40500</t>
  </si>
  <si>
    <t>98900</t>
  </si>
  <si>
    <t>40600</t>
  </si>
  <si>
    <t>controllo volumi</t>
  </si>
  <si>
    <t xml:space="preserve">utenti diretti </t>
  </si>
  <si>
    <t>utenze condominiali</t>
  </si>
  <si>
    <t>utenze condominiali/utenze indirette</t>
  </si>
  <si>
    <t>punti di clorazione</t>
  </si>
  <si>
    <t>lunghezza complessiva singola adduttrice da tronchi</t>
  </si>
  <si>
    <t>Differenza fra lunghezza tronchi</t>
  </si>
  <si>
    <t xml:space="preserve">lunghezza totale </t>
  </si>
  <si>
    <t>congruenza volumi</t>
  </si>
  <si>
    <t>Utenti diretti</t>
  </si>
  <si>
    <t>Utenze condominiali</t>
  </si>
  <si>
    <t>Utenze condominali/utenze indirette</t>
  </si>
  <si>
    <t>Punti di clorazione sulla rete</t>
  </si>
  <si>
    <t>Controllo su consumi autorizzati ma non fatturati</t>
  </si>
  <si>
    <t>codice gis.tratto [testo]</t>
  </si>
  <si>
    <t>materiale [idn]</t>
  </si>
  <si>
    <t>anno messa opera [anno]</t>
  </si>
  <si>
    <t>protezione catodica [sn]</t>
  </si>
  <si>
    <t>lunghezza [km]</t>
  </si>
  <si>
    <t>ind.conf. materiale [idt]</t>
  </si>
  <si>
    <t>ind.conf. diametro [idt]</t>
  </si>
  <si>
    <t>ind.conf. anno [idt]</t>
  </si>
  <si>
    <t>ind.conf. lunghezza [idt]</t>
  </si>
  <si>
    <t>ID Materiale compreso fra 1 e 54</t>
  </si>
  <si>
    <t>Per le nuove opere verifica che gli indici di confidenza siano diversi da X"</t>
  </si>
  <si>
    <t>Se anno di messa in opera &gt;=2015 tutti i campi devono essere completi</t>
  </si>
  <si>
    <t>ids_codice_tratto - testo 16 car [utf8] [testo]</t>
  </si>
  <si>
    <t>id_materiale - intero 4 byte [idn]</t>
  </si>
  <si>
    <t>diametro - intero 4 byte [mm]</t>
  </si>
  <si>
    <t>anno - intero 4 byte [anno]</t>
  </si>
  <si>
    <t>protezione_catodica - binario 1 bit [sn]</t>
  </si>
  <si>
    <t>lunghezza - decimale 8 byte [km]</t>
  </si>
  <si>
    <t>idx_materiale - testo 2 car [utf8] [idt]</t>
  </si>
  <si>
    <t>idx_diametro - testo 2 car [utf8] [idt]</t>
  </si>
  <si>
    <t>idx_anno - testo 2 car [utf8] [idt]</t>
  </si>
  <si>
    <t>idx_lunghezza - testo 2 car [utf8] [idt]</t>
  </si>
  <si>
    <t>40900</t>
  </si>
  <si>
    <t>41100</t>
  </si>
  <si>
    <t>41200</t>
  </si>
  <si>
    <t>41300</t>
  </si>
  <si>
    <t>41400</t>
  </si>
  <si>
    <t>41500</t>
  </si>
  <si>
    <t>41600</t>
  </si>
  <si>
    <t>41700</t>
  </si>
  <si>
    <t>41800</t>
  </si>
  <si>
    <t>41900</t>
  </si>
  <si>
    <t>42000</t>
  </si>
  <si>
    <t>42100</t>
  </si>
  <si>
    <t xml:space="preserve">materiale </t>
  </si>
  <si>
    <t>stato di conservazione nuove opere</t>
  </si>
  <si>
    <t>Indici di confidenza</t>
  </si>
  <si>
    <t>verifica completezza su nuovi tronchi</t>
  </si>
  <si>
    <t>Materiale</t>
  </si>
  <si>
    <t>Stato di conservazione</t>
  </si>
  <si>
    <t>Stato di conservazione nuove opere</t>
  </si>
  <si>
    <t>Diametro</t>
  </si>
  <si>
    <t>Protezione catodica</t>
  </si>
  <si>
    <t xml:space="preserve">Lunghezza </t>
  </si>
  <si>
    <t>Indici di confidenza per nuove opere</t>
  </si>
  <si>
    <t>Completezza nuovi tronchi</t>
  </si>
  <si>
    <t>tipo serbatoio [idn]</t>
  </si>
  <si>
    <t>volume serbatoio [mc]</t>
  </si>
  <si>
    <t>quota del serbatoio da terra [m]</t>
  </si>
  <si>
    <t>misura livello [sn]</t>
  </si>
  <si>
    <t>ind.conf. volume serbatoio [idt]</t>
  </si>
  <si>
    <t>Tipo serbatoio deve essere compreso fra 1 e 4</t>
  </si>
  <si>
    <t>Tipo materiale deve essere compreso fra 1 e 54</t>
  </si>
  <si>
    <t>compreso in un range fra 1 e 6</t>
  </si>
  <si>
    <t>In caso di assenza di clorazione si va a verificare la congruenza di compilazione dei campi tipo clorazione e anno ristrutturazione cloratore</t>
  </si>
  <si>
    <t>ids_codice - testo 16 car [utf8] [idt] 
es.AC00000001</t>
  </si>
  <si>
    <t>id_tipo_serbatoio - intero 4 byte [idn]</t>
  </si>
  <si>
    <t>volume_serbatoio - decimale 8 byte [mc]</t>
  </si>
  <si>
    <t>quota_serbatoio_terra - decimale 8 byte [m]</t>
  </si>
  <si>
    <t>pres_misura_livello - binario 1 bit [sn]</t>
  </si>
  <si>
    <t>idx_volume_serbatoio - testo 2 car [utf8] [idt]</t>
  </si>
  <si>
    <t>Codici: 
1 - fuoriterra, 
2 - interrato, 
3 - Pensile, 
4 - semi-interrato</t>
  </si>
  <si>
    <t>43700</t>
  </si>
  <si>
    <t>43800</t>
  </si>
  <si>
    <t>43900</t>
  </si>
  <si>
    <t>44000</t>
  </si>
  <si>
    <t>44100</t>
  </si>
  <si>
    <t>44200</t>
  </si>
  <si>
    <t>44300</t>
  </si>
  <si>
    <t>44400</t>
  </si>
  <si>
    <t>44500</t>
  </si>
  <si>
    <t>44600</t>
  </si>
  <si>
    <t>44700</t>
  </si>
  <si>
    <t>44800</t>
  </si>
  <si>
    <t>44900</t>
  </si>
  <si>
    <t>45000</t>
  </si>
  <si>
    <t>45100</t>
  </si>
  <si>
    <t>45200</t>
  </si>
  <si>
    <t>45300</t>
  </si>
  <si>
    <t>45400</t>
  </si>
  <si>
    <t>45500</t>
  </si>
  <si>
    <t>45600</t>
  </si>
  <si>
    <t>45700</t>
  </si>
  <si>
    <t>45800</t>
  </si>
  <si>
    <t>45900</t>
  </si>
  <si>
    <t>46000</t>
  </si>
  <si>
    <t>46100</t>
  </si>
  <si>
    <t>46200</t>
  </si>
  <si>
    <t>tipo materiale</t>
  </si>
  <si>
    <t>quota serbatoio da terra</t>
  </si>
  <si>
    <t>tipo clorazione</t>
  </si>
  <si>
    <t>assenza cloratore</t>
  </si>
  <si>
    <t>anno costruz/indice confidenza</t>
  </si>
  <si>
    <t>accetta 9999, 9800 e anno &lt;=A</t>
  </si>
  <si>
    <t xml:space="preserve">Stato di conservazione deve essere compreso fra 1 e 5 </t>
  </si>
  <si>
    <t>ids_codice - testo 16 car [utf8] [idt] 
es.PG00000001</t>
  </si>
  <si>
    <t>47700</t>
  </si>
  <si>
    <t>47900</t>
  </si>
  <si>
    <t>48000</t>
  </si>
  <si>
    <t>48100</t>
  </si>
  <si>
    <t>48200</t>
  </si>
  <si>
    <t>48300</t>
  </si>
  <si>
    <t>48400</t>
  </si>
  <si>
    <t>48500</t>
  </si>
  <si>
    <t>48600</t>
  </si>
  <si>
    <t>48700</t>
  </si>
  <si>
    <t>48800</t>
  </si>
  <si>
    <t>48900</t>
  </si>
  <si>
    <t>49000</t>
  </si>
  <si>
    <t>49100</t>
  </si>
  <si>
    <t>49200</t>
  </si>
  <si>
    <t>49300</t>
  </si>
  <si>
    <t>49400</t>
  </si>
  <si>
    <t>49500</t>
  </si>
  <si>
    <t>49600</t>
  </si>
  <si>
    <t>49700</t>
  </si>
  <si>
    <t>49800</t>
  </si>
  <si>
    <t>49900</t>
  </si>
  <si>
    <t>50000</t>
  </si>
  <si>
    <t>50100</t>
  </si>
  <si>
    <t>50200</t>
  </si>
  <si>
    <t>anno ristrutturazione CIVILI [anno]</t>
  </si>
  <si>
    <t>anno ristrutturazione ELETTROM [anno]</t>
  </si>
  <si>
    <t>stato di conservazione CIVLI</t>
  </si>
  <si>
    <t>stato di conservazione ELETTROM</t>
  </si>
  <si>
    <t>anno ristrutturazione opere civili [anno]</t>
  </si>
  <si>
    <t>anno ristrutturazione opere elettrom [anno]</t>
  </si>
  <si>
    <t>stato di conservazione CIVILI</t>
  </si>
  <si>
    <t>Verifica anno di ristrutturazione/indice confidenza (se=9800 deve essere pari ad A; se &gt;=2014 deve essere pari ad A)</t>
  </si>
  <si>
    <t>50500</t>
  </si>
  <si>
    <t>50700</t>
  </si>
  <si>
    <t>50800</t>
  </si>
  <si>
    <t>50900</t>
  </si>
  <si>
    <t>51000</t>
  </si>
  <si>
    <t>51100</t>
  </si>
  <si>
    <t>51200</t>
  </si>
  <si>
    <t>51300</t>
  </si>
  <si>
    <t>51400</t>
  </si>
  <si>
    <t>51500</t>
  </si>
  <si>
    <t>51600</t>
  </si>
  <si>
    <t>51700</t>
  </si>
  <si>
    <t>51800</t>
  </si>
  <si>
    <t>anno ristrutt /indice confidenza</t>
  </si>
  <si>
    <t>descrizione rete distribuzione [testo]</t>
  </si>
  <si>
    <t>lunghezza rete distrettualizzata [km]</t>
  </si>
  <si>
    <t>numero allacci [nr]</t>
  </si>
  <si>
    <t>calcolo Infrastructure Leakage Index (ILI) [sn]</t>
  </si>
  <si>
    <t>numero di riparazioni sugli allacci [nr]</t>
  </si>
  <si>
    <t>numero di riparazioni sulla rete [nr]</t>
  </si>
  <si>
    <t>pressione massima di esercizio [M.C.A.]</t>
  </si>
  <si>
    <t>pressione media di esercizio [M.C.A.]</t>
  </si>
  <si>
    <t>pressione minima di esercizio [M.C.A.]</t>
  </si>
  <si>
    <t>ind.conf. volume immesso rete [idt]</t>
  </si>
  <si>
    <t>ind.conf. volume terzi acquistato [idt]</t>
  </si>
  <si>
    <t>ind.conf. volume terzi ceduto [idt]</t>
  </si>
  <si>
    <t>ind.conf. lunghezza rete distrettualizzata [idt]</t>
  </si>
  <si>
    <t>ind.conf. calcolo Infrastructure Leakage Index (ILI) [idt]</t>
  </si>
  <si>
    <t>ind.conf. press_esercizio_max [idt]</t>
  </si>
  <si>
    <t>ind.conf. pressione media di esercizio [idt]</t>
  </si>
  <si>
    <t>ind.conf. pressione minima di esercizio [idt]</t>
  </si>
  <si>
    <t>Verifica che fatturato sia &lt;=erogato</t>
  </si>
  <si>
    <t>Verifica su congruenza lunghezza reti telecontr</t>
  </si>
  <si>
    <t>Verifica su congruenza lunghezza reti distrett</t>
  </si>
  <si>
    <t>&gt;0 se rete in stato 1, 2</t>
  </si>
  <si>
    <t>ids_codice - testo 16 car [utf8] [idt] 
es.DI00000001</t>
  </si>
  <si>
    <t>lunghezza_distrettualizzata - decimale 8 byte [km]</t>
  </si>
  <si>
    <t>volume_immesso_rete - decimale 8 byte [mc/anno]</t>
  </si>
  <si>
    <t>volume_erogato - decimale 8 byte [mc/anno]</t>
  </si>
  <si>
    <t>volume_fatturato - decimale 8 byte [mc/anno]</t>
  </si>
  <si>
    <t>volume_terzi_acquistato - decimale 8 byte [mc/anno]</t>
  </si>
  <si>
    <t>volume_terzi_ceduto - decimale 8 byte [mc/anno]</t>
  </si>
  <si>
    <t>idx_volume_terzi_acquistato - testo 2 car [utf8] [idt]</t>
  </si>
  <si>
    <t>idx_volume_terzi_ceduto - testo 2 car [utf8] [idt]</t>
  </si>
  <si>
    <t>idx_lunghezza_distrettualizzata - testo 2 car [utf8] [idt]</t>
  </si>
  <si>
    <t>53300</t>
  </si>
  <si>
    <t>53500</t>
  </si>
  <si>
    <t>53600</t>
  </si>
  <si>
    <t>53700</t>
  </si>
  <si>
    <t>99400</t>
  </si>
  <si>
    <t>99100</t>
  </si>
  <si>
    <t>100400</t>
  </si>
  <si>
    <t>54500</t>
  </si>
  <si>
    <t>54600</t>
  </si>
  <si>
    <t>54700</t>
  </si>
  <si>
    <t>54800</t>
  </si>
  <si>
    <t>54900</t>
  </si>
  <si>
    <t>55000</t>
  </si>
  <si>
    <t>55100</t>
  </si>
  <si>
    <t>99200</t>
  </si>
  <si>
    <t>100200</t>
  </si>
  <si>
    <t>100300</t>
  </si>
  <si>
    <t>55200</t>
  </si>
  <si>
    <t>55300</t>
  </si>
  <si>
    <t>99600</t>
  </si>
  <si>
    <t>99800</t>
  </si>
  <si>
    <t>100000</t>
  </si>
  <si>
    <t>55400</t>
  </si>
  <si>
    <t>55500</t>
  </si>
  <si>
    <t>55600</t>
  </si>
  <si>
    <t>55700</t>
  </si>
  <si>
    <t>55800</t>
  </si>
  <si>
    <t>55900</t>
  </si>
  <si>
    <t>99300</t>
  </si>
  <si>
    <t>99500</t>
  </si>
  <si>
    <t>99700</t>
  </si>
  <si>
    <t>99900</t>
  </si>
  <si>
    <t>100100</t>
  </si>
  <si>
    <t>56000</t>
  </si>
  <si>
    <t>vol fatt&lt;vol imm rete</t>
  </si>
  <si>
    <t>vol erog&lt;=vol imm rete</t>
  </si>
  <si>
    <t>Vol fatt&lt;=vol erog</t>
  </si>
  <si>
    <t>lung rete telecontrollta&lt;=lung rete tot</t>
  </si>
  <si>
    <t>lung rete distrettualizzata&lt;=lung rete tot</t>
  </si>
  <si>
    <t>Numero Allacci</t>
  </si>
  <si>
    <t>Verifica pressioni</t>
  </si>
  <si>
    <t>Verifica su numero riparazione allacci</t>
  </si>
  <si>
    <t>Verifica su numero riparazione rete</t>
  </si>
  <si>
    <t>lunghezza complessiva singola distributrice da tronchi</t>
  </si>
  <si>
    <t>Controllo perdite per rete</t>
  </si>
  <si>
    <t>vol fatt&lt;=vol erog</t>
  </si>
  <si>
    <t>Lunghezza rete telecontrollata</t>
  </si>
  <si>
    <t>Lunghezza rete distrettualizzata</t>
  </si>
  <si>
    <t>Misura portata</t>
  </si>
  <si>
    <t>Punti di clorazione</t>
  </si>
  <si>
    <t>Controllo su perdite in distribuzione per singola rete</t>
  </si>
  <si>
    <t>rete con gestione della pressione di esercizio [sn]</t>
  </si>
  <si>
    <t>56300</t>
  </si>
  <si>
    <t>56500</t>
  </si>
  <si>
    <t>56600</t>
  </si>
  <si>
    <t>56700</t>
  </si>
  <si>
    <t>56800</t>
  </si>
  <si>
    <t>56900</t>
  </si>
  <si>
    <t>57000</t>
  </si>
  <si>
    <t>57100</t>
  </si>
  <si>
    <t>57200</t>
  </si>
  <si>
    <t>57300</t>
  </si>
  <si>
    <t>57400</t>
  </si>
  <si>
    <t>101000</t>
  </si>
  <si>
    <t>gestione della pressione</t>
  </si>
  <si>
    <t>Conservazione</t>
  </si>
  <si>
    <t>Conservazione nuove opere</t>
  </si>
  <si>
    <t>Gestione della pressione</t>
  </si>
  <si>
    <t>Completezza</t>
  </si>
  <si>
    <t>descrizione rete fognatura [testo]</t>
  </si>
  <si>
    <t>lunghezza totale allacci [km]</t>
  </si>
  <si>
    <t>lunghezza rete mista soggetta a ispezione [km]</t>
  </si>
  <si>
    <t>lunghezza rete nera soggetta a ispezione [km]</t>
  </si>
  <si>
    <t>utenze totali [nr]</t>
  </si>
  <si>
    <t>utenze industriali [nr]</t>
  </si>
  <si>
    <t>volume utenze industriali [mc/anno]</t>
  </si>
  <si>
    <t>numero scaricatori piena [nr]</t>
  </si>
  <si>
    <t>episodi allagamento [nr]</t>
  </si>
  <si>
    <t>lunghezza conn.depuratore [km]</t>
  </si>
  <si>
    <t>scarico superficiale [sn]</t>
  </si>
  <si>
    <t>ind.conf. volume utenze industriali [idt]</t>
  </si>
  <si>
    <t>ind.conf. lunghezza totale allacci [idt]</t>
  </si>
  <si>
    <t>ind.conf. lunghezza rete mista soggetta a ispezione [idt]</t>
  </si>
  <si>
    <t>ind.conf. lunghezza rete nera soggetta a ispezione [idt]</t>
  </si>
  <si>
    <t>lunghezza rete mista soggetta a ispezione&lt;lunghezza totale</t>
  </si>
  <si>
    <t>lunghezza rete nera soggetta a ispezione&lt;lunghezza totale</t>
  </si>
  <si>
    <t>Verifica che le utenze industriali si ainferiori alle utenze totali</t>
  </si>
  <si>
    <t>&gt;0 se utenze produtt. &gt;0</t>
  </si>
  <si>
    <t>&gt;0 (ma ci possono essere eccezioni)</t>
  </si>
  <si>
    <t xml:space="preserve">&gt;0 se scarico superficiale assente, altrimenti =0 se scarico superificiale presente. </t>
  </si>
  <si>
    <t>ids_codice - testo 16 car [utf8] [idt] 
es.FG00000001</t>
  </si>
  <si>
    <t>lunghezza_mista_ispezione - decimale 8 byte [km]</t>
  </si>
  <si>
    <t>lunghezza_nera_ispezione - decimale 8 byte [km]</t>
  </si>
  <si>
    <t>utenze_totali - intero 4 byte [nr]</t>
  </si>
  <si>
    <t>utenze_prod_autorizzate - intero 4 byte [nr]</t>
  </si>
  <si>
    <t>volume_prod_autorizzate - decimale 8 byte [mc/anno]</t>
  </si>
  <si>
    <t>scaricatori_piena - intero 4 byte [nr]</t>
  </si>
  <si>
    <t>episodi_allagamento - intero 4 byte [nr]</t>
  </si>
  <si>
    <t>lunghezza_depurata - decimale 8 byte [km]</t>
  </si>
  <si>
    <t>idx_volume_prod_autorizzate - testo 2 car [utf8] [idt]</t>
  </si>
  <si>
    <t>idx_lunghezza_mista_ispezione - testo 2 car [utf8] [idt]</t>
  </si>
  <si>
    <t>idx_lunghezza_nera_ispezione - testo 2 car [utf8] [idt]</t>
  </si>
  <si>
    <t>59300</t>
  </si>
  <si>
    <t>59500</t>
  </si>
  <si>
    <t>59600</t>
  </si>
  <si>
    <t>59700</t>
  </si>
  <si>
    <t>101100</t>
  </si>
  <si>
    <t>101600</t>
  </si>
  <si>
    <t>101500</t>
  </si>
  <si>
    <t>59800</t>
  </si>
  <si>
    <t>59900</t>
  </si>
  <si>
    <t>60000</t>
  </si>
  <si>
    <t>60100</t>
  </si>
  <si>
    <t>60200</t>
  </si>
  <si>
    <t>60300</t>
  </si>
  <si>
    <t>101300</t>
  </si>
  <si>
    <t>101400</t>
  </si>
  <si>
    <t>60400</t>
  </si>
  <si>
    <t>60500</t>
  </si>
  <si>
    <t>60600</t>
  </si>
  <si>
    <t>60800</t>
  </si>
  <si>
    <t>101200</t>
  </si>
  <si>
    <t>60900</t>
  </si>
  <si>
    <t>volume utenze idustriali [mc/anno]</t>
  </si>
  <si>
    <t>lunghezza complessiva singola rete da tronchi</t>
  </si>
  <si>
    <t>Verifica su Lunghezza totale</t>
  </si>
  <si>
    <t>Verifica lunghezza rete mista soggetta a ispezione</t>
  </si>
  <si>
    <t xml:space="preserve">Verifica lunghezza rete nera soggetta a ispezione </t>
  </si>
  <si>
    <t>Verifica su utenze totali</t>
  </si>
  <si>
    <t>Verifica su utenze industriali</t>
  </si>
  <si>
    <t>Verifica su Volume utenze prod. Autorizzate</t>
  </si>
  <si>
    <t>Verifica su Numero scaricatori piena</t>
  </si>
  <si>
    <t>Verifica su Lunghezza conn. Depuratore</t>
  </si>
  <si>
    <t>Verifica su Tipo telecontrollo</t>
  </si>
  <si>
    <t>Verifica su Lunghezza totale allacci</t>
  </si>
  <si>
    <t>Verifica su Volume fatturato</t>
  </si>
  <si>
    <t>refluo trasportato [idn]</t>
  </si>
  <si>
    <t>funziona gravita [sn]</t>
  </si>
  <si>
    <t>presenza di depurazione finale [sn]</t>
  </si>
  <si>
    <t>può essere =1 o =2</t>
  </si>
  <si>
    <t>diametro - testo 16 car [utf8] [mm]</t>
  </si>
  <si>
    <t>id_refluo_trasportato - intero 4 byte [idn]</t>
  </si>
  <si>
    <t>61200</t>
  </si>
  <si>
    <t>61400</t>
  </si>
  <si>
    <t>61500</t>
  </si>
  <si>
    <t>61600</t>
  </si>
  <si>
    <t>61700</t>
  </si>
  <si>
    <t>61800</t>
  </si>
  <si>
    <t>61900</t>
  </si>
  <si>
    <t>62000</t>
  </si>
  <si>
    <t>62100</t>
  </si>
  <si>
    <t>62200</t>
  </si>
  <si>
    <t>62300</t>
  </si>
  <si>
    <t>62400</t>
  </si>
  <si>
    <t>101700</t>
  </si>
  <si>
    <t>101800</t>
  </si>
  <si>
    <t>funziona gravità [sn]</t>
  </si>
  <si>
    <t>funzione gravità</t>
  </si>
  <si>
    <t xml:space="preserve">lunghezza </t>
  </si>
  <si>
    <t>presenza depurazione finale</t>
  </si>
  <si>
    <t>anno ristrutturazione elet.mec. [anno]</t>
  </si>
  <si>
    <t>conservazione op.elet.mec. [idn]</t>
  </si>
  <si>
    <t>sgrigliatore [sn]</t>
  </si>
  <si>
    <t>accetta 9800,9999 e anno &lt;=A</t>
  </si>
  <si>
    <t>Stato di conservazione op. civili deve essere compreso fra 1 e 5</t>
  </si>
  <si>
    <t>Stato di conservazione op. elettrom.  deve essere compreso fra 1 e 5</t>
  </si>
  <si>
    <t xml:space="preserve">maggiore di 0 se opera in stato attivo </t>
  </si>
  <si>
    <t>maggiore di 0 se opera in stato attivo</t>
  </si>
  <si>
    <t>ids_codice - testo 16 car [utf8] [idt] 
es.SL00000001</t>
  </si>
  <si>
    <t>pres_sgrgliatore - binario 1 bit [sn]</t>
  </si>
  <si>
    <t>63400</t>
  </si>
  <si>
    <t>63600</t>
  </si>
  <si>
    <t>63700</t>
  </si>
  <si>
    <t>63800</t>
  </si>
  <si>
    <t>63900</t>
  </si>
  <si>
    <t>64000</t>
  </si>
  <si>
    <t>64100</t>
  </si>
  <si>
    <t>64200</t>
  </si>
  <si>
    <t>64300</t>
  </si>
  <si>
    <t>64400</t>
  </si>
  <si>
    <t>64500</t>
  </si>
  <si>
    <t>64600</t>
  </si>
  <si>
    <t>64700</t>
  </si>
  <si>
    <t>64800</t>
  </si>
  <si>
    <t>64900</t>
  </si>
  <si>
    <t>65000</t>
  </si>
  <si>
    <t>65100</t>
  </si>
  <si>
    <t>65200</t>
  </si>
  <si>
    <t>65300</t>
  </si>
  <si>
    <t>65400</t>
  </si>
  <si>
    <t>65500</t>
  </si>
  <si>
    <t>65600</t>
  </si>
  <si>
    <t>65700</t>
  </si>
  <si>
    <t>65800</t>
  </si>
  <si>
    <t>65900</t>
  </si>
  <si>
    <t>66000</t>
  </si>
  <si>
    <t>stato di conservazione op. civili</t>
  </si>
  <si>
    <t>stato di conservazione opere elettromeccaniche</t>
  </si>
  <si>
    <t>66300</t>
  </si>
  <si>
    <t>66500</t>
  </si>
  <si>
    <t>66600</t>
  </si>
  <si>
    <t>66700</t>
  </si>
  <si>
    <t>66800</t>
  </si>
  <si>
    <t>66900</t>
  </si>
  <si>
    <t>67000</t>
  </si>
  <si>
    <t>67100</t>
  </si>
  <si>
    <t>67200</t>
  </si>
  <si>
    <t>67300</t>
  </si>
  <si>
    <t>67400</t>
  </si>
  <si>
    <t>67500</t>
  </si>
  <si>
    <t>67600</t>
  </si>
  <si>
    <t>descrizione collettore [testo]</t>
  </si>
  <si>
    <t>volumi utenze industriali [mc/anno]</t>
  </si>
  <si>
    <t>volume trasportato [mc/anno]</t>
  </si>
  <si>
    <t>ind.conf. volume trasportato [idt]</t>
  </si>
  <si>
    <t>ind.conf. volumi utenze industriali [idt]</t>
  </si>
  <si>
    <t>&gt;=0</t>
  </si>
  <si>
    <t>Verifica che le utenze industriali siano inferiori alle utenze totali</t>
  </si>
  <si>
    <t>Verifica che il volume delle utenze industriali sia &lt;= volume complessivo</t>
  </si>
  <si>
    <t>&gt;0 se opera stato &lt;3</t>
  </si>
  <si>
    <t>ids_codice - testo 16 car [utf8] [idt] 
es.CL00000001</t>
  </si>
  <si>
    <t>utenze_industriali - intero 4 byte [nr]</t>
  </si>
  <si>
    <t>volumi_utenze_industriali - decimale 8 byte [mc/anno]</t>
  </si>
  <si>
    <t>volume_trasportato - decimale 8 byte [mc/anno]</t>
  </si>
  <si>
    <t>pres_scarico_superficiale - binario 1 bit [sn]</t>
  </si>
  <si>
    <t>numero_scaricatori_piena - intero 4 byte [nr]</t>
  </si>
  <si>
    <t>idx_volume_trasportato - testo 2 car [utf8] [idt]</t>
  </si>
  <si>
    <t>idx_volumi_utenze_industriali - testo 2 car [utf8] [idt]</t>
  </si>
  <si>
    <t>67900</t>
  </si>
  <si>
    <t>68100</t>
  </si>
  <si>
    <t>68200</t>
  </si>
  <si>
    <t>68300</t>
  </si>
  <si>
    <t>68500</t>
  </si>
  <si>
    <t>68600</t>
  </si>
  <si>
    <t>68700</t>
  </si>
  <si>
    <t>101900</t>
  </si>
  <si>
    <t>68800</t>
  </si>
  <si>
    <t>68900</t>
  </si>
  <si>
    <t>69000</t>
  </si>
  <si>
    <t>69100</t>
  </si>
  <si>
    <t>69200</t>
  </si>
  <si>
    <t>69300</t>
  </si>
  <si>
    <t>Utenze industriali</t>
  </si>
  <si>
    <t>Volume utenze industriali</t>
  </si>
  <si>
    <t>Verifica su volume utenze industriali</t>
  </si>
  <si>
    <t>Verifica su Volume trasportato</t>
  </si>
  <si>
    <t>funziona_gravita - binario 1 bit [sn]</t>
  </si>
  <si>
    <t>69600</t>
  </si>
  <si>
    <t>69800</t>
  </si>
  <si>
    <t>69900</t>
  </si>
  <si>
    <t>70000</t>
  </si>
  <si>
    <t>70100</t>
  </si>
  <si>
    <t>70200</t>
  </si>
  <si>
    <t>70300</t>
  </si>
  <si>
    <t>70400</t>
  </si>
  <si>
    <t>70500</t>
  </si>
  <si>
    <t>70600</t>
  </si>
  <si>
    <t>70700</t>
  </si>
  <si>
    <t>70800</t>
  </si>
  <si>
    <t>102000</t>
  </si>
  <si>
    <t>depurazione finale</t>
  </si>
  <si>
    <t>funziona gravità</t>
  </si>
  <si>
    <t>completezza</t>
  </si>
  <si>
    <t>principale corpo idrico ricettore [testo]</t>
  </si>
  <si>
    <t>potenzialita progetto [AE]</t>
  </si>
  <si>
    <t>carico totale trattato [AE]</t>
  </si>
  <si>
    <t>carico civile trattato [AE]</t>
  </si>
  <si>
    <t>concentrazione media ingresso COD [mg/l]</t>
  </si>
  <si>
    <t>concentrazione media uscita COD [mg/l]</t>
  </si>
  <si>
    <t>volume totale trattato [mc/anno]</t>
  </si>
  <si>
    <t>vol reflui riutilizzo [mc/anno]</t>
  </si>
  <si>
    <t>rispetto D.Lgs.n.152/06 [sn]</t>
  </si>
  <si>
    <t>energia auto prodotta [kwh/anno]</t>
  </si>
  <si>
    <t>linea acqua [idn]</t>
  </si>
  <si>
    <t>numero linee acqua [nr]</t>
  </si>
  <si>
    <t>traa terziario [sn]</t>
  </si>
  <si>
    <t>traa imhoff [sn]</t>
  </si>
  <si>
    <t>traa biodischi [sn]</t>
  </si>
  <si>
    <t>traa letti percolatori [sn]</t>
  </si>
  <si>
    <t>traa equalizzazione [sn]</t>
  </si>
  <si>
    <t>traa griglia tradiziona [sn]</t>
  </si>
  <si>
    <t>traa griglia spinta [sn]</t>
  </si>
  <si>
    <t>traa dissabbiatura [sn]</t>
  </si>
  <si>
    <t>traa disoleatura [sn]</t>
  </si>
  <si>
    <t>traa sedimenta primaria [sn]</t>
  </si>
  <si>
    <t>traa denitrificazione [sn]</t>
  </si>
  <si>
    <t>traa ossida si nitrifica [sn]</t>
  </si>
  <si>
    <t>traa ossida no nitrifica [sn]</t>
  </si>
  <si>
    <t>traa defosfataz simulta [sn]</t>
  </si>
  <si>
    <t>traa sedimenta seconda [sn]</t>
  </si>
  <si>
    <t>traa chiariflo defosfata [sn]</t>
  </si>
  <si>
    <t>traa filtazione sabbia [sn]</t>
  </si>
  <si>
    <t>traa adsorb carbo attivi [sn]</t>
  </si>
  <si>
    <t>traa deodorizzazione [sn]</t>
  </si>
  <si>
    <t>traa disinfezione [sn]</t>
  </si>
  <si>
    <t>traa fitodepurazione [sn]</t>
  </si>
  <si>
    <t>traa lagunaggio [sn]</t>
  </si>
  <si>
    <t>trattamento acqua altro… [testo]</t>
  </si>
  <si>
    <t>linea fango [idn]</t>
  </si>
  <si>
    <t>numero linee fango [nr]</t>
  </si>
  <si>
    <t>traf ispessimento [sn]</t>
  </si>
  <si>
    <t>digestione anaerobica [idn]</t>
  </si>
  <si>
    <t>traf.digestione aerobica [sn]</t>
  </si>
  <si>
    <t>traf post ispessimento [sn]</t>
  </si>
  <si>
    <t>traf essicazione letto [sn]</t>
  </si>
  <si>
    <t>disidratazione [idn]</t>
  </si>
  <si>
    <t>traf essica termico [sn]</t>
  </si>
  <si>
    <t>traf inceneri termico [sn]</t>
  </si>
  <si>
    <t>destinazione fango [idn]</t>
  </si>
  <si>
    <t>liquami civili [mc/gg]</t>
  </si>
  <si>
    <t>volume liquami industriali [mc/gg]</t>
  </si>
  <si>
    <t>volume percolati [mc/gg]</t>
  </si>
  <si>
    <t>volume bottini [mc/gg]</t>
  </si>
  <si>
    <t>umidità residua dopo disidrataz.(0-100) [%]</t>
  </si>
  <si>
    <t>peso tal quale dei fanghi prodotti [t]</t>
  </si>
  <si>
    <t>peso tal quale fango riutilizzo agricoltura [t]</t>
  </si>
  <si>
    <t>peso tal quale fango riutilizzo compost [t]</t>
  </si>
  <si>
    <t>peso tal quale fango riutilizzo combustibile [t]</t>
  </si>
  <si>
    <t>peso tal quale fango riutilizzo altro modo [t]</t>
  </si>
  <si>
    <t>peso tal quale totale fanghi smaltiti [t]</t>
  </si>
  <si>
    <t>peso tal quale fanghi smaltiti in discarica [t]</t>
  </si>
  <si>
    <t>ind.conf. potenzialita progetto [idt]</t>
  </si>
  <si>
    <t>ind.conf. carico totale trattato [idt]</t>
  </si>
  <si>
    <t>ind.conf. carico civile trattato [idt]</t>
  </si>
  <si>
    <t>ind.conf. cod medio ingresso [idt]</t>
  </si>
  <si>
    <t>ind.conf. cod medio uscita [idt]</t>
  </si>
  <si>
    <t>ind.conf. volume totale trattato [idt]</t>
  </si>
  <si>
    <t>ind.conf. peso tal quale dei fanghi prodotti [idt]</t>
  </si>
  <si>
    <t>ind.conf. peso tal quale fango riutilizzo agricoltura [idt]</t>
  </si>
  <si>
    <t>ind.conf. peso tal quale fango riutilizzo compost [idt]</t>
  </si>
  <si>
    <t>ind.conf. peso tal quale fango riutilizzo combustibile [idt]</t>
  </si>
  <si>
    <t>ind.conf. peso tal quale fango riutilizzo altro modo [idt]</t>
  </si>
  <si>
    <t>ind.conf. peso tal quale totale fanghi smaltiti [idt]</t>
  </si>
  <si>
    <t>ind.conf. peso tal quale fanghi smaltiti in discarica [idt]</t>
  </si>
  <si>
    <t>accetta 9800, 9999 e anno &lt;A+1 (formula articolata per tenere conto sia dell'anno di ristruttu. OO.CC. Sia di quelle EE.MM.)</t>
  </si>
  <si>
    <t>Stato di conservazione op. elettrom.  deve essere compreso fra 1 e 5 o 99</t>
  </si>
  <si>
    <t xml:space="preserve">verifica che carico totale trattato sia inferiore a potenzialità di progetto. </t>
  </si>
  <si>
    <t>Tipo linea acqua fra 1 e 3, oppure 99</t>
  </si>
  <si>
    <t>Tipo linea fango fra 1 e 8, oppure 99</t>
  </si>
  <si>
    <t>Tipo linea disidratazione fra 1 e 4</t>
  </si>
  <si>
    <t xml:space="preserve">se id linea fango è 99 allora il numero di linee fango deve essere pari a 0. Viceversa, se id linea fango è diverso da 99, il numero di linee deve essere maggiore di 0. </t>
  </si>
  <si>
    <t>Destinazione fango fra 1 e 5</t>
  </si>
  <si>
    <t>totale fanghi prodotti=fanghi smaltiti+fanghi recuperati</t>
  </si>
  <si>
    <t>fanghi smaltiti in discarica&lt;fanghi smaltiti</t>
  </si>
  <si>
    <t>Tipo dig. anaerobica fra 1 e 4</t>
  </si>
  <si>
    <t>ids_codice - testo 16 car [utf8] [idt] 
es.DE00000001</t>
  </si>
  <si>
    <t>corpo_idrico_ricettore - testo 64 car [utf8] [testo]</t>
  </si>
  <si>
    <t>potenzialita_progetto - decimale 8 byte [AE]</t>
  </si>
  <si>
    <t>carico_totale_trattato - decimale 8 byte [AE]</t>
  </si>
  <si>
    <t>carico_civile_trattato - decimale 8 byte [AE]</t>
  </si>
  <si>
    <t>cod_medio_ingresso - decimale 8 byte [mg/l]</t>
  </si>
  <si>
    <t>cod_medio_uscita - decimale 8 byte [mg/l]</t>
  </si>
  <si>
    <t>volume_totale_trattato - decimale 8 byte [mc/anno]</t>
  </si>
  <si>
    <t>vol_reflui_riutilizzo - decimale 8 byte [mc/anno]</t>
  </si>
  <si>
    <t>conforme152_06 - binario 1 bit [sn]</t>
  </si>
  <si>
    <t>energia_auto_prodotta - decimale 8 byte [kwh/anno]</t>
  </si>
  <si>
    <t>presidio_medio_impianto - decimale 8 byte [hr/gg]</t>
  </si>
  <si>
    <t>id_linea_acqua - intero 4 byte [idn]</t>
  </si>
  <si>
    <t>numero_linee_acqua - intero 4 byte [nr]</t>
  </si>
  <si>
    <t>traa_terziario - binario 1 bit [sn]</t>
  </si>
  <si>
    <t>traa_imhoff - binario 1 bit [sn]</t>
  </si>
  <si>
    <t>traa_biodischi - binario 1 bit [sn]</t>
  </si>
  <si>
    <t>traa_letti_percolatori - binario 1 bit [sn]</t>
  </si>
  <si>
    <t>traa_equalizzazione - binario 1 bit [sn]</t>
  </si>
  <si>
    <t>traa_griglia_tradiziona - binario 1 bit [sn]</t>
  </si>
  <si>
    <t>traa_griglia_spinta - binario 1 bit [sn]</t>
  </si>
  <si>
    <t>traa_dissabbiatura - binario 1 bit [sn]</t>
  </si>
  <si>
    <t>traa_disoleatura - binario 1 bit [sn]</t>
  </si>
  <si>
    <t>traa_sedimenta_primaria - binario 1 bit [sn]</t>
  </si>
  <si>
    <t>traa_denitrificazione - binario 1 bit [sn]</t>
  </si>
  <si>
    <t>traa_ossida_si_nitrifica - binario 1 bit [sn]</t>
  </si>
  <si>
    <t>traa_ossida_no_nitrifica - binario 1 bit [sn]</t>
  </si>
  <si>
    <t>traa_defosfataz_simulta - binario 1 bit [sn]</t>
  </si>
  <si>
    <t>traa_sedimenta_seconda - binario 1 bit [sn]</t>
  </si>
  <si>
    <t>traa_chiariflo_defosfata - binario 1 bit [sn]</t>
  </si>
  <si>
    <t>traa_filtazione_sabbia - binario 1 bit [sn]</t>
  </si>
  <si>
    <t>traa_adsorb_carbo_attivi - binario 1 bit [sn]</t>
  </si>
  <si>
    <t>traa_deodorizzazione - binario 1 bit [sn]</t>
  </si>
  <si>
    <t>traa_disinfezione - binario 1 bit [sn]</t>
  </si>
  <si>
    <t>traa_fitodepurazione - binario 1 bit [sn]</t>
  </si>
  <si>
    <t>traa_lagunaggio - binario 1 bit [sn]</t>
  </si>
  <si>
    <t>traa_00altro - testo 128 car [utf8] [testo]</t>
  </si>
  <si>
    <t>id_linea_fango - intero 4 byte [idn]</t>
  </si>
  <si>
    <t>numero_linee_fango - intero 4 byte [nr]</t>
  </si>
  <si>
    <t>traf_ispessimento - binario 1 bit [sn]</t>
  </si>
  <si>
    <t>traf_post_ispessimento - binario 1 bit [sn]</t>
  </si>
  <si>
    <t>traf_essicazione_letto - binario 1 bit [sn]</t>
  </si>
  <si>
    <t>id_disidratazione - intero 4 byte [idn]</t>
  </si>
  <si>
    <t>traf_essica_termico - binario 1 bit [sn]</t>
  </si>
  <si>
    <t>traf_inceneri_termico - binario 1 bit [sn]</t>
  </si>
  <si>
    <t>id_destinazione_fango - intero 4 byte [idn]</t>
  </si>
  <si>
    <t>s10_liquami_civili - decimale 8 byte [mc/gg]</t>
  </si>
  <si>
    <t>sf10_liquami_industriali - decimale 8 byte [mc/gg]</t>
  </si>
  <si>
    <t>sf10_percolati - decimale 8 byte [mc/gg]</t>
  </si>
  <si>
    <t>sf10_bottini - decimale 8 byte [mc/gg]</t>
  </si>
  <si>
    <t>sf10_umid_residu_disidra - decimale 8 byte [%]</t>
  </si>
  <si>
    <t>traf_fang_prodotti - decimale 8 byte [t]</t>
  </si>
  <si>
    <t>traf_fang_riutilizzati_agri - decimale 8 byte [t]</t>
  </si>
  <si>
    <t>traf_fang_riutilizzati_compost - decimale 8 byte [t]</t>
  </si>
  <si>
    <t>traf_fang_riutilizzati_combust - decimale 8 byte [t]</t>
  </si>
  <si>
    <t>traf_fang_riutilizzati_altro - decimale 8 byte [t]</t>
  </si>
  <si>
    <t>traf_fang_tot_smaltiti - decimale 8 byte [t]</t>
  </si>
  <si>
    <t>traf_fang_disca_smaltiti - decimale 8 byte [t]</t>
  </si>
  <si>
    <t>idx_potenzialita_progetto - testo 2 car [utf8] [idt]</t>
  </si>
  <si>
    <t>idx_carico_totale_trattato - testo 2 car [utf8] [idt]</t>
  </si>
  <si>
    <t>idx_carico_civile_trattato - testo 2 car [utf8] [idt]</t>
  </si>
  <si>
    <t>idx_cod_medio_ingresso - testo 2 car [utf8] [idt]</t>
  </si>
  <si>
    <t>idx_cod_medio_uscita - testo 2 car [utf8] [idt]</t>
  </si>
  <si>
    <t>idx_volume_totale_trattato - testo 2 car [utf8] [idt]</t>
  </si>
  <si>
    <t>idx_traf_fang_prodotti - testo 2 car [utf8] [idt]</t>
  </si>
  <si>
    <t>idx_traf_fang_riutilizzo_agri - testo 2 car [utf8] [idt]</t>
  </si>
  <si>
    <t>idx_traf_fang_riutilizzo_compost - testo 2 car [utf8] [idt]</t>
  </si>
  <si>
    <t>idx_traf_fang_riutilizzo_combust - testo 2 car [utf8] [idt]</t>
  </si>
  <si>
    <t>idx_traf_fang_riutilizzo_altro - testo 2 car [utf8] [idt]</t>
  </si>
  <si>
    <t>idx_traf_fang_tot_smaltiti - testo 2 car [utf8] [idt]</t>
  </si>
  <si>
    <t>idx_traf_fang_disca_smaltiti - testo 2 car [utf8] [idt]</t>
  </si>
  <si>
    <t>71600</t>
  </si>
  <si>
    <t>71800</t>
  </si>
  <si>
    <t>71900</t>
  </si>
  <si>
    <t>72000</t>
  </si>
  <si>
    <t>72100</t>
  </si>
  <si>
    <t>72200</t>
  </si>
  <si>
    <t>72300</t>
  </si>
  <si>
    <t>72400</t>
  </si>
  <si>
    <t>72500</t>
  </si>
  <si>
    <t>72600</t>
  </si>
  <si>
    <t>72700</t>
  </si>
  <si>
    <t>72800</t>
  </si>
  <si>
    <t>72900</t>
  </si>
  <si>
    <t>73000</t>
  </si>
  <si>
    <t>73100</t>
  </si>
  <si>
    <t>73200</t>
  </si>
  <si>
    <t>73300</t>
  </si>
  <si>
    <t>73400</t>
  </si>
  <si>
    <t>73500</t>
  </si>
  <si>
    <t>73600</t>
  </si>
  <si>
    <t>73700</t>
  </si>
  <si>
    <t>73800</t>
  </si>
  <si>
    <t>73900</t>
  </si>
  <si>
    <t>74000</t>
  </si>
  <si>
    <t>74100</t>
  </si>
  <si>
    <t>74200</t>
  </si>
  <si>
    <t>74300</t>
  </si>
  <si>
    <t>74400</t>
  </si>
  <si>
    <t>102300</t>
  </si>
  <si>
    <t>102400</t>
  </si>
  <si>
    <t>74500</t>
  </si>
  <si>
    <t>74600</t>
  </si>
  <si>
    <t>74700</t>
  </si>
  <si>
    <t>74800</t>
  </si>
  <si>
    <t>74900</t>
  </si>
  <si>
    <t>75000</t>
  </si>
  <si>
    <t>75100</t>
  </si>
  <si>
    <t>75200</t>
  </si>
  <si>
    <t>75300</t>
  </si>
  <si>
    <t>75400</t>
  </si>
  <si>
    <t>75500</t>
  </si>
  <si>
    <t>75600</t>
  </si>
  <si>
    <t>75700</t>
  </si>
  <si>
    <t>75800</t>
  </si>
  <si>
    <t>75900</t>
  </si>
  <si>
    <t>76000</t>
  </si>
  <si>
    <t>76100</t>
  </si>
  <si>
    <t>76200</t>
  </si>
  <si>
    <t>76300</t>
  </si>
  <si>
    <t>76400</t>
  </si>
  <si>
    <t>76500</t>
  </si>
  <si>
    <t>76600</t>
  </si>
  <si>
    <t>76610</t>
  </si>
  <si>
    <t>76620</t>
  </si>
  <si>
    <t>76700</t>
  </si>
  <si>
    <t>76800</t>
  </si>
  <si>
    <t>76900</t>
  </si>
  <si>
    <t>77000</t>
  </si>
  <si>
    <t>77110</t>
  </si>
  <si>
    <t>77210</t>
  </si>
  <si>
    <t>77300</t>
  </si>
  <si>
    <t>77400</t>
  </si>
  <si>
    <t>77500</t>
  </si>
  <si>
    <t>77600</t>
  </si>
  <si>
    <t>77700</t>
  </si>
  <si>
    <t>77800</t>
  </si>
  <si>
    <t>77900</t>
  </si>
  <si>
    <t>78000</t>
  </si>
  <si>
    <t>78100</t>
  </si>
  <si>
    <t>78200</t>
  </si>
  <si>
    <t>78400</t>
  </si>
  <si>
    <t>78600</t>
  </si>
  <si>
    <t>78700</t>
  </si>
  <si>
    <t>79000</t>
  </si>
  <si>
    <t>79100</t>
  </si>
  <si>
    <t>79200</t>
  </si>
  <si>
    <t>79300</t>
  </si>
  <si>
    <t>79400</t>
  </si>
  <si>
    <t>79500</t>
  </si>
  <si>
    <t>79600</t>
  </si>
  <si>
    <t>79700</t>
  </si>
  <si>
    <t>79800</t>
  </si>
  <si>
    <t>79900</t>
  </si>
  <si>
    <t>80000</t>
  </si>
  <si>
    <t>80100</t>
  </si>
  <si>
    <t>anno ristrutturazione [anno] (civili+elettrom.)</t>
  </si>
  <si>
    <t xml:space="preserve">stato di conservazione op. elettromecc. </t>
  </si>
  <si>
    <t>Verifica per sovraccarico impianto</t>
  </si>
  <si>
    <t>Tipo disidratazione</t>
  </si>
  <si>
    <t>Verifica di congruità fra linea fango e numero linee fango</t>
  </si>
  <si>
    <t>Verifica per congruenze fanghi prodotti/smaltiti/recuperati</t>
  </si>
  <si>
    <t>Verifica per congruenze fanghi smaltiti/smaltiti in discarica</t>
  </si>
  <si>
    <t>Tipo dig. Anaerobica</t>
  </si>
  <si>
    <t>stato di conservazione op. elettromecc.</t>
  </si>
  <si>
    <t>Destinazione fango</t>
  </si>
  <si>
    <t>Verifica congruenza fanghi smaltiti/smaltiti in discarica</t>
  </si>
  <si>
    <t>81000</t>
  </si>
  <si>
    <t>81200</t>
  </si>
  <si>
    <t>81300</t>
  </si>
  <si>
    <t>81400</t>
  </si>
  <si>
    <t>81500</t>
  </si>
  <si>
    <t>81600</t>
  </si>
  <si>
    <t>81700</t>
  </si>
  <si>
    <t>81800</t>
  </si>
  <si>
    <t>81900</t>
  </si>
  <si>
    <t>82000</t>
  </si>
  <si>
    <t>82100</t>
  </si>
  <si>
    <t>82200</t>
  </si>
  <si>
    <t>82300</t>
  </si>
  <si>
    <t>tipo scolmatore [idn]</t>
  </si>
  <si>
    <t>codice classificazione regionale (A2, B1, B2) [idt]</t>
  </si>
  <si>
    <t>Scolmatore di Baypass impianto [sn]</t>
  </si>
  <si>
    <t>materiale scolmatore [idn] (vedi.tabella: tinfra_inv_scol_materiali)</t>
  </si>
  <si>
    <t>larghezza utile pozzetto [m]</t>
  </si>
  <si>
    <t>lunghezza utile pozzetto [m]</t>
  </si>
  <si>
    <t>rapporto diluizione (Q.Iniz.Sfioro/Q.Nera) [nr]</t>
  </si>
  <si>
    <t>tipo di recapito [testo]</t>
  </si>
  <si>
    <t>descrizione recapito [testo]</t>
  </si>
  <si>
    <t>Scaricatori in stato 1-2
(no By-pss impianto)</t>
  </si>
  <si>
    <t>Controllo su scolmatore di Baypass impianto</t>
  </si>
  <si>
    <t>congruenza anno costruz./anno ristrutt. - ristrutturazione sempre &gt; costruzione</t>
  </si>
  <si>
    <t>&gt;=3 se class. =A2 o B1
&gt;=5 se class. =B2</t>
  </si>
  <si>
    <t>se anno di costruzione &gt;2006 allora devono essere pari a (A2, B1, B2)</t>
  </si>
  <si>
    <t>ids_codice - testo 16 car [utf8] [idt] 
es.SF00000001</t>
  </si>
  <si>
    <t>id_tipo_scolmatore - intero 4 byte [idn]</t>
  </si>
  <si>
    <t>scolmatore_bypass - binario 1 bit [sn]</t>
  </si>
  <si>
    <t>id_materiale_scolmatore - intero 4 byte [idn]</t>
  </si>
  <si>
    <t>larghezza_uti_pozzetto - decimale 8 byte [m]</t>
  </si>
  <si>
    <t>lunghezza_uti_pozzetto - decimale 8 byte [m]</t>
  </si>
  <si>
    <t>rapporto_diluizione - decimale 8 byte [nr]</t>
  </si>
  <si>
    <t>recapito_tipo - testo 32 car [utf8] [testo]</t>
  </si>
  <si>
    <t>recapito_descrizione - testo 64 car [utf8] [testo]</t>
  </si>
  <si>
    <t>82600</t>
  </si>
  <si>
    <t>82800</t>
  </si>
  <si>
    <t>82900</t>
  </si>
  <si>
    <t>83000</t>
  </si>
  <si>
    <t>83100</t>
  </si>
  <si>
    <t>83200</t>
  </si>
  <si>
    <t>83300</t>
  </si>
  <si>
    <t>83400</t>
  </si>
  <si>
    <t>83500</t>
  </si>
  <si>
    <t>83600</t>
  </si>
  <si>
    <t>102500</t>
  </si>
  <si>
    <t>83700</t>
  </si>
  <si>
    <t>83800</t>
  </si>
  <si>
    <t>83900</t>
  </si>
  <si>
    <t>84100</t>
  </si>
  <si>
    <t>84200</t>
  </si>
  <si>
    <t>84300</t>
  </si>
  <si>
    <t>84400</t>
  </si>
  <si>
    <t>84500</t>
  </si>
  <si>
    <t>84600</t>
  </si>
  <si>
    <t>84700</t>
  </si>
  <si>
    <t>84800</t>
  </si>
  <si>
    <t>84900</t>
  </si>
  <si>
    <t>85000</t>
  </si>
  <si>
    <t>85100</t>
  </si>
  <si>
    <t>85300</t>
  </si>
  <si>
    <t>larghezza utili</t>
  </si>
  <si>
    <t>lunghezza utile</t>
  </si>
  <si>
    <t>rapporto diluizione</t>
  </si>
  <si>
    <t>classificaz regionale</t>
  </si>
  <si>
    <t>Scolmatore di baypass impianto</t>
  </si>
  <si>
    <t>g.boaga NORD p.terra [m]</t>
  </si>
  <si>
    <t>g.boaga EST p.terra [m]</t>
  </si>
  <si>
    <t>fuso RIF. p.terra [nr]</t>
  </si>
  <si>
    <t>quota slm p.terra [m]</t>
  </si>
  <si>
    <t>localita p.terra [testo]</t>
  </si>
  <si>
    <t>comune p.terra [istat]</t>
  </si>
  <si>
    <t>lunghezza diffusione [m]</t>
  </si>
  <si>
    <t>distanza diffusori costa [m]</t>
  </si>
  <si>
    <t>ind.conf. lunghezza diffusione [idt]</t>
  </si>
  <si>
    <t>ind.conf. distanza diffusori costa [idt]</t>
  </si>
  <si>
    <t>Maggiore di 0 per opere in stato 1 o 2</t>
  </si>
  <si>
    <t>ids_codice - testo 16 car [utf8] [idt] 
es.CS00000001</t>
  </si>
  <si>
    <t>lunghezza_diffusione - decimale 8 byte [m]</t>
  </si>
  <si>
    <t>distanza_diffusori_costa - decimale 8 byte [m]</t>
  </si>
  <si>
    <t>idx_lunghezza_diffusione - testo 2 car [utf8] [idt]</t>
  </si>
  <si>
    <t>idx_distanza_diffusori_costa - testo 2 car [utf8] [idt]</t>
  </si>
  <si>
    <t>86200</t>
  </si>
  <si>
    <t>86400</t>
  </si>
  <si>
    <t>86500</t>
  </si>
  <si>
    <t>86600</t>
  </si>
  <si>
    <t>86700</t>
  </si>
  <si>
    <t>86800</t>
  </si>
  <si>
    <t>86900</t>
  </si>
  <si>
    <t>87000</t>
  </si>
  <si>
    <t>87100</t>
  </si>
  <si>
    <t>87200</t>
  </si>
  <si>
    <t>87300</t>
  </si>
  <si>
    <t>87400</t>
  </si>
  <si>
    <t>87500</t>
  </si>
  <si>
    <t>87600</t>
  </si>
  <si>
    <t>87700</t>
  </si>
  <si>
    <t>87800</t>
  </si>
  <si>
    <t>87900</t>
  </si>
  <si>
    <t>88000</t>
  </si>
  <si>
    <t>88100</t>
  </si>
  <si>
    <t>88200</t>
  </si>
  <si>
    <t>88300</t>
  </si>
  <si>
    <t>Controllo su Volumi</t>
  </si>
  <si>
    <t>Volume trasportato</t>
  </si>
</sst>
</file>

<file path=xl/styles.xml><?xml version="1.0" encoding="utf-8"?>
<styleSheet xmlns="http://schemas.openxmlformats.org/spreadsheetml/2006/main">
  <numFmts count="9">
    <numFmt numFmtId="176" formatCode="0.000000000"/>
    <numFmt numFmtId="177" formatCode="0.0"/>
    <numFmt numFmtId="178" formatCode="0.0000"/>
    <numFmt numFmtId="44" formatCode="_(&quot;$&quot;* #,##0.00_);_(&quot;$&quot;* \(#,##0.00\);_(&quot;$&quot;* &quot;-&quot;??_);_(@_)"/>
    <numFmt numFmtId="179" formatCode="yyyy\-mm\-dd\ h:mm:ss"/>
    <numFmt numFmtId="180" formatCode="_ * #,##0_ ;_ * \-#,##0_ ;_ * &quot;-&quot;_ ;_ @_ "/>
    <numFmt numFmtId="42" formatCode="_(&quot;$&quot;* #,##0_);_(&quot;$&quot;* \(#,##0\);_(&quot;$&quot;* &quot;-&quot;_);_(@_)"/>
    <numFmt numFmtId="181" formatCode="_-* #,##0.00_-;\-* #,##0.00_-;_-* \-??_-;_-@_-"/>
    <numFmt numFmtId="182" formatCode="0.00000000"/>
  </numFmts>
  <fonts count="73">
    <font>
      <sz val="10"/>
      <name val="Arial"/>
      <charset val="1"/>
    </font>
    <font>
      <sz val="10"/>
      <color rgb="FF969696"/>
      <name val="Arial"/>
      <charset val="1"/>
    </font>
    <font>
      <b/>
      <sz val="10"/>
      <color rgb="FF00B050"/>
      <name val="Arial"/>
      <charset val="1"/>
    </font>
    <font>
      <b/>
      <sz val="8"/>
      <color rgb="FF00B050"/>
      <name val="Arial"/>
      <charset val="1"/>
    </font>
    <font>
      <sz val="8"/>
      <color rgb="FF000000"/>
      <name val="Courier New"/>
      <charset val="1"/>
    </font>
    <font>
      <sz val="8"/>
      <color rgb="FF969696"/>
      <name val="Courier New"/>
      <charset val="1"/>
    </font>
    <font>
      <b/>
      <sz val="8"/>
      <color rgb="FF000000"/>
      <name val="Courier New"/>
      <charset val="1"/>
    </font>
    <font>
      <sz val="9"/>
      <color rgb="FF00B050"/>
      <name val="Arial"/>
      <charset val="1"/>
    </font>
    <font>
      <b/>
      <sz val="9"/>
      <color rgb="FF00B050"/>
      <name val="Arial"/>
      <charset val="1"/>
    </font>
    <font>
      <b/>
      <sz val="9"/>
      <color rgb="FFFF0000"/>
      <name val="Arial"/>
      <charset val="1"/>
    </font>
    <font>
      <sz val="9"/>
      <name val="Arial"/>
      <charset val="1"/>
    </font>
    <font>
      <sz val="9"/>
      <color rgb="FF0070C0"/>
      <name val="Arial"/>
      <charset val="1"/>
    </font>
    <font>
      <b/>
      <sz val="9"/>
      <color rgb="FF0070C0"/>
      <name val="Arial"/>
      <charset val="1"/>
    </font>
    <font>
      <b/>
      <sz val="9"/>
      <color rgb="FF7030A0"/>
      <name val="Arial"/>
      <charset val="1"/>
    </font>
    <font>
      <b/>
      <sz val="9"/>
      <color rgb="FFB3A2C7"/>
      <name val="Arial"/>
      <charset val="1"/>
    </font>
    <font>
      <b/>
      <sz val="10"/>
      <color rgb="FF0070C0"/>
      <name val="Arial"/>
      <charset val="1"/>
    </font>
    <font>
      <b/>
      <sz val="10"/>
      <color rgb="FFFF0000"/>
      <name val="Arial"/>
      <charset val="1"/>
    </font>
    <font>
      <b/>
      <sz val="9"/>
      <color rgb="FF1F497D"/>
      <name val="Arial"/>
      <charset val="1"/>
    </font>
    <font>
      <b/>
      <sz val="10"/>
      <color rgb="FF1F497D"/>
      <name val="Arial"/>
      <charset val="1"/>
    </font>
    <font>
      <sz val="10"/>
      <color rgb="FF00B050"/>
      <name val="Arial"/>
      <charset val="1"/>
    </font>
    <font>
      <b/>
      <sz val="11"/>
      <color rgb="FF00B050"/>
      <name val="Arial"/>
      <charset val="1"/>
    </font>
    <font>
      <b/>
      <sz val="8"/>
      <color rgb="FFFF0000"/>
      <name val="Arial"/>
      <charset val="1"/>
    </font>
    <font>
      <b/>
      <sz val="8"/>
      <color rgb="FF1F497D"/>
      <name val="Arial"/>
      <charset val="1"/>
    </font>
    <font>
      <b/>
      <sz val="9"/>
      <name val="Arial"/>
      <charset val="1"/>
    </font>
    <font>
      <sz val="8"/>
      <color rgb="FF00B050"/>
      <name val="Arial"/>
      <charset val="1"/>
    </font>
    <font>
      <sz val="10"/>
      <color rgb="FFFF0000"/>
      <name val="Arial"/>
      <charset val="1"/>
    </font>
    <font>
      <b/>
      <sz val="10"/>
      <name val="Arial"/>
      <charset val="1"/>
    </font>
    <font>
      <sz val="8"/>
      <name val="Courier New"/>
      <charset val="1"/>
    </font>
    <font>
      <b/>
      <sz val="8"/>
      <name val="Courier New"/>
      <charset val="1"/>
    </font>
    <font>
      <sz val="8"/>
      <color rgb="FF000000"/>
      <name val="Calibri"/>
      <charset val="1"/>
    </font>
    <font>
      <sz val="9"/>
      <color rgb="FF969696"/>
      <name val="Arial"/>
      <charset val="1"/>
    </font>
    <font>
      <sz val="11"/>
      <color rgb="FF000000"/>
      <name val="Calibri"/>
      <charset val="1"/>
    </font>
    <font>
      <sz val="8"/>
      <name val="Arial"/>
      <charset val="1"/>
    </font>
    <font>
      <sz val="8"/>
      <color rgb="FF969696"/>
      <name val="Arial"/>
      <charset val="1"/>
    </font>
    <font>
      <b/>
      <sz val="8"/>
      <name val="Arial"/>
      <charset val="1"/>
    </font>
    <font>
      <sz val="9"/>
      <name val="Courier New"/>
      <charset val="1"/>
    </font>
    <font>
      <b/>
      <sz val="9"/>
      <name val="Courier New"/>
      <charset val="1"/>
    </font>
    <font>
      <i/>
      <sz val="8"/>
      <color rgb="FF969696"/>
      <name val="Arial"/>
      <charset val="1"/>
    </font>
    <font>
      <sz val="8"/>
      <name val="Tahoma"/>
      <charset val="1"/>
    </font>
    <font>
      <b/>
      <sz val="8"/>
      <name val="Tahoma"/>
      <charset val="1"/>
    </font>
    <font>
      <sz val="8"/>
      <color rgb="FF000000"/>
      <name val="Tahoma"/>
      <charset val="1"/>
    </font>
    <font>
      <sz val="8"/>
      <color rgb="FF000000"/>
      <name val="Arial"/>
      <charset val="1"/>
    </font>
    <font>
      <sz val="10"/>
      <name val="Calibri"/>
      <charset val="1"/>
    </font>
    <font>
      <sz val="10"/>
      <color rgb="FFFF0000"/>
      <name val="Calibri"/>
      <charset val="1"/>
    </font>
    <font>
      <b/>
      <sz val="10"/>
      <name val="Calibri"/>
      <charset val="1"/>
    </font>
    <font>
      <b/>
      <i/>
      <sz val="10"/>
      <name val="Calibri"/>
      <charset val="1"/>
    </font>
    <font>
      <b/>
      <sz val="10"/>
      <color rgb="FFFF0000"/>
      <name val="Calibri"/>
      <charset val="1"/>
    </font>
    <font>
      <sz val="11"/>
      <color theme="1"/>
      <name val="Calibri"/>
      <charset val="134"/>
      <scheme val="minor"/>
    </font>
    <font>
      <sz val="11"/>
      <color theme="0"/>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sz val="10"/>
      <color rgb="FF000000"/>
      <name val="Arial"/>
      <charset val="1"/>
    </font>
    <font>
      <b/>
      <sz val="11"/>
      <color theme="3"/>
      <name val="Calibri"/>
      <charset val="134"/>
      <scheme val="minor"/>
    </font>
    <font>
      <sz val="11"/>
      <color rgb="FF3F3F76"/>
      <name val="Calibri"/>
      <charset val="0"/>
      <scheme val="minor"/>
    </font>
    <font>
      <b/>
      <sz val="11"/>
      <color rgb="FFFA7D00"/>
      <name val="Calibri"/>
      <charset val="0"/>
      <scheme val="minor"/>
    </font>
    <font>
      <b/>
      <sz val="11"/>
      <color theme="1"/>
      <name val="Calibri"/>
      <charset val="0"/>
      <scheme val="minor"/>
    </font>
    <font>
      <b/>
      <sz val="11"/>
      <color rgb="FFFFFFFF"/>
      <name val="Calibri"/>
      <charset val="0"/>
      <scheme val="minor"/>
    </font>
    <font>
      <sz val="11"/>
      <color rgb="FF9C6500"/>
      <name val="Calibri"/>
      <charset val="0"/>
      <scheme val="minor"/>
    </font>
    <font>
      <b/>
      <sz val="13"/>
      <color theme="3"/>
      <name val="Calibri"/>
      <charset val="134"/>
      <scheme val="minor"/>
    </font>
    <font>
      <b/>
      <sz val="11"/>
      <color rgb="FF3F3F3F"/>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006100"/>
      <name val="Calibri"/>
      <charset val="0"/>
      <scheme val="minor"/>
    </font>
    <font>
      <sz val="11"/>
      <color rgb="FF9C0006"/>
      <name val="Calibri"/>
      <charset val="0"/>
      <scheme val="minor"/>
    </font>
    <font>
      <b/>
      <sz val="15"/>
      <color theme="3"/>
      <name val="Calibri"/>
      <charset val="134"/>
      <scheme val="minor"/>
    </font>
    <font>
      <i/>
      <sz val="11"/>
      <color rgb="FF7F7F7F"/>
      <name val="Calibri"/>
      <charset val="0"/>
      <scheme val="minor"/>
    </font>
    <font>
      <sz val="8"/>
      <color rgb="FFFF0000"/>
      <name val="Courier New"/>
      <charset val="1"/>
    </font>
    <font>
      <sz val="8"/>
      <name val="Calibri"/>
      <charset val="1"/>
    </font>
    <font>
      <sz val="8"/>
      <color rgb="FFFF0000"/>
      <name val="Arial"/>
      <charset val="1"/>
    </font>
    <font>
      <u/>
      <sz val="8"/>
      <color rgb="FFFF0000"/>
      <name val="Arial"/>
      <charset val="1"/>
    </font>
    <font>
      <u/>
      <sz val="10"/>
      <name val="Calibri"/>
      <charset val="1"/>
    </font>
  </fonts>
  <fills count="45">
    <fill>
      <patternFill patternType="none"/>
    </fill>
    <fill>
      <patternFill patternType="gray125"/>
    </fill>
    <fill>
      <patternFill patternType="solid">
        <fgColor rgb="FFFFFF99"/>
        <bgColor rgb="FFFDEADA"/>
      </patternFill>
    </fill>
    <fill>
      <patternFill patternType="solid">
        <fgColor rgb="FFC0C0C0"/>
        <bgColor rgb="FFCCCCFF"/>
      </patternFill>
    </fill>
    <fill>
      <patternFill patternType="solid">
        <fgColor rgb="FFFFCC99"/>
        <bgColor rgb="FFFDEADA"/>
      </patternFill>
    </fill>
    <fill>
      <patternFill patternType="solid">
        <fgColor rgb="FFCCFFFF"/>
        <bgColor rgb="FFCCFFFF"/>
      </patternFill>
    </fill>
    <fill>
      <patternFill patternType="solid">
        <fgColor rgb="FF00FF00"/>
        <bgColor rgb="FF00B050"/>
      </patternFill>
    </fill>
    <fill>
      <patternFill patternType="solid">
        <fgColor rgb="FFFFFF00"/>
        <bgColor rgb="FFFFFF00"/>
      </patternFill>
    </fill>
    <fill>
      <patternFill patternType="solid">
        <fgColor rgb="FFFDEADA"/>
        <bgColor rgb="FFFFFFFF"/>
      </patternFill>
    </fill>
    <fill>
      <patternFill patternType="solid">
        <fgColor rgb="FF92D050"/>
        <bgColor rgb="FFC0C0C0"/>
      </patternFill>
    </fill>
    <fill>
      <patternFill patternType="solid">
        <fgColor rgb="FF00FFFF"/>
        <bgColor rgb="FF00FFFF"/>
      </patternFill>
    </fill>
    <fill>
      <patternFill patternType="solid">
        <fgColor rgb="FFFFFFFF"/>
        <bgColor rgb="FFFDEADA"/>
      </patternFill>
    </fill>
    <fill>
      <patternFill patternType="solid">
        <fgColor rgb="FF00CCFF"/>
        <bgColor rgb="FF00B0F0"/>
      </patternFill>
    </fill>
    <fill>
      <patternFill patternType="solid">
        <fgColor rgb="FFCCFFCC"/>
        <bgColor rgb="FFCCFFFF"/>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9"/>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599993896298105"/>
        <bgColor indexed="64"/>
      </patternFill>
    </fill>
  </fills>
  <borders count="3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style="thin">
        <color rgb="FFC0C0C0"/>
      </left>
      <right style="thin">
        <color rgb="FFC0C0C0"/>
      </right>
      <top style="thin">
        <color rgb="FFC0C0C0"/>
      </top>
      <bottom style="thin">
        <color rgb="FFC0C0C0"/>
      </bottom>
      <diagonal/>
    </border>
    <border>
      <left style="thin">
        <color auto="1"/>
      </left>
      <right/>
      <top style="thin">
        <color auto="1"/>
      </top>
      <bottom style="thin">
        <color auto="1"/>
      </bottom>
      <diagonal/>
    </border>
    <border>
      <left style="thin">
        <color auto="1"/>
      </left>
      <right style="dotted">
        <color auto="1"/>
      </right>
      <top style="thin">
        <color auto="1"/>
      </top>
      <bottom style="dotted">
        <color auto="1"/>
      </bottom>
      <diagonal/>
    </border>
    <border>
      <left/>
      <right style="thin">
        <color auto="1"/>
      </right>
      <top style="thin">
        <color auto="1"/>
      </top>
      <bottom style="dotted">
        <color auto="1"/>
      </bottom>
      <diagonal/>
    </border>
    <border>
      <left style="thin">
        <color auto="1"/>
      </left>
      <right style="dotted">
        <color auto="1"/>
      </right>
      <top/>
      <bottom style="dotted">
        <color auto="1"/>
      </bottom>
      <diagonal/>
    </border>
    <border>
      <left/>
      <right style="thin">
        <color auto="1"/>
      </right>
      <top/>
      <bottom style="dotted">
        <color auto="1"/>
      </bottom>
      <diagonal/>
    </border>
    <border>
      <left style="thin">
        <color auto="1"/>
      </left>
      <right style="dotted">
        <color auto="1"/>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68">
    <xf numFmtId="0" fontId="0" fillId="0" borderId="0"/>
    <xf numFmtId="0" fontId="0" fillId="0" borderId="0"/>
    <xf numFmtId="0" fontId="0" fillId="0" borderId="0"/>
    <xf numFmtId="0" fontId="0" fillId="0" borderId="0"/>
    <xf numFmtId="0" fontId="31" fillId="0" borderId="0"/>
    <xf numFmtId="9" fontId="0" fillId="0" borderId="0" applyBorder="0" applyProtection="0"/>
    <xf numFmtId="0" fontId="31" fillId="0" borderId="0"/>
    <xf numFmtId="0" fontId="52" fillId="0" borderId="0"/>
    <xf numFmtId="0" fontId="52" fillId="0" borderId="0"/>
    <xf numFmtId="0" fontId="52" fillId="0" borderId="0"/>
    <xf numFmtId="0" fontId="52" fillId="0" borderId="0"/>
    <xf numFmtId="0" fontId="52" fillId="0" borderId="0"/>
    <xf numFmtId="0" fontId="48" fillId="39" borderId="0" applyNumberFormat="0" applyBorder="0" applyAlignment="0" applyProtection="0">
      <alignment vertical="center"/>
    </xf>
    <xf numFmtId="0" fontId="51" fillId="40" borderId="0" applyNumberFormat="0" applyBorder="0" applyAlignment="0" applyProtection="0">
      <alignment vertical="center"/>
    </xf>
    <xf numFmtId="0" fontId="48" fillId="22" borderId="0" applyNumberFormat="0" applyBorder="0" applyAlignment="0" applyProtection="0">
      <alignment vertical="center"/>
    </xf>
    <xf numFmtId="0" fontId="48" fillId="36" borderId="0" applyNumberFormat="0" applyBorder="0" applyAlignment="0" applyProtection="0">
      <alignment vertical="center"/>
    </xf>
    <xf numFmtId="0" fontId="51" fillId="33" borderId="0" applyNumberFormat="0" applyBorder="0" applyAlignment="0" applyProtection="0">
      <alignment vertical="center"/>
    </xf>
    <xf numFmtId="0" fontId="51" fillId="21" borderId="0" applyNumberFormat="0" applyBorder="0" applyAlignment="0" applyProtection="0">
      <alignment vertical="center"/>
    </xf>
    <xf numFmtId="0" fontId="0" fillId="0" borderId="0"/>
    <xf numFmtId="0" fontId="48" fillId="32" borderId="0" applyNumberFormat="0" applyBorder="0" applyAlignment="0" applyProtection="0">
      <alignment vertical="center"/>
    </xf>
    <xf numFmtId="0" fontId="48" fillId="30" borderId="0" applyNumberFormat="0" applyBorder="0" applyAlignment="0" applyProtection="0">
      <alignment vertical="center"/>
    </xf>
    <xf numFmtId="0" fontId="0" fillId="0" borderId="0"/>
    <xf numFmtId="0" fontId="51" fillId="29" borderId="0" applyNumberFormat="0" applyBorder="0" applyAlignment="0" applyProtection="0">
      <alignment vertical="center"/>
    </xf>
    <xf numFmtId="0" fontId="48" fillId="27" borderId="0" applyNumberFormat="0" applyBorder="0" applyAlignment="0" applyProtection="0">
      <alignment vertical="center"/>
    </xf>
    <xf numFmtId="0" fontId="61" fillId="0" borderId="28" applyNumberFormat="0" applyFill="0" applyAlignment="0" applyProtection="0">
      <alignment vertical="center"/>
    </xf>
    <xf numFmtId="0" fontId="51" fillId="44" borderId="0" applyNumberFormat="0" applyBorder="0" applyAlignment="0" applyProtection="0">
      <alignment vertical="center"/>
    </xf>
    <xf numFmtId="0" fontId="48" fillId="26" borderId="0" applyNumberFormat="0" applyBorder="0" applyAlignment="0" applyProtection="0">
      <alignment vertical="center"/>
    </xf>
    <xf numFmtId="0" fontId="48" fillId="23" borderId="0" applyNumberFormat="0" applyBorder="0" applyAlignment="0" applyProtection="0">
      <alignment vertical="center"/>
    </xf>
    <xf numFmtId="0" fontId="51" fillId="28" borderId="0" applyNumberFormat="0" applyBorder="0" applyAlignment="0" applyProtection="0">
      <alignment vertical="center"/>
    </xf>
    <xf numFmtId="0" fontId="51" fillId="24" borderId="0" applyNumberFormat="0" applyBorder="0" applyAlignment="0" applyProtection="0">
      <alignment vertical="center"/>
    </xf>
    <xf numFmtId="0" fontId="48" fillId="20" borderId="0" applyNumberFormat="0" applyBorder="0" applyAlignment="0" applyProtection="0">
      <alignment vertical="center"/>
    </xf>
    <xf numFmtId="0" fontId="51" fillId="43" borderId="0" applyNumberFormat="0" applyBorder="0" applyAlignment="0" applyProtection="0">
      <alignment vertical="center"/>
    </xf>
    <xf numFmtId="0" fontId="51" fillId="31" borderId="0" applyNumberFormat="0" applyBorder="0" applyAlignment="0" applyProtection="0">
      <alignment vertical="center"/>
    </xf>
    <xf numFmtId="0" fontId="48" fillId="41" borderId="0" applyNumberFormat="0" applyBorder="0" applyAlignment="0" applyProtection="0">
      <alignment vertical="center"/>
    </xf>
    <xf numFmtId="0" fontId="58" fillId="19" borderId="0" applyNumberFormat="0" applyBorder="0" applyAlignment="0" applyProtection="0">
      <alignment vertical="center"/>
    </xf>
    <xf numFmtId="0" fontId="48" fillId="38" borderId="0" applyNumberFormat="0" applyBorder="0" applyAlignment="0" applyProtection="0">
      <alignment vertical="center"/>
    </xf>
    <xf numFmtId="0" fontId="65" fillId="37" borderId="0" applyNumberFormat="0" applyBorder="0" applyAlignment="0" applyProtection="0">
      <alignment vertical="center"/>
    </xf>
    <xf numFmtId="0" fontId="51" fillId="25" borderId="0" applyNumberFormat="0" applyBorder="0" applyAlignment="0" applyProtection="0">
      <alignment vertical="center"/>
    </xf>
    <xf numFmtId="0" fontId="56" fillId="0" borderId="24" applyNumberFormat="0" applyFill="0" applyAlignment="0" applyProtection="0">
      <alignment vertical="center"/>
    </xf>
    <xf numFmtId="0" fontId="60" fillId="17" borderId="27" applyNumberFormat="0" applyAlignment="0" applyProtection="0">
      <alignment vertical="center"/>
    </xf>
    <xf numFmtId="44" fontId="47" fillId="0" borderId="0" applyFont="0" applyFill="0" applyBorder="0" applyAlignment="0" applyProtection="0">
      <alignment vertical="center"/>
    </xf>
    <xf numFmtId="0" fontId="51" fillId="42" borderId="0" applyNumberFormat="0" applyBorder="0" applyAlignment="0" applyProtection="0">
      <alignment vertical="center"/>
    </xf>
    <xf numFmtId="0" fontId="47" fillId="34" borderId="29" applyNumberFormat="0" applyFont="0" applyAlignment="0" applyProtection="0">
      <alignment vertical="center"/>
    </xf>
    <xf numFmtId="0" fontId="54" fillId="16" borderId="23" applyNumberFormat="0" applyAlignment="0" applyProtection="0">
      <alignment vertical="center"/>
    </xf>
    <xf numFmtId="0" fontId="52" fillId="0" borderId="0"/>
    <xf numFmtId="0" fontId="53" fillId="0" borderId="0" applyNumberFormat="0" applyFill="0" applyBorder="0" applyAlignment="0" applyProtection="0">
      <alignment vertical="center"/>
    </xf>
    <xf numFmtId="0" fontId="55" fillId="17" borderId="23" applyNumberFormat="0" applyAlignment="0" applyProtection="0">
      <alignment vertical="center"/>
    </xf>
    <xf numFmtId="0" fontId="64" fillId="35" borderId="0" applyNumberFormat="0" applyBorder="0" applyAlignment="0" applyProtection="0">
      <alignment vertical="center"/>
    </xf>
    <xf numFmtId="0" fontId="53" fillId="0" borderId="22" applyNumberFormat="0" applyFill="0" applyAlignment="0" applyProtection="0">
      <alignment vertical="center"/>
    </xf>
    <xf numFmtId="0" fontId="67" fillId="0" borderId="0" applyNumberFormat="0" applyFill="0" applyBorder="0" applyAlignment="0" applyProtection="0">
      <alignment vertical="center"/>
    </xf>
    <xf numFmtId="0" fontId="52" fillId="0" borderId="0"/>
    <xf numFmtId="0" fontId="66" fillId="0" borderId="26" applyNumberFormat="0" applyFill="0" applyAlignment="0" applyProtection="0">
      <alignment vertical="center"/>
    </xf>
    <xf numFmtId="0" fontId="0" fillId="0" borderId="0"/>
    <xf numFmtId="180" fontId="47" fillId="0" borderId="0" applyFont="0" applyFill="0" applyBorder="0" applyAlignment="0" applyProtection="0">
      <alignment vertical="center"/>
    </xf>
    <xf numFmtId="0" fontId="51" fillId="15" borderId="0" applyNumberFormat="0" applyBorder="0" applyAlignment="0" applyProtection="0">
      <alignment vertical="center"/>
    </xf>
    <xf numFmtId="0" fontId="52" fillId="0" borderId="0"/>
    <xf numFmtId="0" fontId="62" fillId="0" borderId="0" applyNumberFormat="0" applyFill="0" applyBorder="0" applyAlignment="0" applyProtection="0">
      <alignment vertical="center"/>
    </xf>
    <xf numFmtId="42" fontId="47" fillId="0" borderId="0" applyFont="0" applyFill="0" applyBorder="0" applyAlignment="0" applyProtection="0">
      <alignment vertical="center"/>
    </xf>
    <xf numFmtId="0" fontId="50" fillId="0" borderId="0" applyNumberFormat="0" applyFill="0" applyBorder="0" applyAlignment="0" applyProtection="0">
      <alignment vertical="center"/>
    </xf>
    <xf numFmtId="0" fontId="52" fillId="0" borderId="0"/>
    <xf numFmtId="0" fontId="49" fillId="0" borderId="0" applyNumberFormat="0" applyFill="0" applyBorder="0" applyAlignment="0" applyProtection="0">
      <alignment vertical="center"/>
    </xf>
    <xf numFmtId="0" fontId="59" fillId="0" borderId="26" applyNumberFormat="0" applyFill="0" applyAlignment="0" applyProtection="0">
      <alignment vertical="center"/>
    </xf>
    <xf numFmtId="181" fontId="0" fillId="0" borderId="0" applyBorder="0" applyProtection="0"/>
    <xf numFmtId="0" fontId="57" fillId="18" borderId="25" applyNumberFormat="0" applyAlignment="0" applyProtection="0">
      <alignment vertical="center"/>
    </xf>
    <xf numFmtId="0" fontId="48" fillId="14" borderId="0" applyNumberFormat="0" applyBorder="0" applyAlignment="0" applyProtection="0">
      <alignment vertical="center"/>
    </xf>
    <xf numFmtId="0" fontId="52" fillId="0" borderId="0"/>
    <xf numFmtId="9" fontId="47" fillId="0" borderId="0" applyFont="0" applyFill="0" applyBorder="0" applyAlignment="0" applyProtection="0">
      <alignment vertical="center"/>
    </xf>
    <xf numFmtId="0" fontId="63" fillId="0" borderId="0" applyNumberFormat="0" applyFill="0" applyBorder="0" applyAlignment="0" applyProtection="0">
      <alignment vertical="center"/>
    </xf>
  </cellStyleXfs>
  <cellXfs count="300">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wrapText="1"/>
    </xf>
    <xf numFmtId="0" fontId="4" fillId="2" borderId="1" xfId="7" applyFont="1" applyFill="1" applyBorder="1" applyAlignment="1">
      <alignment horizontal="center" vertical="center" wrapText="1"/>
    </xf>
    <xf numFmtId="0" fontId="5" fillId="2" borderId="1" xfId="7" applyFont="1" applyFill="1" applyBorder="1" applyAlignment="1">
      <alignment horizontal="center" vertical="center" wrapText="1"/>
    </xf>
    <xf numFmtId="0" fontId="6" fillId="3" borderId="1" xfId="7" applyFont="1" applyFill="1" applyBorder="1" applyAlignment="1">
      <alignment horizontal="center" vertical="center" wrapText="1"/>
    </xf>
    <xf numFmtId="0" fontId="0" fillId="0" borderId="0" xfId="0" applyAlignment="1">
      <alignment horizontal="left"/>
    </xf>
    <xf numFmtId="0" fontId="4" fillId="4" borderId="1" xfId="7" applyFont="1" applyFill="1" applyBorder="1" applyAlignment="1">
      <alignment horizontal="center" vertical="center" wrapText="1"/>
    </xf>
    <xf numFmtId="0" fontId="7" fillId="0" borderId="0" xfId="0" applyFont="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xf>
    <xf numFmtId="0" fontId="9" fillId="0" borderId="0" xfId="0" applyFont="1" applyAlignment="1">
      <alignment vertical="center"/>
    </xf>
    <xf numFmtId="0" fontId="9" fillId="0" borderId="0" xfId="0" applyFont="1" applyAlignment="1">
      <alignment vertical="center" wrapText="1"/>
    </xf>
    <xf numFmtId="0" fontId="10" fillId="0" borderId="0" xfId="0" applyFont="1" applyAlignment="1">
      <alignment horizontal="center" vertical="center"/>
    </xf>
    <xf numFmtId="0" fontId="11" fillId="0" borderId="0" xfId="0" applyFont="1"/>
    <xf numFmtId="0" fontId="0" fillId="0" borderId="0" xfId="0" applyFont="1" applyAlignment="1">
      <alignment horizontal="center"/>
    </xf>
    <xf numFmtId="0" fontId="0" fillId="0" borderId="0" xfId="0" applyFont="1"/>
    <xf numFmtId="0" fontId="4" fillId="5" borderId="1" xfId="7" applyFont="1" applyFill="1" applyBorder="1" applyAlignment="1">
      <alignment horizontal="center" vertical="center" wrapText="1"/>
    </xf>
    <xf numFmtId="0" fontId="4" fillId="6" borderId="1" xfId="7" applyFont="1" applyFill="1" applyBorder="1" applyAlignment="1">
      <alignment horizontal="center" vertical="center" wrapText="1"/>
    </xf>
    <xf numFmtId="0" fontId="5" fillId="5" borderId="1" xfId="7" applyFont="1" applyFill="1" applyBorder="1" applyAlignment="1">
      <alignment horizontal="center" vertical="center" wrapText="1"/>
    </xf>
    <xf numFmtId="0" fontId="5" fillId="6" borderId="1" xfId="7" applyFont="1" applyFill="1" applyBorder="1" applyAlignment="1">
      <alignment horizontal="center" vertical="center" wrapText="1"/>
    </xf>
    <xf numFmtId="179" fontId="0" fillId="0" borderId="0" xfId="0" applyNumberFormat="1" applyFont="1"/>
    <xf numFmtId="0" fontId="7" fillId="0" borderId="3" xfId="0" applyFont="1" applyBorder="1" applyAlignment="1">
      <alignment horizontal="center" vertical="center" wrapText="1"/>
    </xf>
    <xf numFmtId="0" fontId="8" fillId="0" borderId="0" xfId="0" applyFont="1"/>
    <xf numFmtId="0" fontId="11" fillId="7" borderId="0" xfId="0" applyFont="1" applyFill="1" applyAlignment="1">
      <alignment horizontal="center" vertical="center" wrapText="1"/>
    </xf>
    <xf numFmtId="0" fontId="11" fillId="0" borderId="0" xfId="0" applyFont="1" applyAlignment="1">
      <alignment horizontal="center" vertical="center" wrapText="1"/>
    </xf>
    <xf numFmtId="0" fontId="12" fillId="0" borderId="2" xfId="0" applyFont="1" applyBorder="1" applyAlignment="1">
      <alignment horizontal="center" vertical="center" wrapText="1"/>
    </xf>
    <xf numFmtId="0" fontId="11" fillId="0" borderId="0" xfId="0" applyFont="1" applyAlignment="1">
      <alignment horizontal="center"/>
    </xf>
    <xf numFmtId="0" fontId="13" fillId="8" borderId="2" xfId="0" applyFont="1" applyFill="1" applyBorder="1" applyAlignment="1">
      <alignment horizontal="center" vertical="center" wrapText="1"/>
    </xf>
    <xf numFmtId="0" fontId="14" fillId="0" borderId="0" xfId="0" applyFont="1" applyAlignment="1">
      <alignment horizontal="center"/>
    </xf>
    <xf numFmtId="0" fontId="12" fillId="0" borderId="0" xfId="0" applyFont="1" applyAlignment="1">
      <alignment horizontal="left" vertical="center"/>
    </xf>
    <xf numFmtId="0" fontId="12" fillId="0" borderId="0" xfId="0" applyFont="1" applyAlignment="1">
      <alignment horizontal="left" vertical="center" wrapText="1"/>
    </xf>
    <xf numFmtId="0" fontId="15" fillId="0" borderId="0" xfId="0" applyFont="1" applyAlignment="1">
      <alignment horizontal="left" wrapText="1"/>
    </xf>
    <xf numFmtId="0" fontId="7" fillId="0" borderId="0" xfId="0" applyFont="1"/>
    <xf numFmtId="0" fontId="4" fillId="8" borderId="1" xfId="7"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8" fillId="0" borderId="3" xfId="0" applyFont="1" applyBorder="1" applyAlignment="1">
      <alignment horizontal="center" vertical="center" wrapText="1"/>
    </xf>
    <xf numFmtId="0" fontId="7" fillId="7" borderId="0" xfId="0" applyFont="1" applyFill="1" applyAlignment="1">
      <alignment horizontal="center" vertical="center" wrapText="1"/>
    </xf>
    <xf numFmtId="0" fontId="16" fillId="0" borderId="0" xfId="0" applyFont="1"/>
    <xf numFmtId="0" fontId="9" fillId="0" borderId="0" xfId="0" applyFont="1"/>
    <xf numFmtId="178" fontId="0" fillId="0" borderId="0" xfId="0" applyNumberFormat="1" applyAlignment="1">
      <alignment horizontal="center"/>
    </xf>
    <xf numFmtId="3" fontId="0" fillId="0" borderId="0" xfId="0" applyNumberFormat="1" applyAlignment="1">
      <alignment horizontal="center"/>
    </xf>
    <xf numFmtId="4" fontId="0" fillId="0" borderId="0" xfId="0" applyNumberFormat="1" applyAlignment="1">
      <alignment horizontal="center"/>
    </xf>
    <xf numFmtId="177" fontId="0" fillId="0" borderId="0" xfId="0" applyNumberFormat="1" applyAlignment="1">
      <alignment horizontal="center"/>
    </xf>
    <xf numFmtId="2" fontId="0" fillId="0" borderId="0" xfId="0" applyNumberFormat="1" applyAlignment="1">
      <alignment horizontal="center"/>
    </xf>
    <xf numFmtId="58" fontId="0" fillId="0" borderId="0" xfId="0" applyNumberFormat="1" applyAlignment="1">
      <alignment horizontal="center"/>
    </xf>
    <xf numFmtId="0" fontId="16" fillId="0" borderId="0" xfId="0" applyFont="1" applyAlignment="1">
      <alignment vertical="center" wrapText="1"/>
    </xf>
    <xf numFmtId="0" fontId="16" fillId="0" borderId="0" xfId="0" applyFont="1" applyAlignment="1">
      <alignment wrapText="1"/>
    </xf>
    <xf numFmtId="0" fontId="15" fillId="0" borderId="0" xfId="0" applyFont="1"/>
    <xf numFmtId="0" fontId="15" fillId="0" borderId="0" xfId="0" applyFont="1" applyAlignment="1">
      <alignment vertical="center" wrapText="1"/>
    </xf>
    <xf numFmtId="0" fontId="15" fillId="0" borderId="0" xfId="0" applyFont="1" applyAlignment="1">
      <alignment wrapText="1"/>
    </xf>
    <xf numFmtId="182" fontId="8" fillId="0" borderId="0" xfId="0" applyNumberFormat="1" applyFont="1" applyAlignment="1">
      <alignment horizontal="center"/>
    </xf>
    <xf numFmtId="0" fontId="4" fillId="9" borderId="1" xfId="7" applyFont="1" applyFill="1" applyBorder="1" applyAlignment="1">
      <alignment horizontal="center" vertical="center" wrapText="1"/>
    </xf>
    <xf numFmtId="0" fontId="5" fillId="9" borderId="1" xfId="7" applyFont="1" applyFill="1" applyBorder="1" applyAlignment="1">
      <alignment horizontal="center" vertical="center" wrapText="1"/>
    </xf>
    <xf numFmtId="176" fontId="0" fillId="0" borderId="0" xfId="0" applyNumberFormat="1"/>
    <xf numFmtId="0" fontId="7" fillId="0" borderId="0" xfId="0" applyFont="1" applyAlignment="1">
      <alignment horizontal="center" vertical="center"/>
    </xf>
    <xf numFmtId="0" fontId="17" fillId="7" borderId="0" xfId="0" applyFont="1" applyFill="1" applyAlignment="1">
      <alignment horizontal="center" vertical="center" wrapText="1"/>
    </xf>
    <xf numFmtId="0" fontId="17" fillId="7" borderId="2" xfId="0" applyFont="1" applyFill="1" applyBorder="1" applyAlignment="1">
      <alignment horizontal="center" vertical="center" wrapText="1"/>
    </xf>
    <xf numFmtId="0" fontId="17" fillId="0" borderId="0" xfId="0" applyFont="1" applyAlignment="1">
      <alignment horizontal="center" vertical="center" wrapText="1"/>
    </xf>
    <xf numFmtId="0" fontId="17" fillId="0" borderId="2" xfId="0" applyFont="1" applyBorder="1" applyAlignment="1">
      <alignment horizontal="center" vertical="center" wrapText="1"/>
    </xf>
    <xf numFmtId="0" fontId="9" fillId="0" borderId="0" xfId="7" applyFont="1" applyAlignment="1">
      <alignment vertical="center" wrapText="1"/>
    </xf>
    <xf numFmtId="0" fontId="17" fillId="0" borderId="0" xfId="0" applyFont="1" applyAlignment="1">
      <alignment horizont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17" fillId="0" borderId="0" xfId="0" applyFont="1" applyAlignment="1">
      <alignment vertical="center" wrapText="1"/>
    </xf>
    <xf numFmtId="0" fontId="17" fillId="0" borderId="0" xfId="0" applyFont="1"/>
    <xf numFmtId="0" fontId="19" fillId="0" borderId="0" xfId="0" applyFont="1" applyAlignment="1">
      <alignment horizontal="center" vertical="center" wrapText="1"/>
    </xf>
    <xf numFmtId="0" fontId="2" fillId="0" borderId="0" xfId="0" applyFont="1" applyAlignment="1">
      <alignment horizontal="center" vertical="center" wrapText="1"/>
    </xf>
    <xf numFmtId="0" fontId="8" fillId="0" borderId="2" xfId="7" applyFont="1" applyBorder="1" applyAlignment="1">
      <alignment horizontal="center" vertical="center" wrapText="1"/>
    </xf>
    <xf numFmtId="177" fontId="2" fillId="0" borderId="0" xfId="0" applyNumberFormat="1"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left" vertical="center" wrapText="1"/>
    </xf>
    <xf numFmtId="0" fontId="8" fillId="0" borderId="0" xfId="0" applyFont="1" applyAlignment="1">
      <alignment horizontal="center" vertical="center"/>
    </xf>
    <xf numFmtId="0" fontId="20" fillId="0" borderId="0" xfId="0" applyFont="1" applyAlignment="1">
      <alignment horizontal="center" vertical="center"/>
    </xf>
    <xf numFmtId="0" fontId="16" fillId="0" borderId="0" xfId="0" applyFont="1" applyAlignment="1">
      <alignment vertical="center"/>
    </xf>
    <xf numFmtId="0" fontId="10" fillId="0" borderId="0" xfId="0" applyFont="1" applyAlignment="1">
      <alignment horizontal="left"/>
    </xf>
    <xf numFmtId="182" fontId="0" fillId="0" borderId="0" xfId="0" applyNumberFormat="1" applyAlignment="1">
      <alignment horizontal="left"/>
    </xf>
    <xf numFmtId="0" fontId="10" fillId="0" borderId="0" xfId="0" applyFont="1" applyAlignment="1">
      <alignment horizontal="center"/>
    </xf>
    <xf numFmtId="0" fontId="16" fillId="0" borderId="0" xfId="7" applyFont="1" applyAlignment="1">
      <alignment horizontal="left" vertical="center" wrapText="1"/>
    </xf>
    <xf numFmtId="0" fontId="16" fillId="0" borderId="0" xfId="0" applyFont="1" applyAlignment="1">
      <alignment horizontal="left"/>
    </xf>
    <xf numFmtId="0" fontId="18" fillId="0" borderId="0" xfId="0" applyFont="1" applyAlignment="1">
      <alignment horizontal="left"/>
    </xf>
    <xf numFmtId="182" fontId="0" fillId="0" borderId="0" xfId="0" applyNumberFormat="1" applyAlignment="1">
      <alignment horizontal="center"/>
    </xf>
    <xf numFmtId="0" fontId="2" fillId="0" borderId="3" xfId="0" applyFont="1" applyBorder="1" applyAlignment="1">
      <alignment horizontal="center" vertical="center" wrapText="1"/>
    </xf>
    <xf numFmtId="0" fontId="19" fillId="0" borderId="0" xfId="0" applyFont="1"/>
    <xf numFmtId="0" fontId="2" fillId="0" borderId="2" xfId="0" applyFont="1" applyBorder="1" applyAlignment="1">
      <alignment horizontal="center" vertical="center" wrapText="1"/>
    </xf>
    <xf numFmtId="0" fontId="2" fillId="0" borderId="2" xfId="7" applyFont="1" applyBorder="1" applyAlignment="1">
      <alignment horizontal="center" vertical="center" wrapText="1"/>
    </xf>
    <xf numFmtId="0" fontId="16" fillId="0" borderId="0" xfId="0" applyFont="1" applyAlignment="1">
      <alignment horizontal="center" vertical="center"/>
    </xf>
    <xf numFmtId="182" fontId="4" fillId="2" borderId="1" xfId="7" applyNumberFormat="1" applyFont="1" applyFill="1" applyBorder="1" applyAlignment="1">
      <alignment horizontal="center" vertical="center" wrapText="1"/>
    </xf>
    <xf numFmtId="182" fontId="5" fillId="2" borderId="1" xfId="7" applyNumberFormat="1" applyFont="1" applyFill="1" applyBorder="1" applyAlignment="1">
      <alignment horizontal="center" vertical="center" wrapText="1"/>
    </xf>
    <xf numFmtId="182" fontId="6" fillId="3" borderId="1" xfId="7" applyNumberFormat="1" applyFont="1" applyFill="1" applyBorder="1" applyAlignment="1">
      <alignment horizontal="center" vertical="center" wrapText="1"/>
    </xf>
    <xf numFmtId="0" fontId="8" fillId="0" borderId="0" xfId="0" applyFont="1" applyAlignment="1">
      <alignment horizontal="left"/>
    </xf>
    <xf numFmtId="0" fontId="21" fillId="0" borderId="0" xfId="7" applyFont="1" applyAlignment="1">
      <alignment horizontal="left" vertical="center" wrapText="1"/>
    </xf>
    <xf numFmtId="0" fontId="22" fillId="0" borderId="0" xfId="0" applyFont="1" applyAlignment="1">
      <alignment horizontal="left" vertical="center" wrapText="1"/>
    </xf>
    <xf numFmtId="0" fontId="21" fillId="0" borderId="0" xfId="0" applyFont="1" applyAlignment="1">
      <alignment horizontal="center"/>
    </xf>
    <xf numFmtId="0" fontId="0" fillId="0" borderId="0" xfId="0" applyAlignment="1">
      <alignment horizontal="center" vertical="center"/>
    </xf>
    <xf numFmtId="0" fontId="0" fillId="0" borderId="0" xfId="0" applyAlignment="1">
      <alignment vertical="center"/>
    </xf>
    <xf numFmtId="0" fontId="8" fillId="0" borderId="0" xfId="0" applyFont="1" applyAlignment="1">
      <alignment vertical="center"/>
    </xf>
    <xf numFmtId="0" fontId="2" fillId="0" borderId="0" xfId="0" applyFont="1" applyAlignment="1">
      <alignment horizontal="center" vertical="center"/>
    </xf>
    <xf numFmtId="0" fontId="8" fillId="7" borderId="0" xfId="0" applyFont="1" applyFill="1" applyAlignment="1">
      <alignment horizontal="center" vertical="center" wrapText="1"/>
    </xf>
    <xf numFmtId="0" fontId="16" fillId="0" borderId="0" xfId="0" applyFont="1" applyAlignment="1">
      <alignment horizontal="left" wrapText="1"/>
    </xf>
    <xf numFmtId="0" fontId="16" fillId="7" borderId="0" xfId="0" applyFont="1" applyFill="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left"/>
    </xf>
    <xf numFmtId="0" fontId="23" fillId="0" borderId="0" xfId="0" applyFont="1"/>
    <xf numFmtId="0" fontId="23" fillId="0" borderId="0" xfId="0" applyFont="1" applyAlignment="1">
      <alignment horizontal="left"/>
    </xf>
    <xf numFmtId="1" fontId="0" fillId="0" borderId="0" xfId="0" applyNumberFormat="1" applyAlignment="1">
      <alignment horizontal="center"/>
    </xf>
    <xf numFmtId="0" fontId="23" fillId="0" borderId="0" xfId="0" applyFont="1" applyAlignment="1">
      <alignment horizontal="center" vertical="center" wrapText="1"/>
    </xf>
    <xf numFmtId="0" fontId="23" fillId="0" borderId="0" xfId="0" applyFont="1" applyAlignment="1">
      <alignment horizontal="left" vertical="center" wrapText="1"/>
    </xf>
    <xf numFmtId="0" fontId="15" fillId="0" borderId="0" xfId="0" applyFont="1" applyAlignment="1">
      <alignment vertical="center"/>
    </xf>
    <xf numFmtId="0" fontId="23" fillId="0" borderId="0" xfId="0" applyFont="1" applyAlignment="1">
      <alignment horizontal="center"/>
    </xf>
    <xf numFmtId="0" fontId="7" fillId="0" borderId="0" xfId="0" applyFont="1" applyAlignment="1">
      <alignment horizontal="left" vertical="center" wrapText="1"/>
    </xf>
    <xf numFmtId="0" fontId="24" fillId="0" borderId="0" xfId="0" applyFont="1" applyAlignment="1">
      <alignment horizontal="center" vertical="center" wrapText="1"/>
    </xf>
    <xf numFmtId="0" fontId="8" fillId="7" borderId="2" xfId="0" applyFont="1" applyFill="1" applyBorder="1" applyAlignment="1">
      <alignment horizontal="center" vertical="center" wrapText="1"/>
    </xf>
    <xf numFmtId="0" fontId="8" fillId="7" borderId="0" xfId="0" applyFont="1" applyFill="1" applyAlignment="1">
      <alignment horizontal="center"/>
    </xf>
    <xf numFmtId="0" fontId="16" fillId="7" borderId="0" xfId="0" applyFont="1" applyFill="1" applyAlignment="1">
      <alignment vertical="center" wrapText="1"/>
    </xf>
    <xf numFmtId="0" fontId="16" fillId="7" borderId="0" xfId="0" applyFont="1" applyFill="1" applyAlignment="1">
      <alignment vertical="center"/>
    </xf>
    <xf numFmtId="0" fontId="15" fillId="0" borderId="0" xfId="0" applyFont="1" applyAlignment="1">
      <alignment horizontal="left"/>
    </xf>
    <xf numFmtId="0" fontId="15" fillId="0" borderId="0" xfId="0" applyFont="1" applyAlignment="1">
      <alignment horizontal="left" vertical="center" wrapText="1"/>
    </xf>
    <xf numFmtId="0" fontId="9" fillId="0" borderId="0" xfId="7" applyFont="1" applyAlignment="1">
      <alignment horizontal="left" vertical="center" wrapText="1"/>
    </xf>
    <xf numFmtId="0" fontId="9" fillId="0" borderId="0" xfId="0" applyFont="1" applyAlignment="1">
      <alignment horizontal="center"/>
    </xf>
    <xf numFmtId="0" fontId="0" fillId="0" borderId="0" xfId="0" applyFont="1" applyAlignment="1">
      <alignment horizontal="center" vertical="center" wrapText="1"/>
    </xf>
    <xf numFmtId="0" fontId="4" fillId="10" borderId="1" xfId="7" applyFont="1" applyFill="1" applyBorder="1" applyAlignment="1">
      <alignment horizontal="center" vertical="center" wrapText="1"/>
    </xf>
    <xf numFmtId="0" fontId="5" fillId="10" borderId="1" xfId="7" applyFont="1" applyFill="1" applyBorder="1" applyAlignment="1">
      <alignment horizontal="center" vertical="center" wrapText="1"/>
    </xf>
    <xf numFmtId="1" fontId="0" fillId="0" borderId="0" xfId="0" applyNumberFormat="1"/>
    <xf numFmtId="0" fontId="8" fillId="0" borderId="3" xfId="7" applyFont="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8" fillId="0" borderId="2" xfId="7" applyFont="1" applyBorder="1" applyAlignment="1">
      <alignment horizontal="right" vertical="center" wrapText="1"/>
    </xf>
    <xf numFmtId="0" fontId="0" fillId="0" borderId="0" xfId="0" applyFont="1" applyAlignment="1">
      <alignment horizontal="left" vertical="center" wrapText="1"/>
    </xf>
    <xf numFmtId="0" fontId="2" fillId="0" borderId="0" xfId="0" applyFont="1" applyAlignment="1">
      <alignment horizontal="right" vertical="center"/>
    </xf>
    <xf numFmtId="0" fontId="8" fillId="0" borderId="0" xfId="0" applyFont="1" applyAlignment="1">
      <alignment horizontal="right" vertical="center"/>
    </xf>
    <xf numFmtId="0" fontId="25" fillId="0" borderId="0" xfId="0" applyFont="1" applyAlignment="1">
      <alignment horizontal="center"/>
    </xf>
    <xf numFmtId="0" fontId="7" fillId="0" borderId="0" xfId="0" applyFont="1" applyAlignment="1">
      <alignment horizontal="center"/>
    </xf>
    <xf numFmtId="0" fontId="26" fillId="0" borderId="0" xfId="0" applyFont="1"/>
    <xf numFmtId="0" fontId="0" fillId="0" borderId="0" xfId="21"/>
    <xf numFmtId="178" fontId="0" fillId="0" borderId="0" xfId="0" applyNumberFormat="1" applyFont="1" applyAlignment="1">
      <alignment horizontal="center"/>
    </xf>
    <xf numFmtId="0" fontId="27" fillId="2" borderId="1" xfId="7" applyFont="1" applyFill="1" applyBorder="1" applyAlignment="1">
      <alignment horizontal="center" vertical="center" wrapText="1"/>
    </xf>
    <xf numFmtId="0" fontId="28" fillId="3" borderId="1" xfId="7" applyFont="1" applyFill="1" applyBorder="1" applyAlignment="1">
      <alignment horizontal="center" vertical="center" wrapText="1"/>
    </xf>
    <xf numFmtId="58" fontId="0" fillId="0" borderId="0" xfId="0" applyNumberFormat="1" applyFont="1" applyAlignment="1">
      <alignment horizontal="center"/>
    </xf>
    <xf numFmtId="0" fontId="26" fillId="0" borderId="0" xfId="0" applyFont="1" applyAlignment="1">
      <alignment horizontal="center" vertical="center" wrapText="1"/>
    </xf>
    <xf numFmtId="0" fontId="16" fillId="9" borderId="0" xfId="0" applyFont="1" applyFill="1" applyAlignment="1">
      <alignment horizontal="left"/>
    </xf>
    <xf numFmtId="0" fontId="15" fillId="0" borderId="0" xfId="0" applyFont="1" applyAlignment="1">
      <alignment horizontal="left" vertical="center"/>
    </xf>
    <xf numFmtId="0" fontId="0" fillId="0" borderId="0" xfId="18"/>
    <xf numFmtId="0" fontId="1" fillId="4" borderId="1" xfId="18" applyFont="1" applyFill="1" applyBorder="1" applyAlignment="1">
      <alignment horizontal="center" vertical="center" wrapText="1"/>
    </xf>
    <xf numFmtId="0" fontId="0" fillId="4" borderId="1" xfId="18" applyFill="1" applyBorder="1" applyAlignment="1">
      <alignment horizontal="center" vertical="center" wrapText="1"/>
    </xf>
    <xf numFmtId="0" fontId="29" fillId="3" borderId="1" xfId="18" applyFont="1" applyFill="1" applyBorder="1" applyAlignment="1">
      <alignment horizontal="center" vertical="center" wrapText="1"/>
    </xf>
    <xf numFmtId="0" fontId="29" fillId="3" borderId="1" xfId="18" applyFont="1" applyFill="1" applyBorder="1" applyAlignment="1">
      <alignment horizontal="center"/>
    </xf>
    <xf numFmtId="0" fontId="0" fillId="3" borderId="1" xfId="18" applyFill="1" applyBorder="1" applyAlignment="1">
      <alignment horizontal="center" vertical="center" wrapText="1"/>
    </xf>
    <xf numFmtId="0" fontId="8" fillId="0" borderId="0" xfId="7" applyFont="1" applyAlignment="1">
      <alignment horizontal="center" vertical="center" wrapText="1"/>
    </xf>
    <xf numFmtId="0" fontId="3" fillId="0" borderId="0" xfId="7" applyFont="1" applyAlignment="1">
      <alignment horizontal="center" vertical="center" wrapText="1"/>
    </xf>
    <xf numFmtId="0" fontId="10" fillId="0" borderId="0" xfId="0" applyFont="1"/>
    <xf numFmtId="0" fontId="9" fillId="0" borderId="4" xfId="0" applyFont="1" applyBorder="1" applyAlignment="1">
      <alignment horizontal="left" wrapText="1"/>
    </xf>
    <xf numFmtId="0" fontId="9" fillId="0" borderId="4" xfId="0" applyFont="1" applyBorder="1" applyAlignment="1">
      <alignment horizontal="left" vertical="center" wrapText="1"/>
    </xf>
    <xf numFmtId="0" fontId="9" fillId="0" borderId="0" xfId="0" applyFont="1" applyAlignment="1">
      <alignment horizontal="left" vertical="center"/>
    </xf>
    <xf numFmtId="0" fontId="5" fillId="4" borderId="1" xfId="7" applyFont="1" applyFill="1" applyBorder="1" applyAlignment="1">
      <alignment horizontal="center" vertical="center" wrapText="1"/>
    </xf>
    <xf numFmtId="0" fontId="10" fillId="0" borderId="0" xfId="0" applyFont="1" applyAlignment="1">
      <alignment horizontal="center" vertical="center" wrapText="1"/>
    </xf>
    <xf numFmtId="0" fontId="30" fillId="0" borderId="0" xfId="0" applyFont="1" applyAlignment="1">
      <alignment horizontal="center" vertical="center" wrapText="1"/>
    </xf>
    <xf numFmtId="0" fontId="13" fillId="0" borderId="2" xfId="0" applyFont="1" applyBorder="1" applyAlignment="1">
      <alignment horizontal="center" vertical="center" wrapText="1"/>
    </xf>
    <xf numFmtId="0" fontId="10" fillId="0" borderId="0" xfId="0" applyFont="1" applyAlignment="1">
      <alignment horizontal="center" wrapText="1"/>
    </xf>
    <xf numFmtId="0" fontId="31" fillId="0" borderId="4" xfId="8" applyFont="1" applyBorder="1" applyAlignment="1">
      <alignment wrapText="1"/>
    </xf>
    <xf numFmtId="0" fontId="0" fillId="11" borderId="0" xfId="0" applyFill="1" applyAlignment="1">
      <alignment horizontal="center"/>
    </xf>
    <xf numFmtId="0" fontId="0" fillId="0" borderId="0" xfId="5" applyNumberFormat="1" applyBorder="1" applyAlignment="1" applyProtection="1">
      <alignment horizontal="center"/>
    </xf>
    <xf numFmtId="0" fontId="16" fillId="11" borderId="0" xfId="0" applyFont="1" applyFill="1" applyAlignment="1">
      <alignment vertical="center"/>
    </xf>
    <xf numFmtId="0" fontId="32" fillId="0" borderId="0" xfId="0" applyFont="1" applyAlignment="1">
      <alignment horizontal="center" vertical="center" wrapText="1"/>
    </xf>
    <xf numFmtId="0" fontId="33" fillId="0" borderId="0" xfId="0" applyFont="1" applyAlignment="1">
      <alignment horizontal="center" vertical="center" wrapText="1"/>
    </xf>
    <xf numFmtId="0" fontId="0" fillId="0" borderId="0" xfId="0" applyFont="1" applyAlignment="1">
      <alignment wrapText="1"/>
    </xf>
    <xf numFmtId="0" fontId="34" fillId="0" borderId="0" xfId="0" applyFont="1" applyAlignment="1">
      <alignment horizontal="center" vertical="center" wrapText="1"/>
    </xf>
    <xf numFmtId="0" fontId="19" fillId="0" borderId="0" xfId="0" applyFont="1" applyAlignment="1">
      <alignment horizontal="center"/>
    </xf>
    <xf numFmtId="0" fontId="12" fillId="0" borderId="0" xfId="0" applyFont="1" applyAlignment="1">
      <alignment horizontal="center" vertical="center" wrapText="1"/>
    </xf>
    <xf numFmtId="0" fontId="1" fillId="0" borderId="0" xfId="0" applyFont="1" applyAlignment="1">
      <alignment horizontal="center"/>
    </xf>
    <xf numFmtId="9" fontId="0" fillId="0" borderId="0" xfId="5" applyBorder="1" applyAlignment="1" applyProtection="1">
      <alignment horizontal="center"/>
    </xf>
    <xf numFmtId="9" fontId="0" fillId="0" borderId="0" xfId="0" applyNumberFormat="1" applyAlignment="1">
      <alignment horizontal="center"/>
    </xf>
    <xf numFmtId="0" fontId="0" fillId="4" borderId="5" xfId="0" applyFill="1" applyBorder="1" applyAlignment="1">
      <alignment horizontal="center" vertical="center" wrapText="1"/>
    </xf>
    <xf numFmtId="49" fontId="35" fillId="12" borderId="1" xfId="0" applyNumberFormat="1" applyFont="1" applyFill="1" applyBorder="1" applyAlignment="1">
      <alignment horizontal="center" vertical="center"/>
    </xf>
    <xf numFmtId="49" fontId="36" fillId="0" borderId="6" xfId="62" applyNumberFormat="1" applyFont="1" applyBorder="1" applyAlignment="1" applyProtection="1">
      <alignment horizontal="center" wrapText="1"/>
    </xf>
    <xf numFmtId="49" fontId="36" fillId="2" borderId="7" xfId="0" applyNumberFormat="1" applyFont="1" applyFill="1" applyBorder="1" applyAlignment="1">
      <alignment horizontal="right" wrapText="1"/>
    </xf>
    <xf numFmtId="49" fontId="36" fillId="0" borderId="8" xfId="62" applyNumberFormat="1" applyFont="1" applyBorder="1" applyAlignment="1" applyProtection="1">
      <alignment horizontal="center" wrapText="1"/>
    </xf>
    <xf numFmtId="49" fontId="36" fillId="2" borderId="9" xfId="0" applyNumberFormat="1" applyFont="1" applyFill="1" applyBorder="1" applyAlignment="1">
      <alignment horizontal="right" wrapText="1"/>
    </xf>
    <xf numFmtId="22" fontId="36" fillId="2" borderId="9" xfId="0" applyNumberFormat="1" applyFont="1" applyFill="1" applyBorder="1" applyAlignment="1">
      <alignment horizontal="right" wrapText="1"/>
    </xf>
    <xf numFmtId="49" fontId="36" fillId="0" borderId="10" xfId="62" applyNumberFormat="1" applyFont="1" applyBorder="1" applyAlignment="1" applyProtection="1">
      <alignment horizontal="center" wrapText="1"/>
    </xf>
    <xf numFmtId="22" fontId="36" fillId="2" borderId="11" xfId="0" applyNumberFormat="1" applyFont="1" applyFill="1" applyBorder="1" applyAlignment="1">
      <alignment horizontal="right" wrapText="1"/>
    </xf>
    <xf numFmtId="0" fontId="37" fillId="0" borderId="0" xfId="0" applyFont="1"/>
    <xf numFmtId="0" fontId="27" fillId="0" borderId="0" xfId="0" applyFont="1" applyAlignment="1">
      <alignment vertical="center"/>
    </xf>
    <xf numFmtId="0" fontId="38" fillId="0" borderId="0" xfId="0" applyFont="1" applyAlignment="1">
      <alignment horizontal="center" vertical="center"/>
    </xf>
    <xf numFmtId="0" fontId="32" fillId="0" borderId="0" xfId="0" applyFont="1" applyAlignment="1">
      <alignment vertical="center"/>
    </xf>
    <xf numFmtId="0" fontId="39" fillId="3" borderId="12" xfId="0" applyFont="1" applyFill="1" applyBorder="1" applyAlignment="1">
      <alignment horizontal="center" vertical="center"/>
    </xf>
    <xf numFmtId="0" fontId="28" fillId="3" borderId="13" xfId="0" applyFont="1" applyFill="1" applyBorder="1" applyAlignment="1">
      <alignment horizontal="center" vertical="center"/>
    </xf>
    <xf numFmtId="0" fontId="28" fillId="3" borderId="12" xfId="0" applyFont="1" applyFill="1" applyBorder="1" applyAlignment="1">
      <alignment horizontal="center" vertical="center" wrapText="1"/>
    </xf>
    <xf numFmtId="0" fontId="28" fillId="3" borderId="14" xfId="0" applyFont="1" applyFill="1" applyBorder="1" applyAlignment="1">
      <alignment horizontal="center" vertical="center"/>
    </xf>
    <xf numFmtId="0" fontId="39" fillId="11" borderId="12" xfId="0" applyFont="1" applyFill="1" applyBorder="1" applyAlignment="1">
      <alignment horizontal="center" vertical="center"/>
    </xf>
    <xf numFmtId="0" fontId="27" fillId="11" borderId="15" xfId="0" applyFont="1" applyFill="1" applyBorder="1" applyAlignment="1">
      <alignment horizontal="center" vertical="center"/>
    </xf>
    <xf numFmtId="0" fontId="27" fillId="11" borderId="15"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6" fillId="11" borderId="15" xfId="0" applyFont="1" applyFill="1" applyBorder="1" applyAlignment="1">
      <alignment horizontal="left" vertical="center" wrapText="1"/>
    </xf>
    <xf numFmtId="0" fontId="32" fillId="11" borderId="15" xfId="0" applyFont="1" applyFill="1" applyBorder="1" applyAlignment="1">
      <alignment vertical="center"/>
    </xf>
    <xf numFmtId="0" fontId="4" fillId="11" borderId="15" xfId="0" applyFont="1" applyFill="1" applyBorder="1" applyAlignment="1">
      <alignment horizontal="left" vertical="center" wrapText="1"/>
    </xf>
    <xf numFmtId="0" fontId="4" fillId="0" borderId="15" xfId="0" applyFont="1" applyBorder="1" applyAlignment="1">
      <alignment horizontal="left" vertical="center" wrapText="1"/>
    </xf>
    <xf numFmtId="0" fontId="28" fillId="2" borderId="15" xfId="0" applyFont="1" applyFill="1" applyBorder="1" applyAlignment="1">
      <alignment horizontal="left" vertical="center" wrapText="1"/>
    </xf>
    <xf numFmtId="0" fontId="32" fillId="11" borderId="14" xfId="0" applyFont="1" applyFill="1" applyBorder="1" applyAlignment="1">
      <alignment vertical="center"/>
    </xf>
    <xf numFmtId="0" fontId="28" fillId="2" borderId="14" xfId="0" applyFont="1" applyFill="1" applyBorder="1" applyAlignment="1">
      <alignment horizontal="left" vertical="center" wrapText="1"/>
    </xf>
    <xf numFmtId="0" fontId="28" fillId="11" borderId="15" xfId="0" applyFont="1" applyFill="1" applyBorder="1" applyAlignment="1">
      <alignment horizontal="left" vertical="center" wrapText="1"/>
    </xf>
    <xf numFmtId="0" fontId="27" fillId="11" borderId="14" xfId="0" applyFont="1" applyFill="1" applyBorder="1" applyAlignment="1">
      <alignment horizontal="center" vertical="center"/>
    </xf>
    <xf numFmtId="0" fontId="32" fillId="11" borderId="14" xfId="0" applyFont="1" applyFill="1" applyBorder="1" applyAlignment="1">
      <alignment vertical="center" wrapText="1"/>
    </xf>
    <xf numFmtId="0" fontId="38" fillId="11" borderId="12" xfId="0" applyFont="1" applyFill="1" applyBorder="1" applyAlignment="1">
      <alignment horizontal="center" vertical="center"/>
    </xf>
    <xf numFmtId="0" fontId="27" fillId="11" borderId="12" xfId="0" applyFont="1" applyFill="1" applyBorder="1" applyAlignment="1">
      <alignment horizontal="left" vertical="center" wrapText="1"/>
    </xf>
    <xf numFmtId="0" fontId="38" fillId="4" borderId="12" xfId="0" applyFont="1" applyFill="1" applyBorder="1" applyAlignment="1">
      <alignment horizontal="center" vertical="center"/>
    </xf>
    <xf numFmtId="0" fontId="27" fillId="4" borderId="12" xfId="0" applyFont="1" applyFill="1" applyBorder="1" applyAlignment="1">
      <alignment horizontal="center" vertical="center" wrapText="1"/>
    </xf>
    <xf numFmtId="0" fontId="27" fillId="4" borderId="12" xfId="0" applyFont="1" applyFill="1" applyBorder="1" applyAlignment="1">
      <alignment horizontal="left" vertical="center" wrapText="1"/>
    </xf>
    <xf numFmtId="0" fontId="38" fillId="4" borderId="16" xfId="0" applyFont="1" applyFill="1" applyBorder="1" applyAlignment="1">
      <alignment horizontal="center" vertical="center"/>
    </xf>
    <xf numFmtId="0" fontId="27" fillId="11" borderId="14" xfId="0" applyFont="1" applyFill="1" applyBorder="1" applyAlignment="1">
      <alignment horizontal="left" vertical="center" wrapText="1"/>
    </xf>
    <xf numFmtId="0" fontId="27" fillId="11" borderId="17" xfId="0" applyFont="1" applyFill="1" applyBorder="1" applyAlignment="1">
      <alignment horizontal="left" vertical="center" wrapText="1"/>
    </xf>
    <xf numFmtId="0" fontId="27" fillId="11" borderId="16" xfId="0" applyFont="1" applyFill="1" applyBorder="1" applyAlignment="1">
      <alignment horizontal="left" vertical="center" wrapText="1"/>
    </xf>
    <xf numFmtId="0" fontId="27" fillId="11" borderId="18" xfId="0" applyFont="1" applyFill="1" applyBorder="1" applyAlignment="1">
      <alignment horizontal="left" vertical="center" wrapText="1"/>
    </xf>
    <xf numFmtId="0" fontId="28" fillId="11" borderId="14" xfId="0" applyFont="1" applyFill="1" applyBorder="1" applyAlignment="1">
      <alignment horizontal="left" vertical="center" wrapText="1"/>
    </xf>
    <xf numFmtId="0" fontId="27" fillId="11" borderId="13" xfId="0" applyFont="1" applyFill="1" applyBorder="1" applyAlignment="1">
      <alignment horizontal="center" vertical="center"/>
    </xf>
    <xf numFmtId="0" fontId="38" fillId="3" borderId="1" xfId="0" applyFont="1" applyFill="1" applyBorder="1" applyAlignment="1">
      <alignment vertical="center"/>
    </xf>
    <xf numFmtId="0" fontId="40" fillId="3" borderId="19" xfId="44" applyFont="1" applyFill="1" applyBorder="1" applyAlignment="1">
      <alignment horizontal="center"/>
    </xf>
    <xf numFmtId="0" fontId="4" fillId="3" borderId="19" xfId="44" applyFont="1" applyFill="1" applyBorder="1" applyAlignment="1">
      <alignment horizontal="center"/>
    </xf>
    <xf numFmtId="0" fontId="27" fillId="0" borderId="0" xfId="21" applyFont="1"/>
    <xf numFmtId="0" fontId="40" fillId="0" borderId="4" xfId="44" applyFont="1" applyBorder="1" applyAlignment="1">
      <alignment horizontal="center" wrapText="1"/>
    </xf>
    <xf numFmtId="0" fontId="4" fillId="0" borderId="4" xfId="44" applyFont="1" applyBorder="1" applyAlignment="1">
      <alignment wrapText="1"/>
    </xf>
    <xf numFmtId="0" fontId="40" fillId="13" borderId="4" xfId="44" applyFont="1" applyFill="1" applyBorder="1" applyAlignment="1">
      <alignment horizontal="center" wrapText="1"/>
    </xf>
    <xf numFmtId="0" fontId="4" fillId="13" borderId="4" xfId="44" applyFont="1" applyFill="1" applyBorder="1" applyAlignment="1">
      <alignment wrapText="1"/>
    </xf>
    <xf numFmtId="0" fontId="40" fillId="3" borderId="1" xfId="44" applyFont="1" applyFill="1" applyBorder="1" applyAlignment="1">
      <alignment horizontal="center"/>
    </xf>
    <xf numFmtId="0" fontId="4" fillId="3" borderId="1" xfId="44" applyFont="1" applyFill="1" applyBorder="1" applyAlignment="1">
      <alignment horizontal="center"/>
    </xf>
    <xf numFmtId="0" fontId="4" fillId="0" borderId="0" xfId="44" applyFont="1" applyAlignment="1">
      <alignment wrapText="1"/>
    </xf>
    <xf numFmtId="0" fontId="38" fillId="0" borderId="0" xfId="21" applyFont="1" applyAlignment="1">
      <alignment horizontal="center"/>
    </xf>
    <xf numFmtId="0" fontId="40" fillId="0" borderId="0" xfId="44" applyFont="1" applyAlignment="1">
      <alignment horizontal="center" wrapText="1"/>
    </xf>
    <xf numFmtId="0" fontId="38" fillId="7" borderId="1" xfId="0" applyFont="1" applyFill="1" applyBorder="1" applyAlignment="1">
      <alignment vertical="center"/>
    </xf>
    <xf numFmtId="0" fontId="38" fillId="2" borderId="1" xfId="0" applyFont="1" applyFill="1" applyBorder="1" applyAlignment="1">
      <alignment vertical="center"/>
    </xf>
    <xf numFmtId="0" fontId="40" fillId="13" borderId="0" xfId="44" applyFont="1" applyFill="1" applyAlignment="1">
      <alignment horizontal="center" wrapText="1"/>
    </xf>
    <xf numFmtId="0" fontId="4" fillId="13" borderId="0" xfId="44" applyFont="1" applyFill="1" applyAlignment="1">
      <alignment wrapText="1"/>
    </xf>
    <xf numFmtId="0" fontId="40" fillId="0" borderId="4" xfId="44" applyFont="1" applyBorder="1" applyAlignment="1">
      <alignment horizontal="center" vertical="center" wrapText="1"/>
    </xf>
    <xf numFmtId="0" fontId="38" fillId="4" borderId="1" xfId="0" applyFont="1" applyFill="1" applyBorder="1" applyAlignment="1">
      <alignment vertical="center"/>
    </xf>
    <xf numFmtId="0" fontId="4" fillId="0" borderId="4" xfId="44" applyFont="1" applyBorder="1" applyAlignment="1">
      <alignment horizontal="center" wrapText="1"/>
    </xf>
    <xf numFmtId="0" fontId="4" fillId="3" borderId="1" xfId="9" applyFont="1" applyFill="1" applyBorder="1" applyAlignment="1">
      <alignment horizontal="center"/>
    </xf>
    <xf numFmtId="0" fontId="4" fillId="0" borderId="4" xfId="9" applyFont="1" applyBorder="1" applyAlignment="1">
      <alignment horizontal="center" wrapText="1"/>
    </xf>
    <xf numFmtId="0" fontId="4" fillId="0" borderId="4" xfId="9" applyFont="1" applyBorder="1" applyAlignment="1">
      <alignment wrapText="1"/>
    </xf>
    <xf numFmtId="0" fontId="4" fillId="0" borderId="4" xfId="9" applyFont="1" applyBorder="1" applyAlignment="1">
      <alignment horizontal="right" wrapText="1"/>
    </xf>
    <xf numFmtId="0" fontId="27" fillId="0" borderId="0" xfId="0" applyFont="1" applyAlignment="1">
      <alignment horizontal="center"/>
    </xf>
    <xf numFmtId="0" fontId="27" fillId="0" borderId="0" xfId="0" applyFont="1"/>
    <xf numFmtId="0" fontId="27" fillId="3" borderId="1" xfId="0" applyFont="1" applyFill="1" applyBorder="1" applyAlignment="1">
      <alignment vertical="center"/>
    </xf>
    <xf numFmtId="0" fontId="27" fillId="3" borderId="1" xfId="0" applyFont="1" applyFill="1" applyBorder="1"/>
    <xf numFmtId="0" fontId="4" fillId="3" borderId="1" xfId="65" applyFont="1" applyFill="1" applyBorder="1" applyAlignment="1">
      <alignment horizontal="center"/>
    </xf>
    <xf numFmtId="0" fontId="4" fillId="3" borderId="19" xfId="55" applyFont="1" applyFill="1" applyBorder="1" applyAlignment="1">
      <alignment horizontal="center"/>
    </xf>
    <xf numFmtId="0" fontId="4" fillId="0" borderId="4" xfId="44" applyFont="1" applyBorder="1" applyAlignment="1">
      <alignment horizontal="right" wrapText="1"/>
    </xf>
    <xf numFmtId="0" fontId="4" fillId="0" borderId="4" xfId="55" applyFont="1" applyBorder="1" applyAlignment="1">
      <alignment horizontal="right" wrapText="1"/>
    </xf>
    <xf numFmtId="0" fontId="4" fillId="0" borderId="4" xfId="55" applyFont="1" applyBorder="1" applyAlignment="1">
      <alignment wrapText="1"/>
    </xf>
    <xf numFmtId="0" fontId="32" fillId="0" borderId="0" xfId="0" applyFont="1"/>
    <xf numFmtId="0" fontId="4" fillId="3" borderId="1" xfId="7" applyFont="1" applyFill="1" applyBorder="1" applyAlignment="1">
      <alignment horizontal="center"/>
    </xf>
    <xf numFmtId="0" fontId="4" fillId="0" borderId="4" xfId="7" applyFont="1" applyBorder="1" applyAlignment="1">
      <alignment horizontal="right" wrapText="1"/>
    </xf>
    <xf numFmtId="0" fontId="4" fillId="0" borderId="4" xfId="7" applyFont="1" applyBorder="1" applyAlignment="1">
      <alignment wrapText="1"/>
    </xf>
    <xf numFmtId="0" fontId="4" fillId="2" borderId="4" xfId="7" applyFont="1" applyFill="1" applyBorder="1" applyAlignment="1">
      <alignment horizontal="right" wrapText="1"/>
    </xf>
    <xf numFmtId="0" fontId="4" fillId="2" borderId="4" xfId="7" applyFont="1" applyFill="1" applyBorder="1" applyAlignment="1">
      <alignment wrapText="1"/>
    </xf>
    <xf numFmtId="0" fontId="4" fillId="4" borderId="4" xfId="7" applyFont="1" applyFill="1" applyBorder="1" applyAlignment="1">
      <alignment horizontal="right" wrapText="1"/>
    </xf>
    <xf numFmtId="0" fontId="4" fillId="4" borderId="4" xfId="7" applyFont="1" applyFill="1" applyBorder="1" applyAlignment="1">
      <alignment wrapText="1"/>
    </xf>
    <xf numFmtId="0" fontId="41" fillId="0" borderId="0" xfId="0" applyFont="1" applyAlignment="1">
      <alignment horizontal="center" vertical="center" wrapText="1"/>
    </xf>
    <xf numFmtId="0" fontId="32" fillId="0" borderId="0" xfId="52" applyFont="1" applyAlignment="1" applyProtection="1">
      <alignment horizontal="left" vertical="center" wrapText="1"/>
      <protection locked="0"/>
    </xf>
    <xf numFmtId="0" fontId="41" fillId="0" borderId="0" xfId="0" applyFont="1" applyAlignment="1">
      <alignment vertical="center" wrapText="1"/>
    </xf>
    <xf numFmtId="1" fontId="41" fillId="0" borderId="0" xfId="0" applyNumberFormat="1" applyFont="1" applyAlignment="1">
      <alignment vertical="center" wrapText="1"/>
    </xf>
    <xf numFmtId="0" fontId="41" fillId="0" borderId="0" xfId="0" applyFont="1" applyAlignment="1">
      <alignment horizontal="justify" vertical="center" wrapText="1"/>
    </xf>
    <xf numFmtId="0" fontId="41" fillId="3" borderId="1" xfId="10" applyFont="1" applyFill="1" applyBorder="1" applyAlignment="1">
      <alignment horizontal="center" vertical="center" wrapText="1"/>
    </xf>
    <xf numFmtId="1" fontId="41" fillId="3" borderId="1" xfId="10" applyNumberFormat="1" applyFont="1" applyFill="1" applyBorder="1" applyAlignment="1">
      <alignment vertical="center" wrapText="1"/>
    </xf>
    <xf numFmtId="0" fontId="41" fillId="0" borderId="0" xfId="10" applyFont="1" applyAlignment="1">
      <alignment vertical="center" wrapText="1"/>
    </xf>
    <xf numFmtId="1" fontId="41" fillId="0" borderId="0" xfId="10" applyNumberFormat="1" applyFont="1" applyAlignment="1">
      <alignment vertical="center" wrapText="1"/>
    </xf>
    <xf numFmtId="0" fontId="41" fillId="0" borderId="0" xfId="10" applyFont="1" applyAlignment="1">
      <alignment horizontal="center" vertical="center" wrapText="1"/>
    </xf>
    <xf numFmtId="0" fontId="32" fillId="3" borderId="1" xfId="59" applyFont="1" applyFill="1" applyBorder="1" applyAlignment="1" applyProtection="1">
      <alignment horizontal="center" vertical="center" wrapText="1"/>
      <protection locked="0"/>
    </xf>
    <xf numFmtId="0" fontId="41" fillId="3" borderId="1" xfId="10" applyFont="1" applyFill="1" applyBorder="1" applyAlignment="1">
      <alignment horizontal="justify" vertical="center" wrapText="1"/>
    </xf>
    <xf numFmtId="0" fontId="32" fillId="0" borderId="0" xfId="59" applyFont="1" applyAlignment="1">
      <alignment horizontal="left" vertical="center" wrapText="1"/>
    </xf>
    <xf numFmtId="0" fontId="32" fillId="0" borderId="0" xfId="59" applyFont="1" applyAlignment="1">
      <alignment vertical="center" wrapText="1"/>
    </xf>
    <xf numFmtId="0" fontId="32" fillId="0" borderId="0" xfId="59" applyFont="1" applyAlignment="1">
      <alignment horizontal="center" vertical="center" wrapText="1"/>
    </xf>
    <xf numFmtId="0" fontId="32" fillId="0" borderId="0" xfId="6" applyFont="1" applyAlignment="1">
      <alignment horizontal="justify" vertical="center" wrapText="1"/>
    </xf>
    <xf numFmtId="0" fontId="32" fillId="0" borderId="0" xfId="6" applyFont="1" applyAlignment="1">
      <alignment horizontal="left" vertical="center" wrapText="1"/>
    </xf>
    <xf numFmtId="0" fontId="32" fillId="0" borderId="0" xfId="52" applyFont="1" applyAlignment="1">
      <alignment horizontal="left" vertical="center" wrapText="1"/>
    </xf>
    <xf numFmtId="0" fontId="32" fillId="0" borderId="0" xfId="0" applyFont="1" applyAlignment="1">
      <alignment horizontal="justify" vertical="center" wrapText="1"/>
    </xf>
    <xf numFmtId="0" fontId="32" fillId="0" borderId="0" xfId="50" applyFont="1" applyAlignment="1">
      <alignment vertical="center" wrapText="1"/>
    </xf>
    <xf numFmtId="0" fontId="32" fillId="0" borderId="0" xfId="50" applyFont="1" applyAlignment="1">
      <alignment horizontal="left" vertical="center" wrapText="1"/>
    </xf>
    <xf numFmtId="0" fontId="32" fillId="0" borderId="0" xfId="50" applyFont="1" applyAlignment="1">
      <alignment horizontal="justify" vertical="center" wrapText="1"/>
    </xf>
    <xf numFmtId="0" fontId="32" fillId="0" borderId="0" xfId="11" applyFont="1" applyAlignment="1">
      <alignment vertical="center" wrapText="1"/>
    </xf>
    <xf numFmtId="0" fontId="42" fillId="0" borderId="0" xfId="0" applyFont="1" applyAlignment="1" applyProtection="1">
      <alignment horizontal="left" vertical="center" wrapText="1"/>
      <protection locked="0"/>
    </xf>
    <xf numFmtId="0" fontId="42" fillId="0" borderId="0" xfId="0" applyFont="1" applyAlignment="1" applyProtection="1">
      <alignment horizontal="left" vertical="center"/>
      <protection locked="0"/>
    </xf>
    <xf numFmtId="0" fontId="42" fillId="3" borderId="19" xfId="0" applyFont="1" applyFill="1" applyBorder="1" applyAlignment="1">
      <alignment horizontal="left" vertical="center" wrapText="1"/>
    </xf>
    <xf numFmtId="0" fontId="43" fillId="3" borderId="19" xfId="0" applyFont="1" applyFill="1" applyBorder="1" applyAlignment="1">
      <alignment horizontal="left" vertical="center" wrapText="1"/>
    </xf>
    <xf numFmtId="0" fontId="44" fillId="0" borderId="20" xfId="0" applyFont="1" applyBorder="1" applyAlignment="1">
      <alignment horizontal="left" vertical="center" wrapText="1"/>
    </xf>
    <xf numFmtId="0" fontId="42" fillId="0" borderId="19" xfId="0" applyFont="1" applyBorder="1" applyAlignment="1">
      <alignment horizontal="left" vertical="center" wrapText="1"/>
    </xf>
    <xf numFmtId="0" fontId="42" fillId="0" borderId="21" xfId="0" applyFont="1" applyBorder="1" applyAlignment="1">
      <alignment horizontal="left" vertical="center" wrapText="1"/>
    </xf>
    <xf numFmtId="0" fontId="45" fillId="0" borderId="21" xfId="0" applyFont="1" applyBorder="1" applyAlignment="1">
      <alignment horizontal="left" vertical="center" wrapText="1"/>
    </xf>
    <xf numFmtId="0" fontId="45" fillId="0" borderId="19" xfId="0" applyFont="1" applyBorder="1" applyAlignment="1">
      <alignment horizontal="left" vertical="center" wrapText="1"/>
    </xf>
    <xf numFmtId="0" fontId="46" fillId="0" borderId="1" xfId="0" applyFont="1" applyBorder="1" applyAlignment="1" applyProtection="1">
      <alignment vertical="top" wrapText="1"/>
      <protection locked="0"/>
    </xf>
    <xf numFmtId="0" fontId="46" fillId="0" borderId="1" xfId="0" applyFont="1" applyBorder="1" applyAlignment="1" applyProtection="1">
      <alignment horizontal="left" vertical="center" wrapText="1"/>
      <protection locked="0"/>
    </xf>
  </cellXfs>
  <cellStyles count="68">
    <cellStyle name="Normal" xfId="0" builtinId="0"/>
    <cellStyle name="Normale 15 8" xfId="1"/>
    <cellStyle name="Normale 2" xfId="2"/>
    <cellStyle name="Normale 3" xfId="3"/>
    <cellStyle name="Normale 38" xfId="4"/>
    <cellStyle name="Percentuale 2 2" xfId="5"/>
    <cellStyle name="Normale 4" xfId="6"/>
    <cellStyle name="Normale_Foglio1" xfId="7"/>
    <cellStyle name="Normale_Foglio1_1" xfId="8"/>
    <cellStyle name="Normale_INFO_2" xfId="9"/>
    <cellStyle name="Normale_tutti_schemi_acq" xfId="10"/>
    <cellStyle name="Normale_tutti_schemi_acq 2" xfId="11"/>
    <cellStyle name="60% - Accent6" xfId="12" builtinId="52"/>
    <cellStyle name="40% - Accent6" xfId="13" builtinId="51"/>
    <cellStyle name="60% - Accent5" xfId="14" builtinId="48"/>
    <cellStyle name="Accent6" xfId="15" builtinId="49"/>
    <cellStyle name="40% - Accent5" xfId="16" builtinId="47"/>
    <cellStyle name="20% - Accent5" xfId="17" builtinId="46"/>
    <cellStyle name="Normale 11" xfId="18"/>
    <cellStyle name="60% - Accent4" xfId="19" builtinId="44"/>
    <cellStyle name="Accent5" xfId="20" builtinId="45"/>
    <cellStyle name="Normale 2 2" xfId="21"/>
    <cellStyle name="40% - Accent4" xfId="22" builtinId="43"/>
    <cellStyle name="Accent4" xfId="23" builtinId="41"/>
    <cellStyle name="Linked Cell" xfId="24" builtinId="24"/>
    <cellStyle name="40% - Accent3" xfId="25" builtinId="39"/>
    <cellStyle name="60% - Accent2" xfId="26" builtinId="36"/>
    <cellStyle name="Accent3" xfId="27" builtinId="37"/>
    <cellStyle name="40% - Accent2" xfId="28" builtinId="35"/>
    <cellStyle name="20% - Accent2" xfId="29" builtinId="34"/>
    <cellStyle name="Accent2" xfId="30" builtinId="33"/>
    <cellStyle name="40% - Accent1" xfId="31" builtinId="31"/>
    <cellStyle name="20% - Accent1" xfId="32" builtinId="30"/>
    <cellStyle name="Accent1" xfId="33" builtinId="29"/>
    <cellStyle name="Neutral" xfId="34" builtinId="28"/>
    <cellStyle name="60% - Accent1" xfId="35" builtinId="32"/>
    <cellStyle name="Bad" xfId="36" builtinId="27"/>
    <cellStyle name="20% - Accent4" xfId="37" builtinId="42"/>
    <cellStyle name="Total" xfId="38" builtinId="25"/>
    <cellStyle name="Output" xfId="39" builtinId="21"/>
    <cellStyle name="Currency" xfId="40" builtinId="4"/>
    <cellStyle name="20% - Accent3" xfId="41" builtinId="38"/>
    <cellStyle name="Note" xfId="42" builtinId="10"/>
    <cellStyle name="Input" xfId="43" builtinId="20"/>
    <cellStyle name="Normale_campi_tipi 2" xfId="44"/>
    <cellStyle name="Heading 4" xfId="45" builtinId="19"/>
    <cellStyle name="Calculation" xfId="46" builtinId="22"/>
    <cellStyle name="Good" xfId="47" builtinId="26"/>
    <cellStyle name="Heading 3" xfId="48" builtinId="18"/>
    <cellStyle name="CExplanatory Text" xfId="49" builtinId="53"/>
    <cellStyle name="Normale_Foglio1 2 2" xfId="50"/>
    <cellStyle name="Heading 1" xfId="51" builtinId="16"/>
    <cellStyle name="Normale 3 2" xfId="52"/>
    <cellStyle name="Comma [0]" xfId="53" builtinId="6"/>
    <cellStyle name="20% - Accent6" xfId="54" builtinId="50"/>
    <cellStyle name="Normale_INFO_1" xfId="55"/>
    <cellStyle name="Title" xfId="56" builtinId="15"/>
    <cellStyle name="Currency [0]" xfId="57" builtinId="7"/>
    <cellStyle name="Warning Text" xfId="58" builtinId="11"/>
    <cellStyle name="Normale_CAMPI 2 2" xfId="59"/>
    <cellStyle name="Followed Hyperlink" xfId="60" builtinId="9"/>
    <cellStyle name="Heading 2" xfId="61" builtinId="17"/>
    <cellStyle name="Comma" xfId="62" builtinId="3"/>
    <cellStyle name="Check Cell" xfId="63" builtinId="23"/>
    <cellStyle name="60% - Accent3" xfId="64" builtinId="40"/>
    <cellStyle name="Normale_info" xfId="65"/>
    <cellStyle name="Percent" xfId="66" builtinId="5"/>
    <cellStyle name="Hyperlink" xfId="67" builtinId="8"/>
  </cellStyles>
  <dxfs count="2">
    <dxf>
      <fill>
        <patternFill patternType="solid">
          <bgColor rgb="FF92D050"/>
        </patternFill>
      </fill>
    </dxf>
    <dxf>
      <font>
        <name val="Arial"/>
        <scheme val="none"/>
        <charset val="1"/>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7030A0"/>
      <rgbColor rgb="00FDEADA"/>
      <rgbColor rgb="00CCFFFF"/>
      <rgbColor rgb="00660066"/>
      <rgbColor rgb="00FF8080"/>
      <rgbColor rgb="000070C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B3A2C7"/>
      <rgbColor rgb="00FFCC99"/>
      <rgbColor rgb="003366FF"/>
      <rgbColor rgb="0000B0F0"/>
      <rgbColor rgb="0092D050"/>
      <rgbColor rgb="00FFCC00"/>
      <rgbColor rgb="00FF9900"/>
      <rgbColor rgb="00FF6600"/>
      <rgbColor rgb="00666699"/>
      <rgbColor rgb="00969696"/>
      <rgbColor rgb="00003366"/>
      <rgbColor rgb="0000B050"/>
      <rgbColor rgb="00003300"/>
      <rgbColor rgb="00333300"/>
      <rgbColor rgb="00993300"/>
      <rgbColor rgb="00993366"/>
      <rgbColor rgb="001F497D"/>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3" Type="http://schemas.openxmlformats.org/officeDocument/2006/relationships/sharedStrings" Target="sharedStrings.xml"/><Relationship Id="rId42" Type="http://schemas.openxmlformats.org/officeDocument/2006/relationships/styles" Target="styles.xml"/><Relationship Id="rId41" Type="http://schemas.openxmlformats.org/officeDocument/2006/relationships/theme" Target="theme/theme1.xml"/><Relationship Id="rId40" Type="http://schemas.openxmlformats.org/officeDocument/2006/relationships/externalLink" Target="externalLinks/externalLink3.xml"/><Relationship Id="rId4" Type="http://schemas.openxmlformats.org/officeDocument/2006/relationships/worksheet" Target="worksheets/sheet4.xml"/><Relationship Id="rId39" Type="http://schemas.openxmlformats.org/officeDocument/2006/relationships/externalLink" Target="externalLinks/externalLink2.xml"/><Relationship Id="rId38" Type="http://schemas.openxmlformats.org/officeDocument/2006/relationships/externalLink" Target="externalLinks/externalLink1.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B_FontiApprov_6.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PU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INPU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egenda"/>
      <sheetName val="DB_FontiApp"/>
      <sheetName val="codici_acquedotti"/>
      <sheetName val="codici_comuni"/>
      <sheetName val="Foglio1 (2)"/>
      <sheetName val="Report1"/>
      <sheetName val="Report2"/>
      <sheetName val="Query1"/>
      <sheetName val="grafico1"/>
      <sheetName val="Grafico2"/>
      <sheetName val="Grafico3"/>
      <sheetName val="foglio (grafico)"/>
      <sheetName val="Pivot AQ1"/>
      <sheetName val="Pivot AQ2"/>
      <sheetName val="Foglio1"/>
      <sheetName val="SO"/>
      <sheetName val="PO"/>
      <sheetName val="CaptSup"/>
      <sheetName val="inp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put anno"/>
    </sheetNames>
    <sheetDataSet>
      <sheetData sheetId="0">
        <row r="1">
          <cell r="A1">
            <v>2023</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Input anno"/>
    </sheetNames>
    <sheetDataSet>
      <sheetData sheetId="0">
        <row r="1">
          <cell r="A1">
            <v>2020</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44"/>
  <sheetViews>
    <sheetView topLeftCell="A25" workbookViewId="0">
      <selection activeCell="A26" sqref="A26"/>
    </sheetView>
  </sheetViews>
  <sheetFormatPr defaultColWidth="9.14285714285714" defaultRowHeight="12.75"/>
  <cols>
    <col min="1" max="1" width="84.7142857142857" style="289" customWidth="1"/>
    <col min="2" max="1024" width="9.14285714285714" style="290"/>
  </cols>
  <sheetData>
    <row r="1" ht="42" customHeight="1" spans="1:1">
      <c r="A1" s="291" t="s">
        <v>0</v>
      </c>
    </row>
    <row r="2" ht="89.25" customHeight="1" spans="1:1">
      <c r="A2" s="291" t="s">
        <v>1</v>
      </c>
    </row>
    <row r="3" ht="89.25" customHeight="1" spans="1:1">
      <c r="A3" s="292" t="s">
        <v>2</v>
      </c>
    </row>
    <row r="4" ht="18" customHeight="1" spans="1:1">
      <c r="A4" s="293" t="s">
        <v>3</v>
      </c>
    </row>
    <row r="5" ht="21.75" customHeight="1" spans="1:1">
      <c r="A5" s="294" t="s">
        <v>4</v>
      </c>
    </row>
    <row r="6" ht="25.5" spans="1:1">
      <c r="A6" s="293" t="s">
        <v>5</v>
      </c>
    </row>
    <row r="7" ht="178.5" spans="1:1">
      <c r="A7" s="294" t="s">
        <v>6</v>
      </c>
    </row>
    <row r="8" spans="1:1">
      <c r="A8" s="293" t="s">
        <v>7</v>
      </c>
    </row>
    <row r="9" ht="242.25" spans="1:1">
      <c r="A9" s="294" t="s">
        <v>8</v>
      </c>
    </row>
    <row r="10" spans="1:1">
      <c r="A10" s="293" t="s">
        <v>9</v>
      </c>
    </row>
    <row r="11" ht="267.75" spans="1:1">
      <c r="A11" s="294" t="s">
        <v>10</v>
      </c>
    </row>
    <row r="12" spans="1:1">
      <c r="A12" s="293" t="s">
        <v>11</v>
      </c>
    </row>
    <row r="13" ht="89.25" spans="1:1">
      <c r="A13" s="294" t="s">
        <v>12</v>
      </c>
    </row>
    <row r="14" spans="1:1">
      <c r="A14" s="293" t="s">
        <v>13</v>
      </c>
    </row>
    <row r="15" ht="127.5" spans="1:1">
      <c r="A15" s="294" t="s">
        <v>14</v>
      </c>
    </row>
    <row r="16" spans="1:1">
      <c r="A16" s="293" t="s">
        <v>15</v>
      </c>
    </row>
    <row r="17" ht="127.5" spans="1:1">
      <c r="A17" s="295" t="s">
        <v>16</v>
      </c>
    </row>
    <row r="18" ht="102" spans="1:1">
      <c r="A18" s="294" t="s">
        <v>17</v>
      </c>
    </row>
    <row r="19" spans="1:1">
      <c r="A19" s="293" t="s">
        <v>18</v>
      </c>
    </row>
    <row r="20" ht="76.5" spans="1:1">
      <c r="A20" s="294" t="s">
        <v>19</v>
      </c>
    </row>
    <row r="21" spans="1:1">
      <c r="A21" s="293" t="s">
        <v>20</v>
      </c>
    </row>
    <row r="22" ht="114.75" spans="1:1">
      <c r="A22" s="294" t="s">
        <v>21</v>
      </c>
    </row>
    <row r="23" spans="1:1">
      <c r="A23" s="293" t="s">
        <v>22</v>
      </c>
    </row>
    <row r="24" ht="51" spans="1:1">
      <c r="A24" s="294" t="s">
        <v>23</v>
      </c>
    </row>
    <row r="25" spans="1:1">
      <c r="A25" s="293" t="s">
        <v>24</v>
      </c>
    </row>
    <row r="26" ht="229.5" spans="1:1">
      <c r="A26" s="294" t="s">
        <v>25</v>
      </c>
    </row>
    <row r="27" spans="1:1">
      <c r="A27" s="293" t="s">
        <v>26</v>
      </c>
    </row>
    <row r="28" ht="25.5" spans="1:1">
      <c r="A28" s="295" t="s">
        <v>27</v>
      </c>
    </row>
    <row r="29" ht="280.5" spans="1:1">
      <c r="A29" s="296" t="s">
        <v>28</v>
      </c>
    </row>
    <row r="30" ht="255" spans="1:1">
      <c r="A30" s="296" t="s">
        <v>29</v>
      </c>
    </row>
    <row r="31" ht="229.5" spans="1:1">
      <c r="A31" s="296" t="s">
        <v>30</v>
      </c>
    </row>
    <row r="32" ht="127.5" spans="1:1">
      <c r="A32" s="296" t="s">
        <v>31</v>
      </c>
    </row>
    <row r="33" ht="242.25" spans="1:1">
      <c r="A33" s="296" t="s">
        <v>32</v>
      </c>
    </row>
    <row r="34" ht="127.5" spans="1:1">
      <c r="A34" s="297" t="s">
        <v>33</v>
      </c>
    </row>
    <row r="35" spans="1:1">
      <c r="A35" s="293" t="s">
        <v>34</v>
      </c>
    </row>
    <row r="36" ht="89.25" spans="1:1">
      <c r="A36" s="294" t="s">
        <v>35</v>
      </c>
    </row>
    <row r="37" spans="1:1">
      <c r="A37" s="293" t="s">
        <v>36</v>
      </c>
    </row>
    <row r="38" ht="89.25" spans="1:1">
      <c r="A38" s="294" t="s">
        <v>37</v>
      </c>
    </row>
    <row r="39" spans="1:1">
      <c r="A39" s="293" t="s">
        <v>38</v>
      </c>
    </row>
    <row r="40" ht="204" spans="1:1">
      <c r="A40" s="294" t="s">
        <v>39</v>
      </c>
    </row>
    <row r="41" ht="56.25" customHeight="1" spans="1:1">
      <c r="A41" s="298" t="s">
        <v>40</v>
      </c>
    </row>
    <row r="42" ht="76.5" spans="1:1">
      <c r="A42" s="299" t="s">
        <v>41</v>
      </c>
    </row>
    <row r="44" spans="1:1">
      <c r="A44" s="289" t="s">
        <v>42</v>
      </c>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869"/>
  <sheetViews>
    <sheetView zoomScale="95" zoomScaleNormal="95" topLeftCell="A397" workbookViewId="0">
      <selection activeCell="J414" sqref="J414"/>
    </sheetView>
  </sheetViews>
  <sheetFormatPr defaultColWidth="7.85714285714286" defaultRowHeight="12.75"/>
  <cols>
    <col min="1" max="1" width="13.8571428571429" style="268" customWidth="1"/>
    <col min="2" max="2" width="17.7142857142857" style="268" customWidth="1"/>
    <col min="3" max="3" width="7.28571428571429" style="269" customWidth="1"/>
    <col min="4" max="4" width="23.2857142857143" style="268" customWidth="1"/>
    <col min="5" max="5" width="28.7142857142857" style="268" customWidth="1"/>
    <col min="6" max="6" width="13.7142857142857" style="268" customWidth="1"/>
    <col min="7" max="7" width="19.1428571428571" style="268" customWidth="1"/>
    <col min="8" max="8" width="6.85714285714286" style="266" customWidth="1"/>
    <col min="9" max="9" width="14.2857142857143" style="266" customWidth="1"/>
    <col min="10" max="10" width="74.2857142857143" style="270" customWidth="1"/>
    <col min="11" max="11" width="14.8571428571429" style="266" customWidth="1"/>
    <col min="12" max="1024" width="7.85714285714286" style="268"/>
  </cols>
  <sheetData>
    <row r="1" s="266" customFormat="1" ht="54.75" customHeight="1" spans="1:11">
      <c r="A1" s="271" t="s">
        <v>43</v>
      </c>
      <c r="B1" s="271" t="s">
        <v>44</v>
      </c>
      <c r="C1" s="272" t="s">
        <v>45</v>
      </c>
      <c r="D1" s="271" t="s">
        <v>46</v>
      </c>
      <c r="E1" s="271" t="s">
        <v>47</v>
      </c>
      <c r="F1" s="271" t="s">
        <v>48</v>
      </c>
      <c r="G1" s="271" t="s">
        <v>49</v>
      </c>
      <c r="H1" s="271" t="s">
        <v>50</v>
      </c>
      <c r="I1" s="276" t="s">
        <v>51</v>
      </c>
      <c r="J1" s="277" t="s">
        <v>52</v>
      </c>
      <c r="K1" s="271" t="s">
        <v>53</v>
      </c>
    </row>
    <row r="2" ht="21" hidden="1" spans="1:10">
      <c r="A2" s="273" t="s">
        <v>54</v>
      </c>
      <c r="B2" s="273" t="s">
        <v>55</v>
      </c>
      <c r="C2" s="274">
        <v>800</v>
      </c>
      <c r="D2" s="273" t="s">
        <v>56</v>
      </c>
      <c r="E2" s="273" t="s">
        <v>57</v>
      </c>
      <c r="F2" s="273" t="s">
        <v>58</v>
      </c>
      <c r="G2" s="273" t="s">
        <v>59</v>
      </c>
      <c r="H2" s="275">
        <v>8</v>
      </c>
      <c r="I2" s="275"/>
      <c r="J2" s="270" t="s">
        <v>60</v>
      </c>
    </row>
    <row r="3" ht="52.5" hidden="1" spans="1:10">
      <c r="A3" s="273" t="s">
        <v>54</v>
      </c>
      <c r="B3" s="273" t="s">
        <v>55</v>
      </c>
      <c r="C3" s="274">
        <v>1000</v>
      </c>
      <c r="D3" s="273" t="s">
        <v>61</v>
      </c>
      <c r="E3" s="273" t="s">
        <v>62</v>
      </c>
      <c r="F3" s="273" t="s">
        <v>63</v>
      </c>
      <c r="G3" s="273" t="s">
        <v>64</v>
      </c>
      <c r="H3" s="275">
        <v>10</v>
      </c>
      <c r="I3" s="275" t="s">
        <v>65</v>
      </c>
      <c r="J3" s="270" t="s">
        <v>66</v>
      </c>
    </row>
    <row r="4" ht="21" hidden="1" spans="1:10">
      <c r="A4" s="273" t="s">
        <v>54</v>
      </c>
      <c r="B4" s="273" t="s">
        <v>55</v>
      </c>
      <c r="C4" s="274">
        <v>1100</v>
      </c>
      <c r="D4" s="273" t="s">
        <v>67</v>
      </c>
      <c r="E4" s="273" t="s">
        <v>68</v>
      </c>
      <c r="F4" s="273" t="s">
        <v>63</v>
      </c>
      <c r="G4" s="273" t="s">
        <v>69</v>
      </c>
      <c r="H4" s="275">
        <v>11</v>
      </c>
      <c r="I4" s="275"/>
      <c r="J4" s="270" t="s">
        <v>70</v>
      </c>
    </row>
    <row r="5" hidden="1" spans="1:10">
      <c r="A5" s="273" t="s">
        <v>54</v>
      </c>
      <c r="B5" s="273" t="s">
        <v>55</v>
      </c>
      <c r="C5" s="274">
        <v>1200</v>
      </c>
      <c r="D5" s="273" t="s">
        <v>71</v>
      </c>
      <c r="E5" s="273" t="s">
        <v>72</v>
      </c>
      <c r="F5" s="273" t="s">
        <v>73</v>
      </c>
      <c r="G5" s="273" t="s">
        <v>74</v>
      </c>
      <c r="H5" s="275">
        <v>12</v>
      </c>
      <c r="I5" s="275" t="s">
        <v>65</v>
      </c>
      <c r="J5" s="270" t="s">
        <v>75</v>
      </c>
    </row>
    <row r="6" hidden="1" spans="1:10">
      <c r="A6" s="273" t="s">
        <v>54</v>
      </c>
      <c r="B6" s="273" t="s">
        <v>55</v>
      </c>
      <c r="C6" s="274">
        <v>1300</v>
      </c>
      <c r="D6" s="273" t="s">
        <v>76</v>
      </c>
      <c r="E6" s="273" t="s">
        <v>77</v>
      </c>
      <c r="F6" s="273" t="s">
        <v>73</v>
      </c>
      <c r="G6" s="273" t="s">
        <v>74</v>
      </c>
      <c r="H6" s="275">
        <v>13</v>
      </c>
      <c r="I6" s="275" t="s">
        <v>65</v>
      </c>
      <c r="J6" s="270" t="s">
        <v>78</v>
      </c>
    </row>
    <row r="7" ht="21" hidden="1" spans="1:10">
      <c r="A7" s="273" t="s">
        <v>54</v>
      </c>
      <c r="B7" s="273" t="s">
        <v>55</v>
      </c>
      <c r="C7" s="274">
        <v>1400</v>
      </c>
      <c r="D7" s="273" t="s">
        <v>79</v>
      </c>
      <c r="E7" s="273" t="s">
        <v>80</v>
      </c>
      <c r="F7" s="273" t="s">
        <v>81</v>
      </c>
      <c r="G7" s="273" t="s">
        <v>82</v>
      </c>
      <c r="H7" s="275">
        <v>14</v>
      </c>
      <c r="I7" s="275" t="s">
        <v>65</v>
      </c>
      <c r="J7" s="270" t="s">
        <v>83</v>
      </c>
    </row>
    <row r="8" ht="21" hidden="1" spans="1:10">
      <c r="A8" s="273" t="s">
        <v>54</v>
      </c>
      <c r="B8" s="273" t="s">
        <v>55</v>
      </c>
      <c r="C8" s="274">
        <v>110700</v>
      </c>
      <c r="D8" s="273" t="s">
        <v>84</v>
      </c>
      <c r="E8" s="273" t="s">
        <v>85</v>
      </c>
      <c r="F8" s="273" t="s">
        <v>58</v>
      </c>
      <c r="G8" s="273" t="s">
        <v>86</v>
      </c>
      <c r="H8" s="275">
        <v>1420</v>
      </c>
      <c r="I8" s="275"/>
      <c r="J8" s="270" t="s">
        <v>87</v>
      </c>
    </row>
    <row r="9" ht="21" hidden="1" spans="1:10">
      <c r="A9" s="273" t="s">
        <v>54</v>
      </c>
      <c r="B9" s="273" t="s">
        <v>55</v>
      </c>
      <c r="C9" s="274">
        <v>110800</v>
      </c>
      <c r="D9" s="273" t="s">
        <v>88</v>
      </c>
      <c r="E9" s="273" t="s">
        <v>89</v>
      </c>
      <c r="F9" s="273" t="s">
        <v>63</v>
      </c>
      <c r="G9" s="273" t="s">
        <v>90</v>
      </c>
      <c r="H9" s="275">
        <v>1421</v>
      </c>
      <c r="I9" s="275"/>
      <c r="J9" s="270" t="s">
        <v>91</v>
      </c>
    </row>
    <row r="10" hidden="1" spans="1:10">
      <c r="A10" s="273" t="s">
        <v>54</v>
      </c>
      <c r="B10" s="273" t="s">
        <v>55</v>
      </c>
      <c r="C10" s="274">
        <v>1500</v>
      </c>
      <c r="D10" s="273" t="s">
        <v>92</v>
      </c>
      <c r="E10" s="273" t="s">
        <v>93</v>
      </c>
      <c r="F10" s="273" t="s">
        <v>73</v>
      </c>
      <c r="G10" s="273" t="s">
        <v>94</v>
      </c>
      <c r="H10" s="275">
        <v>15</v>
      </c>
      <c r="I10" s="275"/>
      <c r="J10" s="270" t="s">
        <v>95</v>
      </c>
    </row>
    <row r="11" hidden="1" spans="1:10">
      <c r="A11" s="273" t="s">
        <v>54</v>
      </c>
      <c r="B11" s="273" t="s">
        <v>55</v>
      </c>
      <c r="C11" s="274">
        <v>1600</v>
      </c>
      <c r="D11" s="273" t="s">
        <v>96</v>
      </c>
      <c r="E11" s="273" t="s">
        <v>97</v>
      </c>
      <c r="F11" s="273" t="s">
        <v>63</v>
      </c>
      <c r="G11" s="273" t="s">
        <v>69</v>
      </c>
      <c r="H11" s="275">
        <v>16</v>
      </c>
      <c r="I11" s="275"/>
      <c r="J11" s="270" t="s">
        <v>98</v>
      </c>
    </row>
    <row r="12" hidden="1" spans="1:10">
      <c r="A12" s="273" t="s">
        <v>54</v>
      </c>
      <c r="B12" s="273" t="s">
        <v>55</v>
      </c>
      <c r="C12" s="274">
        <v>1700</v>
      </c>
      <c r="D12" s="273" t="s">
        <v>99</v>
      </c>
      <c r="E12" s="273" t="s">
        <v>100</v>
      </c>
      <c r="F12" s="273" t="s">
        <v>101</v>
      </c>
      <c r="G12" s="273" t="s">
        <v>102</v>
      </c>
      <c r="H12" s="275">
        <v>17</v>
      </c>
      <c r="I12" s="275" t="s">
        <v>65</v>
      </c>
      <c r="J12" s="270" t="s">
        <v>103</v>
      </c>
    </row>
    <row r="13" hidden="1" spans="1:10">
      <c r="A13" s="273" t="s">
        <v>54</v>
      </c>
      <c r="B13" s="273" t="s">
        <v>55</v>
      </c>
      <c r="C13" s="274">
        <v>1800</v>
      </c>
      <c r="D13" s="273" t="s">
        <v>104</v>
      </c>
      <c r="E13" s="273" t="s">
        <v>105</v>
      </c>
      <c r="F13" s="273" t="s">
        <v>63</v>
      </c>
      <c r="G13" s="273" t="s">
        <v>69</v>
      </c>
      <c r="H13" s="275">
        <v>18</v>
      </c>
      <c r="I13" s="275"/>
      <c r="J13" s="270" t="s">
        <v>106</v>
      </c>
    </row>
    <row r="14" hidden="1" spans="1:10">
      <c r="A14" s="273" t="s">
        <v>54</v>
      </c>
      <c r="B14" s="273" t="s">
        <v>55</v>
      </c>
      <c r="C14" s="274">
        <v>1900</v>
      </c>
      <c r="D14" s="273" t="s">
        <v>107</v>
      </c>
      <c r="E14" s="273" t="s">
        <v>108</v>
      </c>
      <c r="F14" s="273" t="s">
        <v>63</v>
      </c>
      <c r="G14" s="273" t="s">
        <v>69</v>
      </c>
      <c r="H14" s="275">
        <v>19</v>
      </c>
      <c r="I14" s="275"/>
      <c r="J14" s="270" t="s">
        <v>109</v>
      </c>
    </row>
    <row r="15" ht="31.5" hidden="1" spans="1:10">
      <c r="A15" s="273" t="s">
        <v>54</v>
      </c>
      <c r="B15" s="273" t="s">
        <v>55</v>
      </c>
      <c r="C15" s="274">
        <v>2000</v>
      </c>
      <c r="D15" s="273" t="s">
        <v>110</v>
      </c>
      <c r="E15" s="273" t="s">
        <v>111</v>
      </c>
      <c r="F15" s="273" t="s">
        <v>112</v>
      </c>
      <c r="G15" s="273" t="s">
        <v>113</v>
      </c>
      <c r="H15" s="275">
        <v>20</v>
      </c>
      <c r="I15" s="275"/>
      <c r="J15" s="270" t="s">
        <v>114</v>
      </c>
    </row>
    <row r="16" ht="73.5" hidden="1" spans="1:10">
      <c r="A16" s="273" t="s">
        <v>54</v>
      </c>
      <c r="B16" s="273" t="s">
        <v>55</v>
      </c>
      <c r="C16" s="274">
        <v>2100</v>
      </c>
      <c r="D16" s="273" t="s">
        <v>115</v>
      </c>
      <c r="E16" s="273" t="s">
        <v>116</v>
      </c>
      <c r="F16" s="273" t="s">
        <v>63</v>
      </c>
      <c r="G16" s="273" t="s">
        <v>69</v>
      </c>
      <c r="H16" s="275">
        <v>21</v>
      </c>
      <c r="I16" s="275"/>
      <c r="J16" s="270" t="s">
        <v>117</v>
      </c>
    </row>
    <row r="17" hidden="1" spans="1:10">
      <c r="A17" s="273" t="s">
        <v>54</v>
      </c>
      <c r="B17" s="273" t="s">
        <v>55</v>
      </c>
      <c r="C17" s="274">
        <v>2200</v>
      </c>
      <c r="D17" s="273" t="s">
        <v>118</v>
      </c>
      <c r="E17" s="273" t="s">
        <v>119</v>
      </c>
      <c r="F17" s="273" t="s">
        <v>120</v>
      </c>
      <c r="G17" s="273" t="s">
        <v>121</v>
      </c>
      <c r="H17" s="275">
        <v>22</v>
      </c>
      <c r="I17" s="275"/>
      <c r="J17" s="270" t="s">
        <v>122</v>
      </c>
    </row>
    <row r="18" hidden="1" spans="1:10">
      <c r="A18" s="273" t="s">
        <v>54</v>
      </c>
      <c r="B18" s="273" t="s">
        <v>55</v>
      </c>
      <c r="C18" s="274">
        <v>110900</v>
      </c>
      <c r="D18" s="273" t="s">
        <v>123</v>
      </c>
      <c r="E18" s="273" t="s">
        <v>124</v>
      </c>
      <c r="F18" s="273" t="s">
        <v>125</v>
      </c>
      <c r="G18" s="273" t="s">
        <v>126</v>
      </c>
      <c r="H18" s="275">
        <v>1422</v>
      </c>
      <c r="I18" s="275"/>
      <c r="J18" s="270" t="s">
        <v>127</v>
      </c>
    </row>
    <row r="19" ht="63" hidden="1" spans="1:10">
      <c r="A19" s="273" t="s">
        <v>54</v>
      </c>
      <c r="B19" s="273" t="s">
        <v>55</v>
      </c>
      <c r="C19" s="274">
        <v>2700</v>
      </c>
      <c r="D19" s="273" t="s">
        <v>128</v>
      </c>
      <c r="E19" s="273" t="s">
        <v>129</v>
      </c>
      <c r="F19" s="273" t="s">
        <v>130</v>
      </c>
      <c r="G19" s="273" t="s">
        <v>131</v>
      </c>
      <c r="H19" s="275">
        <v>27</v>
      </c>
      <c r="I19" s="275"/>
      <c r="J19" s="270" t="s">
        <v>132</v>
      </c>
    </row>
    <row r="20" ht="52.5" hidden="1" spans="1:10">
      <c r="A20" s="273" t="s">
        <v>54</v>
      </c>
      <c r="B20" s="273" t="s">
        <v>55</v>
      </c>
      <c r="C20" s="274">
        <v>2800</v>
      </c>
      <c r="D20" s="273" t="s">
        <v>133</v>
      </c>
      <c r="E20" s="273" t="s">
        <v>134</v>
      </c>
      <c r="F20" s="273" t="s">
        <v>130</v>
      </c>
      <c r="G20" s="273" t="s">
        <v>131</v>
      </c>
      <c r="H20" s="275">
        <v>28</v>
      </c>
      <c r="I20" s="275" t="s">
        <v>65</v>
      </c>
      <c r="J20" s="270" t="s">
        <v>135</v>
      </c>
    </row>
    <row r="21" ht="21" hidden="1" spans="1:10">
      <c r="A21" s="273" t="s">
        <v>54</v>
      </c>
      <c r="B21" s="273" t="s">
        <v>55</v>
      </c>
      <c r="C21" s="274">
        <v>2900</v>
      </c>
      <c r="D21" s="273" t="s">
        <v>136</v>
      </c>
      <c r="E21" s="273" t="s">
        <v>137</v>
      </c>
      <c r="F21" s="273" t="s">
        <v>112</v>
      </c>
      <c r="G21" s="273" t="s">
        <v>113</v>
      </c>
      <c r="H21" s="275">
        <v>29</v>
      </c>
      <c r="I21" s="275" t="s">
        <v>65</v>
      </c>
      <c r="J21" s="270" t="s">
        <v>138</v>
      </c>
    </row>
    <row r="22" ht="21" hidden="1" spans="1:10">
      <c r="A22" s="273" t="s">
        <v>54</v>
      </c>
      <c r="B22" s="273" t="s">
        <v>55</v>
      </c>
      <c r="C22" s="274">
        <v>3000</v>
      </c>
      <c r="D22" s="273" t="s">
        <v>139</v>
      </c>
      <c r="E22" s="273" t="s">
        <v>140</v>
      </c>
      <c r="F22" s="273" t="s">
        <v>63</v>
      </c>
      <c r="G22" s="273" t="s">
        <v>141</v>
      </c>
      <c r="H22" s="275">
        <v>30</v>
      </c>
      <c r="I22" s="275"/>
      <c r="J22" s="270" t="s">
        <v>142</v>
      </c>
    </row>
    <row r="23" ht="31.5" hidden="1" spans="1:10">
      <c r="A23" s="273" t="s">
        <v>54</v>
      </c>
      <c r="B23" s="273" t="s">
        <v>55</v>
      </c>
      <c r="C23" s="274">
        <v>3100</v>
      </c>
      <c r="D23" s="273" t="s">
        <v>143</v>
      </c>
      <c r="E23" s="273" t="s">
        <v>144</v>
      </c>
      <c r="F23" s="273" t="s">
        <v>145</v>
      </c>
      <c r="G23" s="273" t="s">
        <v>146</v>
      </c>
      <c r="H23" s="275">
        <v>31</v>
      </c>
      <c r="I23" s="275"/>
      <c r="J23" s="270" t="s">
        <v>147</v>
      </c>
    </row>
    <row r="24" ht="31.5" hidden="1" spans="1:10">
      <c r="A24" s="273" t="s">
        <v>54</v>
      </c>
      <c r="B24" s="273" t="s">
        <v>55</v>
      </c>
      <c r="C24" s="274">
        <v>3200</v>
      </c>
      <c r="D24" s="273" t="s">
        <v>148</v>
      </c>
      <c r="E24" s="273" t="s">
        <v>149</v>
      </c>
      <c r="F24" s="273" t="s">
        <v>150</v>
      </c>
      <c r="G24" s="273" t="s">
        <v>151</v>
      </c>
      <c r="H24" s="275">
        <v>32</v>
      </c>
      <c r="I24" s="275"/>
      <c r="J24" s="270" t="s">
        <v>152</v>
      </c>
    </row>
    <row r="25" ht="21" hidden="1" spans="1:10">
      <c r="A25" s="273" t="s">
        <v>54</v>
      </c>
      <c r="B25" s="273" t="s">
        <v>55</v>
      </c>
      <c r="C25" s="274">
        <v>3300</v>
      </c>
      <c r="D25" s="273" t="s">
        <v>153</v>
      </c>
      <c r="E25" s="273" t="s">
        <v>154</v>
      </c>
      <c r="F25" s="273" t="s">
        <v>155</v>
      </c>
      <c r="G25" s="273" t="s">
        <v>156</v>
      </c>
      <c r="H25" s="275">
        <v>33</v>
      </c>
      <c r="I25" s="275" t="s">
        <v>65</v>
      </c>
      <c r="J25" s="270" t="s">
        <v>157</v>
      </c>
    </row>
    <row r="26" ht="73.5" hidden="1" spans="1:10">
      <c r="A26" s="273" t="s">
        <v>54</v>
      </c>
      <c r="B26" s="273" t="s">
        <v>55</v>
      </c>
      <c r="C26" s="274">
        <v>3400</v>
      </c>
      <c r="D26" s="273" t="s">
        <v>158</v>
      </c>
      <c r="E26" s="273" t="s">
        <v>159</v>
      </c>
      <c r="F26" s="273" t="s">
        <v>155</v>
      </c>
      <c r="G26" s="273" t="s">
        <v>156</v>
      </c>
      <c r="H26" s="275">
        <v>34</v>
      </c>
      <c r="I26" s="275"/>
      <c r="J26" s="270" t="s">
        <v>160</v>
      </c>
    </row>
    <row r="27" ht="21" hidden="1" spans="1:10">
      <c r="A27" s="273" t="s">
        <v>54</v>
      </c>
      <c r="B27" s="273" t="s">
        <v>55</v>
      </c>
      <c r="C27" s="274">
        <v>3500</v>
      </c>
      <c r="D27" s="273" t="s">
        <v>161</v>
      </c>
      <c r="E27" s="273" t="s">
        <v>162</v>
      </c>
      <c r="F27" s="273" t="s">
        <v>120</v>
      </c>
      <c r="G27" s="273" t="s">
        <v>121</v>
      </c>
      <c r="H27" s="275">
        <v>35</v>
      </c>
      <c r="I27" s="275"/>
      <c r="J27" s="270" t="s">
        <v>163</v>
      </c>
    </row>
    <row r="28" ht="31.5" hidden="1" spans="1:10">
      <c r="A28" s="273" t="s">
        <v>54</v>
      </c>
      <c r="B28" s="273" t="s">
        <v>55</v>
      </c>
      <c r="C28" s="274">
        <v>3600</v>
      </c>
      <c r="D28" s="273" t="s">
        <v>164</v>
      </c>
      <c r="E28" s="273" t="s">
        <v>165</v>
      </c>
      <c r="F28" s="273" t="s">
        <v>120</v>
      </c>
      <c r="G28" s="273" t="s">
        <v>121</v>
      </c>
      <c r="H28" s="275">
        <v>36</v>
      </c>
      <c r="I28" s="275"/>
      <c r="J28" s="270" t="s">
        <v>166</v>
      </c>
    </row>
    <row r="29" ht="31.5" hidden="1" spans="1:10">
      <c r="A29" s="273" t="s">
        <v>54</v>
      </c>
      <c r="B29" s="273" t="s">
        <v>55</v>
      </c>
      <c r="C29" s="274">
        <v>3700</v>
      </c>
      <c r="D29" s="273" t="s">
        <v>167</v>
      </c>
      <c r="E29" s="273" t="s">
        <v>168</v>
      </c>
      <c r="F29" s="273" t="s">
        <v>120</v>
      </c>
      <c r="G29" s="273" t="s">
        <v>121</v>
      </c>
      <c r="H29" s="275">
        <v>37</v>
      </c>
      <c r="I29" s="275"/>
      <c r="J29" s="270" t="s">
        <v>169</v>
      </c>
    </row>
    <row r="30" ht="31.5" hidden="1" spans="1:10">
      <c r="A30" s="273" t="s">
        <v>54</v>
      </c>
      <c r="B30" s="273" t="s">
        <v>55</v>
      </c>
      <c r="C30" s="274">
        <v>3800</v>
      </c>
      <c r="D30" s="273" t="s">
        <v>170</v>
      </c>
      <c r="E30" s="273" t="s">
        <v>171</v>
      </c>
      <c r="F30" s="273" t="s">
        <v>120</v>
      </c>
      <c r="G30" s="273" t="s">
        <v>121</v>
      </c>
      <c r="H30" s="275">
        <v>38</v>
      </c>
      <c r="I30" s="275"/>
      <c r="J30" s="270" t="s">
        <v>172</v>
      </c>
    </row>
    <row r="31" hidden="1" spans="1:10">
      <c r="A31" s="273" t="s">
        <v>54</v>
      </c>
      <c r="B31" s="273" t="s">
        <v>55</v>
      </c>
      <c r="C31" s="274">
        <v>3900</v>
      </c>
      <c r="D31" s="273" t="s">
        <v>173</v>
      </c>
      <c r="E31" s="273" t="s">
        <v>174</v>
      </c>
      <c r="F31" s="273" t="s">
        <v>125</v>
      </c>
      <c r="G31" s="273" t="s">
        <v>126</v>
      </c>
      <c r="H31" s="275">
        <v>39</v>
      </c>
      <c r="I31" s="275"/>
      <c r="J31" s="270" t="s">
        <v>175</v>
      </c>
    </row>
    <row r="32" hidden="1" spans="1:10">
      <c r="A32" s="273" t="s">
        <v>54</v>
      </c>
      <c r="B32" s="273" t="s">
        <v>55</v>
      </c>
      <c r="C32" s="274">
        <v>4000</v>
      </c>
      <c r="D32" s="273" t="s">
        <v>176</v>
      </c>
      <c r="E32" s="273" t="s">
        <v>177</v>
      </c>
      <c r="F32" s="273" t="s">
        <v>125</v>
      </c>
      <c r="G32" s="273" t="s">
        <v>126</v>
      </c>
      <c r="H32" s="275">
        <v>40</v>
      </c>
      <c r="I32" s="275"/>
      <c r="J32" s="270" t="s">
        <v>178</v>
      </c>
    </row>
    <row r="33" hidden="1" spans="1:10">
      <c r="A33" s="273" t="s">
        <v>54</v>
      </c>
      <c r="B33" s="273" t="s">
        <v>55</v>
      </c>
      <c r="C33" s="274">
        <v>4100</v>
      </c>
      <c r="D33" s="273" t="s">
        <v>179</v>
      </c>
      <c r="E33" s="273" t="s">
        <v>180</v>
      </c>
      <c r="F33" s="273" t="s">
        <v>125</v>
      </c>
      <c r="G33" s="273" t="s">
        <v>126</v>
      </c>
      <c r="H33" s="275">
        <v>41</v>
      </c>
      <c r="I33" s="275"/>
      <c r="J33" s="270" t="s">
        <v>181</v>
      </c>
    </row>
    <row r="34" hidden="1" spans="1:10">
      <c r="A34" s="273" t="s">
        <v>54</v>
      </c>
      <c r="B34" s="273" t="s">
        <v>55</v>
      </c>
      <c r="C34" s="274">
        <v>4200</v>
      </c>
      <c r="D34" s="273" t="s">
        <v>182</v>
      </c>
      <c r="E34" s="273" t="s">
        <v>183</v>
      </c>
      <c r="F34" s="273" t="s">
        <v>125</v>
      </c>
      <c r="G34" s="273" t="s">
        <v>126</v>
      </c>
      <c r="H34" s="275">
        <v>42</v>
      </c>
      <c r="I34" s="275"/>
      <c r="J34" s="270" t="s">
        <v>184</v>
      </c>
    </row>
    <row r="35" hidden="1" spans="1:10">
      <c r="A35" s="273" t="s">
        <v>54</v>
      </c>
      <c r="B35" s="273" t="s">
        <v>55</v>
      </c>
      <c r="C35" s="274">
        <v>4300</v>
      </c>
      <c r="D35" s="273" t="s">
        <v>185</v>
      </c>
      <c r="E35" s="273" t="s">
        <v>186</v>
      </c>
      <c r="F35" s="273" t="s">
        <v>125</v>
      </c>
      <c r="G35" s="273" t="s">
        <v>126</v>
      </c>
      <c r="H35" s="275">
        <v>43</v>
      </c>
      <c r="I35" s="275"/>
      <c r="J35" s="270" t="s">
        <v>187</v>
      </c>
    </row>
    <row r="36" hidden="1" spans="1:10">
      <c r="A36" s="273" t="s">
        <v>54</v>
      </c>
      <c r="B36" s="273" t="s">
        <v>55</v>
      </c>
      <c r="C36" s="274">
        <v>4400</v>
      </c>
      <c r="D36" s="273" t="s">
        <v>188</v>
      </c>
      <c r="E36" s="273" t="s">
        <v>189</v>
      </c>
      <c r="F36" s="273" t="s">
        <v>125</v>
      </c>
      <c r="G36" s="273" t="s">
        <v>126</v>
      </c>
      <c r="H36" s="275">
        <v>44</v>
      </c>
      <c r="I36" s="275"/>
      <c r="J36" s="270" t="s">
        <v>190</v>
      </c>
    </row>
    <row r="37" ht="63" hidden="1" spans="1:10">
      <c r="A37" s="273" t="s">
        <v>54</v>
      </c>
      <c r="B37" s="273" t="s">
        <v>55</v>
      </c>
      <c r="C37" s="274">
        <v>4500</v>
      </c>
      <c r="D37" s="273" t="s">
        <v>191</v>
      </c>
      <c r="E37" s="273" t="s">
        <v>192</v>
      </c>
      <c r="F37" s="273" t="s">
        <v>112</v>
      </c>
      <c r="G37" s="273" t="s">
        <v>113</v>
      </c>
      <c r="H37" s="275">
        <v>45</v>
      </c>
      <c r="I37" s="275" t="s">
        <v>65</v>
      </c>
      <c r="J37" s="270" t="s">
        <v>193</v>
      </c>
    </row>
    <row r="38" hidden="1" spans="1:10">
      <c r="A38" s="273" t="s">
        <v>54</v>
      </c>
      <c r="B38" s="273" t="s">
        <v>55</v>
      </c>
      <c r="C38" s="274">
        <v>4600</v>
      </c>
      <c r="D38" s="273" t="s">
        <v>194</v>
      </c>
      <c r="E38" s="273" t="s">
        <v>195</v>
      </c>
      <c r="F38" s="273" t="s">
        <v>125</v>
      </c>
      <c r="G38" s="273" t="s">
        <v>126</v>
      </c>
      <c r="H38" s="275">
        <v>46</v>
      </c>
      <c r="I38" s="275" t="s">
        <v>65</v>
      </c>
      <c r="J38" s="270" t="s">
        <v>196</v>
      </c>
    </row>
    <row r="39" ht="31.5" hidden="1" spans="1:10">
      <c r="A39" s="273" t="s">
        <v>54</v>
      </c>
      <c r="B39" s="273" t="s">
        <v>55</v>
      </c>
      <c r="C39" s="274">
        <v>4700</v>
      </c>
      <c r="D39" s="273" t="s">
        <v>197</v>
      </c>
      <c r="E39" s="273" t="s">
        <v>198</v>
      </c>
      <c r="F39" s="273" t="s">
        <v>125</v>
      </c>
      <c r="G39" s="273" t="s">
        <v>126</v>
      </c>
      <c r="H39" s="275">
        <v>47</v>
      </c>
      <c r="I39" s="275"/>
      <c r="J39" s="270" t="s">
        <v>199</v>
      </c>
    </row>
    <row r="40" ht="63" hidden="1" spans="1:10">
      <c r="A40" s="273" t="s">
        <v>54</v>
      </c>
      <c r="B40" s="273" t="s">
        <v>55</v>
      </c>
      <c r="C40" s="274">
        <v>4800</v>
      </c>
      <c r="D40" s="273" t="s">
        <v>200</v>
      </c>
      <c r="E40" s="273" t="s">
        <v>201</v>
      </c>
      <c r="F40" s="273" t="s">
        <v>125</v>
      </c>
      <c r="G40" s="273" t="s">
        <v>126</v>
      </c>
      <c r="H40" s="275">
        <v>48</v>
      </c>
      <c r="I40" s="275"/>
      <c r="J40" s="270" t="s">
        <v>202</v>
      </c>
    </row>
    <row r="41" ht="42" hidden="1" spans="1:10">
      <c r="A41" s="273" t="s">
        <v>54</v>
      </c>
      <c r="B41" s="273" t="s">
        <v>55</v>
      </c>
      <c r="C41" s="274">
        <v>4900</v>
      </c>
      <c r="D41" s="273" t="s">
        <v>203</v>
      </c>
      <c r="E41" s="273" t="s">
        <v>204</v>
      </c>
      <c r="F41" s="273" t="s">
        <v>125</v>
      </c>
      <c r="G41" s="273" t="s">
        <v>126</v>
      </c>
      <c r="H41" s="275">
        <v>49</v>
      </c>
      <c r="I41" s="275"/>
      <c r="J41" s="270" t="s">
        <v>205</v>
      </c>
    </row>
    <row r="42" ht="42" hidden="1" spans="1:10">
      <c r="A42" s="273" t="s">
        <v>54</v>
      </c>
      <c r="B42" s="273" t="s">
        <v>55</v>
      </c>
      <c r="C42" s="274">
        <v>5000</v>
      </c>
      <c r="D42" s="273" t="s">
        <v>206</v>
      </c>
      <c r="E42" s="273" t="s">
        <v>207</v>
      </c>
      <c r="F42" s="273" t="s">
        <v>112</v>
      </c>
      <c r="G42" s="273" t="s">
        <v>113</v>
      </c>
      <c r="H42" s="275">
        <v>50</v>
      </c>
      <c r="I42" s="275"/>
      <c r="J42" s="270" t="s">
        <v>208</v>
      </c>
    </row>
    <row r="43" ht="84" hidden="1" spans="1:10">
      <c r="A43" s="273" t="s">
        <v>54</v>
      </c>
      <c r="B43" s="273" t="s">
        <v>55</v>
      </c>
      <c r="C43" s="274">
        <v>5100</v>
      </c>
      <c r="D43" s="273" t="s">
        <v>209</v>
      </c>
      <c r="E43" s="273" t="s">
        <v>210</v>
      </c>
      <c r="F43" s="273" t="s">
        <v>130</v>
      </c>
      <c r="G43" s="273" t="s">
        <v>131</v>
      </c>
      <c r="H43" s="275">
        <v>51</v>
      </c>
      <c r="I43" s="275"/>
      <c r="J43" s="270" t="s">
        <v>211</v>
      </c>
    </row>
    <row r="44" ht="73.5" hidden="1" spans="1:10">
      <c r="A44" s="273" t="s">
        <v>54</v>
      </c>
      <c r="B44" s="273" t="s">
        <v>55</v>
      </c>
      <c r="C44" s="274">
        <v>5200</v>
      </c>
      <c r="D44" s="273" t="s">
        <v>212</v>
      </c>
      <c r="E44" s="273" t="s">
        <v>213</v>
      </c>
      <c r="F44" s="273" t="s">
        <v>130</v>
      </c>
      <c r="G44" s="273" t="s">
        <v>131</v>
      </c>
      <c r="H44" s="275">
        <v>52</v>
      </c>
      <c r="I44" s="275" t="s">
        <v>65</v>
      </c>
      <c r="J44" s="270" t="s">
        <v>214</v>
      </c>
    </row>
    <row r="45" ht="52.5" hidden="1" spans="1:10">
      <c r="A45" s="273" t="s">
        <v>54</v>
      </c>
      <c r="B45" s="273" t="s">
        <v>55</v>
      </c>
      <c r="C45" s="274">
        <v>5300</v>
      </c>
      <c r="D45" s="273" t="s">
        <v>215</v>
      </c>
      <c r="E45" s="273" t="s">
        <v>216</v>
      </c>
      <c r="F45" s="273" t="s">
        <v>112</v>
      </c>
      <c r="G45" s="273" t="s">
        <v>113</v>
      </c>
      <c r="H45" s="275">
        <v>53</v>
      </c>
      <c r="I45" s="275" t="s">
        <v>65</v>
      </c>
      <c r="J45" s="270" t="s">
        <v>217</v>
      </c>
    </row>
    <row r="46" ht="21" hidden="1" spans="1:10">
      <c r="A46" s="273" t="s">
        <v>54</v>
      </c>
      <c r="B46" s="273" t="s">
        <v>55</v>
      </c>
      <c r="C46" s="274">
        <v>5400</v>
      </c>
      <c r="D46" s="273" t="s">
        <v>218</v>
      </c>
      <c r="E46" s="273" t="s">
        <v>219</v>
      </c>
      <c r="F46" s="273" t="s">
        <v>58</v>
      </c>
      <c r="G46" s="273" t="s">
        <v>220</v>
      </c>
      <c r="H46" s="275">
        <v>54</v>
      </c>
      <c r="I46" s="275"/>
      <c r="J46" s="270" t="s">
        <v>221</v>
      </c>
    </row>
    <row r="47" ht="21" hidden="1" spans="1:10">
      <c r="A47" s="273" t="s">
        <v>54</v>
      </c>
      <c r="B47" s="273" t="s">
        <v>55</v>
      </c>
      <c r="C47" s="274">
        <v>5500</v>
      </c>
      <c r="D47" s="273" t="s">
        <v>222</v>
      </c>
      <c r="E47" s="273" t="s">
        <v>223</v>
      </c>
      <c r="F47" s="273" t="s">
        <v>58</v>
      </c>
      <c r="G47" s="273" t="s">
        <v>220</v>
      </c>
      <c r="H47" s="275">
        <v>55</v>
      </c>
      <c r="I47" s="275"/>
      <c r="J47" s="270" t="s">
        <v>221</v>
      </c>
    </row>
    <row r="48" ht="21" hidden="1" spans="1:10">
      <c r="A48" s="273" t="s">
        <v>54</v>
      </c>
      <c r="B48" s="273" t="s">
        <v>55</v>
      </c>
      <c r="C48" s="274">
        <v>5600</v>
      </c>
      <c r="D48" s="273" t="s">
        <v>224</v>
      </c>
      <c r="E48" s="273" t="s">
        <v>225</v>
      </c>
      <c r="F48" s="273" t="s">
        <v>58</v>
      </c>
      <c r="G48" s="273" t="s">
        <v>220</v>
      </c>
      <c r="H48" s="275">
        <v>56</v>
      </c>
      <c r="I48" s="275"/>
      <c r="J48" s="270" t="s">
        <v>221</v>
      </c>
    </row>
    <row r="49" ht="21" hidden="1" spans="1:10">
      <c r="A49" s="273" t="s">
        <v>54</v>
      </c>
      <c r="B49" s="273" t="s">
        <v>55</v>
      </c>
      <c r="C49" s="274">
        <v>5700</v>
      </c>
      <c r="D49" s="273" t="s">
        <v>226</v>
      </c>
      <c r="E49" s="273" t="s">
        <v>227</v>
      </c>
      <c r="F49" s="273" t="s">
        <v>58</v>
      </c>
      <c r="G49" s="273" t="s">
        <v>220</v>
      </c>
      <c r="H49" s="275">
        <v>57</v>
      </c>
      <c r="I49" s="275"/>
      <c r="J49" s="270" t="s">
        <v>221</v>
      </c>
    </row>
    <row r="50" ht="21" hidden="1" spans="1:10">
      <c r="A50" s="273" t="s">
        <v>54</v>
      </c>
      <c r="B50" s="273" t="s">
        <v>55</v>
      </c>
      <c r="C50" s="274">
        <v>5800</v>
      </c>
      <c r="D50" s="273" t="s">
        <v>228</v>
      </c>
      <c r="E50" s="273" t="s">
        <v>229</v>
      </c>
      <c r="F50" s="273" t="s">
        <v>58</v>
      </c>
      <c r="G50" s="273" t="s">
        <v>220</v>
      </c>
      <c r="H50" s="275">
        <v>58</v>
      </c>
      <c r="I50" s="275"/>
      <c r="J50" s="270" t="s">
        <v>221</v>
      </c>
    </row>
    <row r="51" ht="21" hidden="1" spans="1:10">
      <c r="A51" s="273" t="s">
        <v>54</v>
      </c>
      <c r="B51" s="273" t="s">
        <v>55</v>
      </c>
      <c r="C51" s="274">
        <v>5900</v>
      </c>
      <c r="D51" s="273" t="s">
        <v>230</v>
      </c>
      <c r="E51" s="273" t="s">
        <v>231</v>
      </c>
      <c r="F51" s="273" t="s">
        <v>58</v>
      </c>
      <c r="G51" s="273" t="s">
        <v>220</v>
      </c>
      <c r="H51" s="275">
        <v>59</v>
      </c>
      <c r="I51" s="275"/>
      <c r="J51" s="270" t="s">
        <v>221</v>
      </c>
    </row>
    <row r="52" ht="21" hidden="1" spans="1:10">
      <c r="A52" s="273" t="s">
        <v>54</v>
      </c>
      <c r="B52" s="273" t="s">
        <v>55</v>
      </c>
      <c r="C52" s="274">
        <v>6000</v>
      </c>
      <c r="D52" s="273" t="s">
        <v>232</v>
      </c>
      <c r="E52" s="273" t="s">
        <v>233</v>
      </c>
      <c r="F52" s="273" t="s">
        <v>58</v>
      </c>
      <c r="G52" s="273" t="s">
        <v>220</v>
      </c>
      <c r="H52" s="275">
        <v>60</v>
      </c>
      <c r="I52" s="275"/>
      <c r="J52" s="270" t="s">
        <v>221</v>
      </c>
    </row>
    <row r="53" ht="21" hidden="1" spans="1:10">
      <c r="A53" s="273" t="s">
        <v>54</v>
      </c>
      <c r="B53" s="273" t="s">
        <v>55</v>
      </c>
      <c r="C53" s="274">
        <v>6100</v>
      </c>
      <c r="D53" s="273" t="s">
        <v>234</v>
      </c>
      <c r="E53" s="273" t="s">
        <v>235</v>
      </c>
      <c r="F53" s="273" t="s">
        <v>58</v>
      </c>
      <c r="G53" s="273" t="s">
        <v>220</v>
      </c>
      <c r="H53" s="275">
        <v>61</v>
      </c>
      <c r="I53" s="275"/>
      <c r="J53" s="270" t="s">
        <v>221</v>
      </c>
    </row>
    <row r="54" ht="21" hidden="1" spans="1:10">
      <c r="A54" s="273" t="s">
        <v>54</v>
      </c>
      <c r="B54" s="273" t="s">
        <v>55</v>
      </c>
      <c r="C54" s="274">
        <v>6200</v>
      </c>
      <c r="D54" s="273" t="s">
        <v>236</v>
      </c>
      <c r="E54" s="273" t="s">
        <v>237</v>
      </c>
      <c r="F54" s="273" t="s">
        <v>58</v>
      </c>
      <c r="G54" s="273" t="s">
        <v>220</v>
      </c>
      <c r="H54" s="275">
        <v>62</v>
      </c>
      <c r="I54" s="275"/>
      <c r="J54" s="270" t="s">
        <v>221</v>
      </c>
    </row>
    <row r="55" hidden="1" spans="1:10">
      <c r="A55" s="273" t="s">
        <v>54</v>
      </c>
      <c r="B55" s="273" t="s">
        <v>55</v>
      </c>
      <c r="C55" s="274">
        <v>6300</v>
      </c>
      <c r="D55" s="273" t="s">
        <v>238</v>
      </c>
      <c r="E55" s="273" t="s">
        <v>239</v>
      </c>
      <c r="F55" s="273" t="s">
        <v>240</v>
      </c>
      <c r="G55" s="273" t="s">
        <v>241</v>
      </c>
      <c r="H55" s="275">
        <v>63</v>
      </c>
      <c r="I55" s="275"/>
      <c r="J55" s="270" t="s">
        <v>4</v>
      </c>
    </row>
    <row r="56" ht="73.5" hidden="1" spans="1:10">
      <c r="A56" s="273" t="s">
        <v>242</v>
      </c>
      <c r="B56" s="273" t="s">
        <v>243</v>
      </c>
      <c r="C56" s="274">
        <v>6600</v>
      </c>
      <c r="D56" s="273" t="s">
        <v>56</v>
      </c>
      <c r="E56" s="273" t="s">
        <v>57</v>
      </c>
      <c r="F56" s="273" t="s">
        <v>58</v>
      </c>
      <c r="G56" s="273" t="s">
        <v>59</v>
      </c>
      <c r="H56" s="275">
        <v>66</v>
      </c>
      <c r="I56" s="275" t="s">
        <v>65</v>
      </c>
      <c r="J56" s="270" t="s">
        <v>244</v>
      </c>
    </row>
    <row r="57" ht="31.5" hidden="1" spans="1:10">
      <c r="A57" s="273" t="s">
        <v>242</v>
      </c>
      <c r="B57" s="273" t="s">
        <v>243</v>
      </c>
      <c r="C57" s="274">
        <v>6800</v>
      </c>
      <c r="D57" s="273" t="s">
        <v>245</v>
      </c>
      <c r="E57" s="273" t="s">
        <v>246</v>
      </c>
      <c r="F57" s="273" t="s">
        <v>58</v>
      </c>
      <c r="G57" s="273" t="s">
        <v>59</v>
      </c>
      <c r="H57" s="275">
        <v>68</v>
      </c>
      <c r="I57" s="275" t="s">
        <v>65</v>
      </c>
      <c r="J57" s="270" t="s">
        <v>247</v>
      </c>
    </row>
    <row r="58" ht="21" hidden="1" spans="1:10">
      <c r="A58" s="273" t="s">
        <v>242</v>
      </c>
      <c r="B58" s="273" t="s">
        <v>243</v>
      </c>
      <c r="C58" s="274">
        <v>6900</v>
      </c>
      <c r="D58" s="273" t="s">
        <v>248</v>
      </c>
      <c r="E58" s="273" t="s">
        <v>249</v>
      </c>
      <c r="F58" s="273" t="s">
        <v>112</v>
      </c>
      <c r="G58" s="273" t="s">
        <v>113</v>
      </c>
      <c r="H58" s="275">
        <v>69</v>
      </c>
      <c r="I58" s="275" t="s">
        <v>65</v>
      </c>
      <c r="J58" s="270" t="s">
        <v>250</v>
      </c>
    </row>
    <row r="59" ht="63" hidden="1" spans="1:10">
      <c r="A59" s="273" t="s">
        <v>251</v>
      </c>
      <c r="B59" s="273" t="s">
        <v>252</v>
      </c>
      <c r="C59" s="274">
        <v>7200</v>
      </c>
      <c r="D59" s="273" t="s">
        <v>56</v>
      </c>
      <c r="E59" s="273" t="s">
        <v>57</v>
      </c>
      <c r="F59" s="273" t="s">
        <v>58</v>
      </c>
      <c r="G59" s="273" t="s">
        <v>59</v>
      </c>
      <c r="H59" s="275">
        <v>72</v>
      </c>
      <c r="I59" s="275" t="s">
        <v>65</v>
      </c>
      <c r="J59" s="270" t="s">
        <v>253</v>
      </c>
    </row>
    <row r="60" ht="42" hidden="1" spans="1:10">
      <c r="A60" s="273" t="s">
        <v>251</v>
      </c>
      <c r="B60" s="273" t="s">
        <v>252</v>
      </c>
      <c r="C60" s="274">
        <v>7400</v>
      </c>
      <c r="D60" s="273" t="s">
        <v>254</v>
      </c>
      <c r="E60" s="273" t="s">
        <v>255</v>
      </c>
      <c r="F60" s="273" t="s">
        <v>58</v>
      </c>
      <c r="G60" s="273" t="s">
        <v>59</v>
      </c>
      <c r="H60" s="275">
        <v>74</v>
      </c>
      <c r="I60" s="275" t="s">
        <v>65</v>
      </c>
      <c r="J60" s="270" t="s">
        <v>256</v>
      </c>
    </row>
    <row r="61" ht="31.5" hidden="1" spans="1:10">
      <c r="A61" s="273" t="s">
        <v>251</v>
      </c>
      <c r="B61" s="273" t="s">
        <v>252</v>
      </c>
      <c r="C61" s="274">
        <v>7500</v>
      </c>
      <c r="D61" s="273" t="s">
        <v>257</v>
      </c>
      <c r="E61" s="273" t="s">
        <v>258</v>
      </c>
      <c r="F61" s="273" t="s">
        <v>112</v>
      </c>
      <c r="G61" s="273" t="s">
        <v>113</v>
      </c>
      <c r="H61" s="275">
        <v>75</v>
      </c>
      <c r="I61" s="275" t="s">
        <v>65</v>
      </c>
      <c r="J61" s="270" t="s">
        <v>259</v>
      </c>
    </row>
    <row r="62" ht="21" hidden="1" spans="1:10">
      <c r="A62" s="273" t="s">
        <v>260</v>
      </c>
      <c r="B62" s="273" t="s">
        <v>261</v>
      </c>
      <c r="C62" s="274">
        <v>7800</v>
      </c>
      <c r="D62" s="273" t="s">
        <v>56</v>
      </c>
      <c r="E62" s="273" t="s">
        <v>57</v>
      </c>
      <c r="F62" s="273" t="s">
        <v>58</v>
      </c>
      <c r="G62" s="273" t="s">
        <v>59</v>
      </c>
      <c r="H62" s="275">
        <v>78</v>
      </c>
      <c r="I62" s="275"/>
      <c r="J62" s="270" t="s">
        <v>60</v>
      </c>
    </row>
    <row r="63" ht="52.5" hidden="1" spans="1:10">
      <c r="A63" s="273" t="s">
        <v>260</v>
      </c>
      <c r="B63" s="273" t="s">
        <v>261</v>
      </c>
      <c r="C63" s="274">
        <v>8000</v>
      </c>
      <c r="D63" s="273" t="s">
        <v>61</v>
      </c>
      <c r="E63" s="273" t="s">
        <v>62</v>
      </c>
      <c r="F63" s="273" t="s">
        <v>63</v>
      </c>
      <c r="G63" s="273" t="s">
        <v>64</v>
      </c>
      <c r="H63" s="275">
        <v>80</v>
      </c>
      <c r="I63" s="275" t="s">
        <v>65</v>
      </c>
      <c r="J63" s="270" t="s">
        <v>66</v>
      </c>
    </row>
    <row r="64" ht="21" hidden="1" spans="1:10">
      <c r="A64" s="273" t="s">
        <v>260</v>
      </c>
      <c r="B64" s="273" t="s">
        <v>261</v>
      </c>
      <c r="C64" s="274">
        <v>8100</v>
      </c>
      <c r="D64" s="273" t="s">
        <v>67</v>
      </c>
      <c r="E64" s="273" t="s">
        <v>68</v>
      </c>
      <c r="F64" s="273" t="s">
        <v>63</v>
      </c>
      <c r="G64" s="273" t="s">
        <v>69</v>
      </c>
      <c r="H64" s="275">
        <v>81</v>
      </c>
      <c r="I64" s="275"/>
      <c r="J64" s="270" t="s">
        <v>70</v>
      </c>
    </row>
    <row r="65" hidden="1" spans="1:10">
      <c r="A65" s="273" t="s">
        <v>260</v>
      </c>
      <c r="B65" s="273" t="s">
        <v>261</v>
      </c>
      <c r="C65" s="274">
        <v>8200</v>
      </c>
      <c r="D65" s="273" t="s">
        <v>71</v>
      </c>
      <c r="E65" s="273" t="s">
        <v>72</v>
      </c>
      <c r="F65" s="273" t="s">
        <v>73</v>
      </c>
      <c r="G65" s="273" t="s">
        <v>74</v>
      </c>
      <c r="H65" s="275">
        <v>82</v>
      </c>
      <c r="I65" s="275" t="s">
        <v>65</v>
      </c>
      <c r="J65" s="270" t="s">
        <v>75</v>
      </c>
    </row>
    <row r="66" hidden="1" spans="1:10">
      <c r="A66" s="273" t="s">
        <v>260</v>
      </c>
      <c r="B66" s="273" t="s">
        <v>261</v>
      </c>
      <c r="C66" s="274">
        <v>8300</v>
      </c>
      <c r="D66" s="273" t="s">
        <v>76</v>
      </c>
      <c r="E66" s="273" t="s">
        <v>77</v>
      </c>
      <c r="F66" s="273" t="s">
        <v>73</v>
      </c>
      <c r="G66" s="273" t="s">
        <v>74</v>
      </c>
      <c r="H66" s="275">
        <v>83</v>
      </c>
      <c r="I66" s="275" t="s">
        <v>65</v>
      </c>
      <c r="J66" s="270" t="s">
        <v>78</v>
      </c>
    </row>
    <row r="67" ht="21" hidden="1" spans="1:10">
      <c r="A67" s="273" t="s">
        <v>260</v>
      </c>
      <c r="B67" s="273" t="s">
        <v>261</v>
      </c>
      <c r="C67" s="274">
        <v>8400</v>
      </c>
      <c r="D67" s="273" t="s">
        <v>79</v>
      </c>
      <c r="E67" s="273" t="s">
        <v>80</v>
      </c>
      <c r="F67" s="273" t="s">
        <v>81</v>
      </c>
      <c r="G67" s="273" t="s">
        <v>82</v>
      </c>
      <c r="H67" s="275">
        <v>84</v>
      </c>
      <c r="I67" s="275" t="s">
        <v>65</v>
      </c>
      <c r="J67" s="270" t="s">
        <v>83</v>
      </c>
    </row>
    <row r="68" ht="21" hidden="1" spans="1:10">
      <c r="A68" s="273" t="s">
        <v>260</v>
      </c>
      <c r="B68" s="273" t="s">
        <v>261</v>
      </c>
      <c r="C68" s="274">
        <v>111000</v>
      </c>
      <c r="D68" s="273" t="s">
        <v>84</v>
      </c>
      <c r="E68" s="273" t="s">
        <v>85</v>
      </c>
      <c r="F68" s="273" t="s">
        <v>58</v>
      </c>
      <c r="G68" s="273" t="s">
        <v>86</v>
      </c>
      <c r="H68" s="275">
        <v>1423</v>
      </c>
      <c r="I68" s="275"/>
      <c r="J68" s="270" t="s">
        <v>87</v>
      </c>
    </row>
    <row r="69" ht="21" hidden="1" spans="1:10">
      <c r="A69" s="273" t="s">
        <v>260</v>
      </c>
      <c r="B69" s="273" t="s">
        <v>261</v>
      </c>
      <c r="C69" s="274">
        <v>111100</v>
      </c>
      <c r="D69" s="273" t="s">
        <v>88</v>
      </c>
      <c r="E69" s="273" t="s">
        <v>89</v>
      </c>
      <c r="F69" s="273" t="s">
        <v>63</v>
      </c>
      <c r="G69" s="273" t="s">
        <v>90</v>
      </c>
      <c r="H69" s="275">
        <v>1424</v>
      </c>
      <c r="I69" s="275"/>
      <c r="J69" s="270" t="s">
        <v>91</v>
      </c>
    </row>
    <row r="70" hidden="1" spans="1:10">
      <c r="A70" s="273" t="s">
        <v>260</v>
      </c>
      <c r="B70" s="273" t="s">
        <v>261</v>
      </c>
      <c r="C70" s="274">
        <v>8500</v>
      </c>
      <c r="D70" s="273" t="s">
        <v>92</v>
      </c>
      <c r="E70" s="273" t="s">
        <v>93</v>
      </c>
      <c r="F70" s="273" t="s">
        <v>73</v>
      </c>
      <c r="G70" s="273" t="s">
        <v>94</v>
      </c>
      <c r="H70" s="275">
        <v>85</v>
      </c>
      <c r="I70" s="275"/>
      <c r="J70" s="270" t="s">
        <v>95</v>
      </c>
    </row>
    <row r="71" hidden="1" spans="1:10">
      <c r="A71" s="273" t="s">
        <v>260</v>
      </c>
      <c r="B71" s="273" t="s">
        <v>261</v>
      </c>
      <c r="C71" s="274">
        <v>8600</v>
      </c>
      <c r="D71" s="273" t="s">
        <v>96</v>
      </c>
      <c r="E71" s="273" t="s">
        <v>97</v>
      </c>
      <c r="F71" s="273" t="s">
        <v>63</v>
      </c>
      <c r="G71" s="273" t="s">
        <v>69</v>
      </c>
      <c r="H71" s="275">
        <v>86</v>
      </c>
      <c r="I71" s="275"/>
      <c r="J71" s="270" t="s">
        <v>98</v>
      </c>
    </row>
    <row r="72" hidden="1" spans="1:10">
      <c r="A72" s="273" t="s">
        <v>260</v>
      </c>
      <c r="B72" s="273" t="s">
        <v>261</v>
      </c>
      <c r="C72" s="274">
        <v>8700</v>
      </c>
      <c r="D72" s="273" t="s">
        <v>99</v>
      </c>
      <c r="E72" s="273" t="s">
        <v>100</v>
      </c>
      <c r="F72" s="273" t="s">
        <v>101</v>
      </c>
      <c r="G72" s="273" t="s">
        <v>102</v>
      </c>
      <c r="H72" s="275">
        <v>87</v>
      </c>
      <c r="I72" s="275" t="s">
        <v>65</v>
      </c>
      <c r="J72" s="270" t="s">
        <v>103</v>
      </c>
    </row>
    <row r="73" hidden="1" spans="1:10">
      <c r="A73" s="273" t="s">
        <v>260</v>
      </c>
      <c r="B73" s="273" t="s">
        <v>261</v>
      </c>
      <c r="C73" s="274">
        <v>8800</v>
      </c>
      <c r="D73" s="273" t="s">
        <v>104</v>
      </c>
      <c r="E73" s="273" t="s">
        <v>105</v>
      </c>
      <c r="F73" s="273" t="s">
        <v>63</v>
      </c>
      <c r="G73" s="273" t="s">
        <v>69</v>
      </c>
      <c r="H73" s="275">
        <v>88</v>
      </c>
      <c r="I73" s="275"/>
      <c r="J73" s="270" t="s">
        <v>106</v>
      </c>
    </row>
    <row r="74" hidden="1" spans="1:10">
      <c r="A74" s="273" t="s">
        <v>260</v>
      </c>
      <c r="B74" s="273" t="s">
        <v>261</v>
      </c>
      <c r="C74" s="274">
        <v>8900</v>
      </c>
      <c r="D74" s="273" t="s">
        <v>107</v>
      </c>
      <c r="E74" s="273" t="s">
        <v>108</v>
      </c>
      <c r="F74" s="273" t="s">
        <v>63</v>
      </c>
      <c r="G74" s="273" t="s">
        <v>69</v>
      </c>
      <c r="H74" s="275">
        <v>89</v>
      </c>
      <c r="I74" s="275"/>
      <c r="J74" s="270" t="s">
        <v>109</v>
      </c>
    </row>
    <row r="75" ht="31.5" hidden="1" spans="1:10">
      <c r="A75" s="273" t="s">
        <v>260</v>
      </c>
      <c r="B75" s="273" t="s">
        <v>261</v>
      </c>
      <c r="C75" s="274">
        <v>9000</v>
      </c>
      <c r="D75" s="273" t="s">
        <v>110</v>
      </c>
      <c r="E75" s="273" t="s">
        <v>111</v>
      </c>
      <c r="F75" s="273" t="s">
        <v>112</v>
      </c>
      <c r="G75" s="273" t="s">
        <v>113</v>
      </c>
      <c r="H75" s="275">
        <v>90</v>
      </c>
      <c r="I75" s="275"/>
      <c r="J75" s="270" t="s">
        <v>114</v>
      </c>
    </row>
    <row r="76" ht="73.5" hidden="1" spans="1:10">
      <c r="A76" s="273" t="s">
        <v>260</v>
      </c>
      <c r="B76" s="273" t="s">
        <v>261</v>
      </c>
      <c r="C76" s="274">
        <v>9100</v>
      </c>
      <c r="D76" s="273" t="s">
        <v>115</v>
      </c>
      <c r="E76" s="273" t="s">
        <v>116</v>
      </c>
      <c r="F76" s="273" t="s">
        <v>63</v>
      </c>
      <c r="G76" s="273" t="s">
        <v>69</v>
      </c>
      <c r="H76" s="275">
        <v>91</v>
      </c>
      <c r="I76" s="275"/>
      <c r="J76" s="270" t="s">
        <v>117</v>
      </c>
    </row>
    <row r="77" hidden="1" spans="1:10">
      <c r="A77" s="273" t="s">
        <v>260</v>
      </c>
      <c r="B77" s="273" t="s">
        <v>261</v>
      </c>
      <c r="C77" s="274">
        <v>9200</v>
      </c>
      <c r="D77" s="273" t="s">
        <v>118</v>
      </c>
      <c r="E77" s="273" t="s">
        <v>119</v>
      </c>
      <c r="F77" s="273" t="s">
        <v>120</v>
      </c>
      <c r="G77" s="273" t="s">
        <v>121</v>
      </c>
      <c r="H77" s="275">
        <v>92</v>
      </c>
      <c r="I77" s="275"/>
      <c r="J77" s="270" t="s">
        <v>122</v>
      </c>
    </row>
    <row r="78" hidden="1" spans="1:10">
      <c r="A78" s="273" t="s">
        <v>260</v>
      </c>
      <c r="B78" s="273" t="s">
        <v>261</v>
      </c>
      <c r="C78" s="274">
        <v>111200</v>
      </c>
      <c r="D78" s="273" t="s">
        <v>123</v>
      </c>
      <c r="E78" s="273" t="s">
        <v>124</v>
      </c>
      <c r="F78" s="273" t="s">
        <v>125</v>
      </c>
      <c r="G78" s="273" t="s">
        <v>126</v>
      </c>
      <c r="H78" s="275">
        <v>1425</v>
      </c>
      <c r="I78" s="275"/>
      <c r="J78" s="270" t="s">
        <v>127</v>
      </c>
    </row>
    <row r="79" ht="63" hidden="1" spans="1:10">
      <c r="A79" s="273" t="s">
        <v>260</v>
      </c>
      <c r="B79" s="273" t="s">
        <v>261</v>
      </c>
      <c r="C79" s="274">
        <v>9700</v>
      </c>
      <c r="D79" s="273" t="s">
        <v>128</v>
      </c>
      <c r="E79" s="273" t="s">
        <v>129</v>
      </c>
      <c r="F79" s="273" t="s">
        <v>130</v>
      </c>
      <c r="G79" s="273" t="s">
        <v>131</v>
      </c>
      <c r="H79" s="275">
        <v>97</v>
      </c>
      <c r="I79" s="275"/>
      <c r="J79" s="270" t="s">
        <v>132</v>
      </c>
    </row>
    <row r="80" ht="52.5" hidden="1" spans="1:10">
      <c r="A80" s="273" t="s">
        <v>260</v>
      </c>
      <c r="B80" s="273" t="s">
        <v>261</v>
      </c>
      <c r="C80" s="274">
        <v>9800</v>
      </c>
      <c r="D80" s="273" t="s">
        <v>133</v>
      </c>
      <c r="E80" s="273" t="s">
        <v>134</v>
      </c>
      <c r="F80" s="273" t="s">
        <v>130</v>
      </c>
      <c r="G80" s="273" t="s">
        <v>131</v>
      </c>
      <c r="H80" s="275">
        <v>98</v>
      </c>
      <c r="I80" s="275" t="s">
        <v>65</v>
      </c>
      <c r="J80" s="270" t="s">
        <v>135</v>
      </c>
    </row>
    <row r="81" ht="21" hidden="1" spans="1:10">
      <c r="A81" s="273" t="s">
        <v>260</v>
      </c>
      <c r="B81" s="273" t="s">
        <v>261</v>
      </c>
      <c r="C81" s="274">
        <v>9900</v>
      </c>
      <c r="D81" s="273" t="s">
        <v>136</v>
      </c>
      <c r="E81" s="273" t="s">
        <v>137</v>
      </c>
      <c r="F81" s="273" t="s">
        <v>112</v>
      </c>
      <c r="G81" s="273" t="s">
        <v>113</v>
      </c>
      <c r="H81" s="275">
        <v>99</v>
      </c>
      <c r="I81" s="275" t="s">
        <v>65</v>
      </c>
      <c r="J81" s="270" t="s">
        <v>138</v>
      </c>
    </row>
    <row r="82" ht="21" hidden="1" spans="1:10">
      <c r="A82" s="273" t="s">
        <v>260</v>
      </c>
      <c r="B82" s="273" t="s">
        <v>261</v>
      </c>
      <c r="C82" s="274">
        <v>10000</v>
      </c>
      <c r="D82" s="273" t="s">
        <v>139</v>
      </c>
      <c r="E82" s="273" t="s">
        <v>140</v>
      </c>
      <c r="F82" s="273" t="s">
        <v>63</v>
      </c>
      <c r="G82" s="273" t="s">
        <v>141</v>
      </c>
      <c r="H82" s="275">
        <v>100</v>
      </c>
      <c r="I82" s="275"/>
      <c r="J82" s="270" t="s">
        <v>142</v>
      </c>
    </row>
    <row r="83" ht="31.5" hidden="1" spans="1:10">
      <c r="A83" s="273" t="s">
        <v>260</v>
      </c>
      <c r="B83" s="273" t="s">
        <v>261</v>
      </c>
      <c r="C83" s="274">
        <v>10100</v>
      </c>
      <c r="D83" s="273" t="s">
        <v>143</v>
      </c>
      <c r="E83" s="273" t="s">
        <v>144</v>
      </c>
      <c r="F83" s="273" t="s">
        <v>145</v>
      </c>
      <c r="G83" s="273" t="s">
        <v>146</v>
      </c>
      <c r="H83" s="275">
        <v>101</v>
      </c>
      <c r="I83" s="275"/>
      <c r="J83" s="270" t="s">
        <v>262</v>
      </c>
    </row>
    <row r="84" ht="31.5" hidden="1" spans="1:10">
      <c r="A84" s="273" t="s">
        <v>260</v>
      </c>
      <c r="B84" s="273" t="s">
        <v>261</v>
      </c>
      <c r="C84" s="274">
        <v>10200</v>
      </c>
      <c r="D84" s="273" t="s">
        <v>263</v>
      </c>
      <c r="E84" s="273" t="s">
        <v>264</v>
      </c>
      <c r="F84" s="273" t="s">
        <v>150</v>
      </c>
      <c r="G84" s="273" t="s">
        <v>151</v>
      </c>
      <c r="H84" s="275">
        <v>102</v>
      </c>
      <c r="I84" s="275"/>
      <c r="J84" s="270" t="s">
        <v>265</v>
      </c>
    </row>
    <row r="85" ht="21" hidden="1" spans="1:10">
      <c r="A85" s="273" t="s">
        <v>260</v>
      </c>
      <c r="B85" s="273" t="s">
        <v>261</v>
      </c>
      <c r="C85" s="274">
        <v>10300</v>
      </c>
      <c r="D85" s="273" t="s">
        <v>153</v>
      </c>
      <c r="E85" s="273" t="s">
        <v>154</v>
      </c>
      <c r="F85" s="273" t="s">
        <v>155</v>
      </c>
      <c r="G85" s="273" t="s">
        <v>156</v>
      </c>
      <c r="H85" s="275">
        <v>103</v>
      </c>
      <c r="I85" s="275" t="s">
        <v>65</v>
      </c>
      <c r="J85" s="270" t="s">
        <v>157</v>
      </c>
    </row>
    <row r="86" ht="73.5" hidden="1" spans="1:10">
      <c r="A86" s="273" t="s">
        <v>260</v>
      </c>
      <c r="B86" s="273" t="s">
        <v>261</v>
      </c>
      <c r="C86" s="274">
        <v>10400</v>
      </c>
      <c r="D86" s="273" t="s">
        <v>158</v>
      </c>
      <c r="E86" s="273" t="s">
        <v>159</v>
      </c>
      <c r="F86" s="273" t="s">
        <v>155</v>
      </c>
      <c r="G86" s="273" t="s">
        <v>156</v>
      </c>
      <c r="H86" s="275">
        <v>104</v>
      </c>
      <c r="I86" s="275"/>
      <c r="J86" s="270" t="s">
        <v>160</v>
      </c>
    </row>
    <row r="87" ht="21" hidden="1" spans="1:10">
      <c r="A87" s="273" t="s">
        <v>260</v>
      </c>
      <c r="B87" s="273" t="s">
        <v>261</v>
      </c>
      <c r="C87" s="274">
        <v>10500</v>
      </c>
      <c r="D87" s="273" t="s">
        <v>161</v>
      </c>
      <c r="E87" s="273" t="s">
        <v>162</v>
      </c>
      <c r="F87" s="273" t="s">
        <v>120</v>
      </c>
      <c r="G87" s="273" t="s">
        <v>121</v>
      </c>
      <c r="H87" s="275">
        <v>105</v>
      </c>
      <c r="I87" s="275"/>
      <c r="J87" s="270" t="s">
        <v>163</v>
      </c>
    </row>
    <row r="88" ht="31.5" hidden="1" spans="1:10">
      <c r="A88" s="273" t="s">
        <v>260</v>
      </c>
      <c r="B88" s="273" t="s">
        <v>261</v>
      </c>
      <c r="C88" s="274">
        <v>10600</v>
      </c>
      <c r="D88" s="273" t="s">
        <v>164</v>
      </c>
      <c r="E88" s="273" t="s">
        <v>165</v>
      </c>
      <c r="F88" s="273" t="s">
        <v>120</v>
      </c>
      <c r="G88" s="273" t="s">
        <v>121</v>
      </c>
      <c r="H88" s="275">
        <v>106</v>
      </c>
      <c r="I88" s="275"/>
      <c r="J88" s="270" t="s">
        <v>166</v>
      </c>
    </row>
    <row r="89" ht="31.5" hidden="1" spans="1:10">
      <c r="A89" s="273" t="s">
        <v>260</v>
      </c>
      <c r="B89" s="273" t="s">
        <v>261</v>
      </c>
      <c r="C89" s="274">
        <v>10700</v>
      </c>
      <c r="D89" s="273" t="s">
        <v>167</v>
      </c>
      <c r="E89" s="273" t="s">
        <v>168</v>
      </c>
      <c r="F89" s="273" t="s">
        <v>120</v>
      </c>
      <c r="G89" s="273" t="s">
        <v>121</v>
      </c>
      <c r="H89" s="275">
        <v>107</v>
      </c>
      <c r="I89" s="275"/>
      <c r="J89" s="270" t="s">
        <v>169</v>
      </c>
    </row>
    <row r="90" ht="31.5" hidden="1" spans="1:10">
      <c r="A90" s="273" t="s">
        <v>260</v>
      </c>
      <c r="B90" s="273" t="s">
        <v>261</v>
      </c>
      <c r="C90" s="274">
        <v>10800</v>
      </c>
      <c r="D90" s="273" t="s">
        <v>170</v>
      </c>
      <c r="E90" s="273" t="s">
        <v>171</v>
      </c>
      <c r="F90" s="273" t="s">
        <v>120</v>
      </c>
      <c r="G90" s="273" t="s">
        <v>121</v>
      </c>
      <c r="H90" s="275">
        <v>108</v>
      </c>
      <c r="I90" s="275"/>
      <c r="J90" s="270" t="s">
        <v>172</v>
      </c>
    </row>
    <row r="91" ht="21" hidden="1" spans="1:10">
      <c r="A91" s="273" t="s">
        <v>260</v>
      </c>
      <c r="B91" s="273" t="s">
        <v>261</v>
      </c>
      <c r="C91" s="274">
        <v>10900</v>
      </c>
      <c r="D91" s="273" t="s">
        <v>266</v>
      </c>
      <c r="E91" s="273" t="s">
        <v>267</v>
      </c>
      <c r="F91" s="273" t="s">
        <v>268</v>
      </c>
      <c r="G91" s="273" t="s">
        <v>269</v>
      </c>
      <c r="H91" s="275">
        <v>109</v>
      </c>
      <c r="I91" s="275"/>
      <c r="J91" s="270" t="s">
        <v>270</v>
      </c>
    </row>
    <row r="92" ht="31.5" hidden="1" spans="1:10">
      <c r="A92" s="273" t="s">
        <v>260</v>
      </c>
      <c r="B92" s="273" t="s">
        <v>261</v>
      </c>
      <c r="C92" s="274">
        <v>11000</v>
      </c>
      <c r="D92" s="273" t="s">
        <v>271</v>
      </c>
      <c r="E92" s="273" t="s">
        <v>272</v>
      </c>
      <c r="F92" s="273" t="s">
        <v>73</v>
      </c>
      <c r="G92" s="273" t="s">
        <v>74</v>
      </c>
      <c r="H92" s="275">
        <v>110</v>
      </c>
      <c r="I92" s="275"/>
      <c r="J92" s="270" t="s">
        <v>273</v>
      </c>
    </row>
    <row r="93" hidden="1" spans="1:10">
      <c r="A93" s="273" t="s">
        <v>260</v>
      </c>
      <c r="B93" s="273" t="s">
        <v>261</v>
      </c>
      <c r="C93" s="274">
        <v>11100</v>
      </c>
      <c r="D93" s="273" t="s">
        <v>274</v>
      </c>
      <c r="E93" s="273" t="s">
        <v>275</v>
      </c>
      <c r="F93" s="273" t="s">
        <v>125</v>
      </c>
      <c r="G93" s="273" t="s">
        <v>126</v>
      </c>
      <c r="H93" s="275">
        <v>111</v>
      </c>
      <c r="I93" s="275"/>
      <c r="J93" s="270" t="s">
        <v>276</v>
      </c>
    </row>
    <row r="94" ht="63" hidden="1" spans="1:10">
      <c r="A94" s="273" t="s">
        <v>260</v>
      </c>
      <c r="B94" s="273" t="s">
        <v>261</v>
      </c>
      <c r="C94" s="274">
        <v>11200</v>
      </c>
      <c r="D94" s="273" t="s">
        <v>191</v>
      </c>
      <c r="E94" s="273" t="s">
        <v>192</v>
      </c>
      <c r="F94" s="273" t="s">
        <v>112</v>
      </c>
      <c r="G94" s="273" t="s">
        <v>113</v>
      </c>
      <c r="H94" s="275">
        <v>112</v>
      </c>
      <c r="I94" s="275" t="s">
        <v>65</v>
      </c>
      <c r="J94" s="270" t="s">
        <v>193</v>
      </c>
    </row>
    <row r="95" hidden="1" spans="1:10">
      <c r="A95" s="273" t="s">
        <v>260</v>
      </c>
      <c r="B95" s="273" t="s">
        <v>261</v>
      </c>
      <c r="C95" s="274">
        <v>11300</v>
      </c>
      <c r="D95" s="273" t="s">
        <v>194</v>
      </c>
      <c r="E95" s="273" t="s">
        <v>195</v>
      </c>
      <c r="F95" s="273" t="s">
        <v>125</v>
      </c>
      <c r="G95" s="273" t="s">
        <v>126</v>
      </c>
      <c r="H95" s="275">
        <v>113</v>
      </c>
      <c r="I95" s="275" t="s">
        <v>65</v>
      </c>
      <c r="J95" s="270" t="s">
        <v>196</v>
      </c>
    </row>
    <row r="96" ht="31.5" hidden="1" spans="1:10">
      <c r="A96" s="273" t="s">
        <v>260</v>
      </c>
      <c r="B96" s="273" t="s">
        <v>261</v>
      </c>
      <c r="C96" s="274">
        <v>11400</v>
      </c>
      <c r="D96" s="273" t="s">
        <v>197</v>
      </c>
      <c r="E96" s="273" t="s">
        <v>198</v>
      </c>
      <c r="F96" s="273" t="s">
        <v>125</v>
      </c>
      <c r="G96" s="273" t="s">
        <v>126</v>
      </c>
      <c r="H96" s="275">
        <v>114</v>
      </c>
      <c r="I96" s="275"/>
      <c r="J96" s="270" t="s">
        <v>199</v>
      </c>
    </row>
    <row r="97" ht="63" hidden="1" spans="1:10">
      <c r="A97" s="273" t="s">
        <v>260</v>
      </c>
      <c r="B97" s="273" t="s">
        <v>261</v>
      </c>
      <c r="C97" s="274">
        <v>11500</v>
      </c>
      <c r="D97" s="273" t="s">
        <v>200</v>
      </c>
      <c r="E97" s="273" t="s">
        <v>277</v>
      </c>
      <c r="F97" s="273" t="s">
        <v>125</v>
      </c>
      <c r="G97" s="273" t="s">
        <v>126</v>
      </c>
      <c r="H97" s="275">
        <v>115</v>
      </c>
      <c r="I97" s="275"/>
      <c r="J97" s="270" t="s">
        <v>202</v>
      </c>
    </row>
    <row r="98" ht="42" hidden="1" spans="1:10">
      <c r="A98" s="273" t="s">
        <v>260</v>
      </c>
      <c r="B98" s="273" t="s">
        <v>261</v>
      </c>
      <c r="C98" s="274">
        <v>11600</v>
      </c>
      <c r="D98" s="273" t="s">
        <v>203</v>
      </c>
      <c r="E98" s="273" t="s">
        <v>278</v>
      </c>
      <c r="F98" s="273" t="s">
        <v>125</v>
      </c>
      <c r="G98" s="273" t="s">
        <v>126</v>
      </c>
      <c r="H98" s="275">
        <v>116</v>
      </c>
      <c r="I98" s="275"/>
      <c r="J98" s="270" t="s">
        <v>205</v>
      </c>
    </row>
    <row r="99" ht="42" hidden="1" spans="1:10">
      <c r="A99" s="273" t="s">
        <v>260</v>
      </c>
      <c r="B99" s="273" t="s">
        <v>261</v>
      </c>
      <c r="C99" s="274">
        <v>11700</v>
      </c>
      <c r="D99" s="273" t="s">
        <v>206</v>
      </c>
      <c r="E99" s="273" t="s">
        <v>207</v>
      </c>
      <c r="F99" s="273" t="s">
        <v>112</v>
      </c>
      <c r="G99" s="273" t="s">
        <v>113</v>
      </c>
      <c r="H99" s="275">
        <v>117</v>
      </c>
      <c r="I99" s="275"/>
      <c r="J99" s="270" t="s">
        <v>208</v>
      </c>
    </row>
    <row r="100" ht="84" hidden="1" spans="1:10">
      <c r="A100" s="273" t="s">
        <v>260</v>
      </c>
      <c r="B100" s="273" t="s">
        <v>261</v>
      </c>
      <c r="C100" s="274">
        <v>11800</v>
      </c>
      <c r="D100" s="273" t="s">
        <v>209</v>
      </c>
      <c r="E100" s="273" t="s">
        <v>210</v>
      </c>
      <c r="F100" s="273" t="s">
        <v>130</v>
      </c>
      <c r="G100" s="273" t="s">
        <v>131</v>
      </c>
      <c r="H100" s="275">
        <v>118</v>
      </c>
      <c r="I100" s="275"/>
      <c r="J100" s="270" t="s">
        <v>211</v>
      </c>
    </row>
    <row r="101" ht="73.5" hidden="1" spans="1:10">
      <c r="A101" s="273" t="s">
        <v>260</v>
      </c>
      <c r="B101" s="273" t="s">
        <v>261</v>
      </c>
      <c r="C101" s="274">
        <v>11900</v>
      </c>
      <c r="D101" s="273" t="s">
        <v>212</v>
      </c>
      <c r="E101" s="273" t="s">
        <v>213</v>
      </c>
      <c r="F101" s="273" t="s">
        <v>130</v>
      </c>
      <c r="G101" s="273" t="s">
        <v>131</v>
      </c>
      <c r="H101" s="275">
        <v>119</v>
      </c>
      <c r="I101" s="275" t="s">
        <v>65</v>
      </c>
      <c r="J101" s="270" t="s">
        <v>214</v>
      </c>
    </row>
    <row r="102" ht="52.5" hidden="1" spans="1:10">
      <c r="A102" s="273" t="s">
        <v>260</v>
      </c>
      <c r="B102" s="273" t="s">
        <v>261</v>
      </c>
      <c r="C102" s="274">
        <v>12000</v>
      </c>
      <c r="D102" s="273" t="s">
        <v>215</v>
      </c>
      <c r="E102" s="273" t="s">
        <v>216</v>
      </c>
      <c r="F102" s="273" t="s">
        <v>112</v>
      </c>
      <c r="G102" s="273" t="s">
        <v>113</v>
      </c>
      <c r="H102" s="275">
        <v>120</v>
      </c>
      <c r="I102" s="275" t="s">
        <v>65</v>
      </c>
      <c r="J102" s="270" t="s">
        <v>217</v>
      </c>
    </row>
    <row r="103" ht="21" hidden="1" spans="1:10">
      <c r="A103" s="273" t="s">
        <v>260</v>
      </c>
      <c r="B103" s="273" t="s">
        <v>261</v>
      </c>
      <c r="C103" s="274">
        <v>12100</v>
      </c>
      <c r="D103" s="273" t="s">
        <v>279</v>
      </c>
      <c r="E103" s="273" t="s">
        <v>280</v>
      </c>
      <c r="F103" s="273" t="s">
        <v>58</v>
      </c>
      <c r="G103" s="273" t="s">
        <v>220</v>
      </c>
      <c r="H103" s="275">
        <v>121</v>
      </c>
      <c r="I103" s="275"/>
      <c r="J103" s="270" t="s">
        <v>221</v>
      </c>
    </row>
    <row r="104" ht="21" hidden="1" spans="1:10">
      <c r="A104" s="273" t="s">
        <v>260</v>
      </c>
      <c r="B104" s="273" t="s">
        <v>261</v>
      </c>
      <c r="C104" s="274">
        <v>12200</v>
      </c>
      <c r="D104" s="273" t="s">
        <v>222</v>
      </c>
      <c r="E104" s="273" t="s">
        <v>223</v>
      </c>
      <c r="F104" s="273" t="s">
        <v>58</v>
      </c>
      <c r="G104" s="273" t="s">
        <v>220</v>
      </c>
      <c r="H104" s="275">
        <v>122</v>
      </c>
      <c r="I104" s="275"/>
      <c r="J104" s="270" t="s">
        <v>221</v>
      </c>
    </row>
    <row r="105" ht="21" hidden="1" spans="1:10">
      <c r="A105" s="273" t="s">
        <v>260</v>
      </c>
      <c r="B105" s="273" t="s">
        <v>261</v>
      </c>
      <c r="C105" s="274">
        <v>12300</v>
      </c>
      <c r="D105" s="273" t="s">
        <v>224</v>
      </c>
      <c r="E105" s="273" t="s">
        <v>225</v>
      </c>
      <c r="F105" s="273" t="s">
        <v>58</v>
      </c>
      <c r="G105" s="273" t="s">
        <v>220</v>
      </c>
      <c r="H105" s="275">
        <v>123</v>
      </c>
      <c r="I105" s="275"/>
      <c r="J105" s="270" t="s">
        <v>221</v>
      </c>
    </row>
    <row r="106" ht="21" hidden="1" spans="1:10">
      <c r="A106" s="273" t="s">
        <v>260</v>
      </c>
      <c r="B106" s="273" t="s">
        <v>261</v>
      </c>
      <c r="C106" s="274">
        <v>12400</v>
      </c>
      <c r="D106" s="273" t="s">
        <v>226</v>
      </c>
      <c r="E106" s="273" t="s">
        <v>227</v>
      </c>
      <c r="F106" s="273" t="s">
        <v>58</v>
      </c>
      <c r="G106" s="273" t="s">
        <v>220</v>
      </c>
      <c r="H106" s="275">
        <v>124</v>
      </c>
      <c r="I106" s="275"/>
      <c r="J106" s="270" t="s">
        <v>221</v>
      </c>
    </row>
    <row r="107" ht="21" hidden="1" spans="1:10">
      <c r="A107" s="273" t="s">
        <v>260</v>
      </c>
      <c r="B107" s="273" t="s">
        <v>261</v>
      </c>
      <c r="C107" s="274">
        <v>12500</v>
      </c>
      <c r="D107" s="273" t="s">
        <v>228</v>
      </c>
      <c r="E107" s="273" t="s">
        <v>229</v>
      </c>
      <c r="F107" s="273" t="s">
        <v>58</v>
      </c>
      <c r="G107" s="273" t="s">
        <v>220</v>
      </c>
      <c r="H107" s="275">
        <v>125</v>
      </c>
      <c r="I107" s="275"/>
      <c r="J107" s="270" t="s">
        <v>221</v>
      </c>
    </row>
    <row r="108" ht="21" hidden="1" spans="1:10">
      <c r="A108" s="273" t="s">
        <v>260</v>
      </c>
      <c r="B108" s="273" t="s">
        <v>261</v>
      </c>
      <c r="C108" s="274">
        <v>12600</v>
      </c>
      <c r="D108" s="273" t="s">
        <v>230</v>
      </c>
      <c r="E108" s="273" t="s">
        <v>231</v>
      </c>
      <c r="F108" s="273" t="s">
        <v>58</v>
      </c>
      <c r="G108" s="273" t="s">
        <v>220</v>
      </c>
      <c r="H108" s="275">
        <v>126</v>
      </c>
      <c r="I108" s="275"/>
      <c r="J108" s="270" t="s">
        <v>221</v>
      </c>
    </row>
    <row r="109" ht="21" hidden="1" spans="1:10">
      <c r="A109" s="273" t="s">
        <v>260</v>
      </c>
      <c r="B109" s="273" t="s">
        <v>261</v>
      </c>
      <c r="C109" s="274">
        <v>12700</v>
      </c>
      <c r="D109" s="273" t="s">
        <v>232</v>
      </c>
      <c r="E109" s="273" t="s">
        <v>233</v>
      </c>
      <c r="F109" s="273" t="s">
        <v>58</v>
      </c>
      <c r="G109" s="273" t="s">
        <v>220</v>
      </c>
      <c r="H109" s="275">
        <v>127</v>
      </c>
      <c r="I109" s="275"/>
      <c r="J109" s="270" t="s">
        <v>221</v>
      </c>
    </row>
    <row r="110" ht="21" hidden="1" spans="1:10">
      <c r="A110" s="273" t="s">
        <v>260</v>
      </c>
      <c r="B110" s="273" t="s">
        <v>261</v>
      </c>
      <c r="C110" s="274">
        <v>12800</v>
      </c>
      <c r="D110" s="273" t="s">
        <v>234</v>
      </c>
      <c r="E110" s="273" t="s">
        <v>235</v>
      </c>
      <c r="F110" s="273" t="s">
        <v>58</v>
      </c>
      <c r="G110" s="273" t="s">
        <v>220</v>
      </c>
      <c r="H110" s="275">
        <v>128</v>
      </c>
      <c r="I110" s="275"/>
      <c r="J110" s="270" t="s">
        <v>221</v>
      </c>
    </row>
    <row r="111" ht="21" hidden="1" spans="1:10">
      <c r="A111" s="273" t="s">
        <v>260</v>
      </c>
      <c r="B111" s="273" t="s">
        <v>261</v>
      </c>
      <c r="C111" s="274">
        <v>12900</v>
      </c>
      <c r="D111" s="273" t="s">
        <v>236</v>
      </c>
      <c r="E111" s="273" t="s">
        <v>237</v>
      </c>
      <c r="F111" s="273" t="s">
        <v>58</v>
      </c>
      <c r="G111" s="273" t="s">
        <v>220</v>
      </c>
      <c r="H111" s="275">
        <v>129</v>
      </c>
      <c r="I111" s="275"/>
      <c r="J111" s="270" t="s">
        <v>221</v>
      </c>
    </row>
    <row r="112" hidden="1" spans="1:10">
      <c r="A112" s="273" t="s">
        <v>260</v>
      </c>
      <c r="B112" s="273" t="s">
        <v>261</v>
      </c>
      <c r="C112" s="274">
        <v>13000</v>
      </c>
      <c r="D112" s="273" t="s">
        <v>238</v>
      </c>
      <c r="E112" s="273" t="s">
        <v>239</v>
      </c>
      <c r="F112" s="273" t="s">
        <v>240</v>
      </c>
      <c r="G112" s="273" t="s">
        <v>241</v>
      </c>
      <c r="H112" s="275">
        <v>130</v>
      </c>
      <c r="I112" s="275"/>
      <c r="J112" s="270" t="s">
        <v>4</v>
      </c>
    </row>
    <row r="113" ht="73.5" hidden="1" spans="1:10">
      <c r="A113" s="273" t="s">
        <v>281</v>
      </c>
      <c r="B113" s="273" t="s">
        <v>282</v>
      </c>
      <c r="C113" s="274">
        <v>13300</v>
      </c>
      <c r="D113" s="273" t="s">
        <v>56</v>
      </c>
      <c r="E113" s="273" t="s">
        <v>57</v>
      </c>
      <c r="F113" s="273" t="s">
        <v>58</v>
      </c>
      <c r="G113" s="273" t="s">
        <v>59</v>
      </c>
      <c r="H113" s="275">
        <v>133</v>
      </c>
      <c r="I113" s="275" t="s">
        <v>65</v>
      </c>
      <c r="J113" s="270" t="s">
        <v>244</v>
      </c>
    </row>
    <row r="114" ht="31.5" hidden="1" spans="1:10">
      <c r="A114" s="273" t="s">
        <v>281</v>
      </c>
      <c r="B114" s="273" t="s">
        <v>282</v>
      </c>
      <c r="C114" s="274">
        <v>13500</v>
      </c>
      <c r="D114" s="273" t="s">
        <v>245</v>
      </c>
      <c r="E114" s="273" t="s">
        <v>246</v>
      </c>
      <c r="F114" s="273" t="s">
        <v>58</v>
      </c>
      <c r="G114" s="273" t="s">
        <v>59</v>
      </c>
      <c r="H114" s="275">
        <v>135</v>
      </c>
      <c r="I114" s="275" t="s">
        <v>65</v>
      </c>
      <c r="J114" s="270" t="s">
        <v>247</v>
      </c>
    </row>
    <row r="115" ht="21" hidden="1" spans="1:10">
      <c r="A115" s="273" t="s">
        <v>281</v>
      </c>
      <c r="B115" s="273" t="s">
        <v>282</v>
      </c>
      <c r="C115" s="274">
        <v>13600</v>
      </c>
      <c r="D115" s="273" t="s">
        <v>248</v>
      </c>
      <c r="E115" s="273" t="s">
        <v>249</v>
      </c>
      <c r="F115" s="273" t="s">
        <v>112</v>
      </c>
      <c r="G115" s="273" t="s">
        <v>113</v>
      </c>
      <c r="H115" s="275">
        <v>136</v>
      </c>
      <c r="I115" s="275" t="s">
        <v>65</v>
      </c>
      <c r="J115" s="270" t="s">
        <v>250</v>
      </c>
    </row>
    <row r="116" ht="63" hidden="1" spans="1:10">
      <c r="A116" s="273" t="s">
        <v>283</v>
      </c>
      <c r="B116" s="273" t="s">
        <v>284</v>
      </c>
      <c r="C116" s="274">
        <v>13900</v>
      </c>
      <c r="D116" s="273" t="s">
        <v>56</v>
      </c>
      <c r="E116" s="273" t="s">
        <v>57</v>
      </c>
      <c r="F116" s="273" t="s">
        <v>58</v>
      </c>
      <c r="G116" s="273" t="s">
        <v>59</v>
      </c>
      <c r="H116" s="275">
        <v>139</v>
      </c>
      <c r="I116" s="275" t="s">
        <v>65</v>
      </c>
      <c r="J116" s="270" t="s">
        <v>285</v>
      </c>
    </row>
    <row r="117" ht="42" hidden="1" spans="1:10">
      <c r="A117" s="273" t="s">
        <v>283</v>
      </c>
      <c r="B117" s="273" t="s">
        <v>284</v>
      </c>
      <c r="C117" s="274">
        <v>14100</v>
      </c>
      <c r="D117" s="273" t="s">
        <v>254</v>
      </c>
      <c r="E117" s="273" t="s">
        <v>255</v>
      </c>
      <c r="F117" s="273" t="s">
        <v>58</v>
      </c>
      <c r="G117" s="273" t="s">
        <v>59</v>
      </c>
      <c r="H117" s="275">
        <v>141</v>
      </c>
      <c r="I117" s="275" t="s">
        <v>65</v>
      </c>
      <c r="J117" s="270" t="s">
        <v>256</v>
      </c>
    </row>
    <row r="118" ht="31.5" hidden="1" spans="1:10">
      <c r="A118" s="273" t="s">
        <v>283</v>
      </c>
      <c r="B118" s="273" t="s">
        <v>284</v>
      </c>
      <c r="C118" s="274">
        <v>14200</v>
      </c>
      <c r="D118" s="273" t="s">
        <v>257</v>
      </c>
      <c r="E118" s="273" t="s">
        <v>258</v>
      </c>
      <c r="F118" s="273" t="s">
        <v>112</v>
      </c>
      <c r="G118" s="273" t="s">
        <v>113</v>
      </c>
      <c r="H118" s="275">
        <v>142</v>
      </c>
      <c r="I118" s="275" t="s">
        <v>65</v>
      </c>
      <c r="J118" s="270" t="s">
        <v>259</v>
      </c>
    </row>
    <row r="119" ht="21" hidden="1" spans="1:10">
      <c r="A119" s="273" t="s">
        <v>286</v>
      </c>
      <c r="B119" s="273" t="s">
        <v>287</v>
      </c>
      <c r="C119" s="274">
        <v>14500</v>
      </c>
      <c r="D119" s="273" t="s">
        <v>56</v>
      </c>
      <c r="E119" s="273" t="s">
        <v>57</v>
      </c>
      <c r="F119" s="273" t="s">
        <v>58</v>
      </c>
      <c r="G119" s="273" t="s">
        <v>59</v>
      </c>
      <c r="H119" s="275">
        <v>145</v>
      </c>
      <c r="I119" s="275"/>
      <c r="J119" s="270" t="s">
        <v>60</v>
      </c>
    </row>
    <row r="120" ht="63" hidden="1" spans="1:10">
      <c r="A120" s="273" t="s">
        <v>286</v>
      </c>
      <c r="B120" s="273" t="s">
        <v>287</v>
      </c>
      <c r="C120" s="274">
        <v>14700</v>
      </c>
      <c r="D120" s="273" t="s">
        <v>61</v>
      </c>
      <c r="E120" s="273" t="s">
        <v>62</v>
      </c>
      <c r="F120" s="273" t="s">
        <v>63</v>
      </c>
      <c r="G120" s="273" t="s">
        <v>64</v>
      </c>
      <c r="H120" s="275">
        <v>147</v>
      </c>
      <c r="I120" s="275" t="s">
        <v>65</v>
      </c>
      <c r="J120" s="270" t="s">
        <v>288</v>
      </c>
    </row>
    <row r="121" ht="21" hidden="1" spans="1:10">
      <c r="A121" s="273" t="s">
        <v>286</v>
      </c>
      <c r="B121" s="273" t="s">
        <v>287</v>
      </c>
      <c r="C121" s="274">
        <v>14800</v>
      </c>
      <c r="D121" s="273" t="s">
        <v>67</v>
      </c>
      <c r="E121" s="273" t="s">
        <v>68</v>
      </c>
      <c r="F121" s="273" t="s">
        <v>63</v>
      </c>
      <c r="G121" s="273" t="s">
        <v>69</v>
      </c>
      <c r="H121" s="275">
        <v>148</v>
      </c>
      <c r="I121" s="275"/>
      <c r="J121" s="270" t="s">
        <v>70</v>
      </c>
    </row>
    <row r="122" hidden="1" spans="1:10">
      <c r="A122" s="273" t="s">
        <v>286</v>
      </c>
      <c r="B122" s="273" t="s">
        <v>287</v>
      </c>
      <c r="C122" s="274">
        <v>14900</v>
      </c>
      <c r="D122" s="273" t="s">
        <v>71</v>
      </c>
      <c r="E122" s="273" t="s">
        <v>72</v>
      </c>
      <c r="F122" s="273" t="s">
        <v>73</v>
      </c>
      <c r="G122" s="273" t="s">
        <v>74</v>
      </c>
      <c r="H122" s="275">
        <v>149</v>
      </c>
      <c r="I122" s="275" t="s">
        <v>65</v>
      </c>
      <c r="J122" s="270" t="s">
        <v>75</v>
      </c>
    </row>
    <row r="123" hidden="1" spans="1:10">
      <c r="A123" s="273" t="s">
        <v>286</v>
      </c>
      <c r="B123" s="273" t="s">
        <v>287</v>
      </c>
      <c r="C123" s="274">
        <v>15000</v>
      </c>
      <c r="D123" s="273" t="s">
        <v>76</v>
      </c>
      <c r="E123" s="273" t="s">
        <v>77</v>
      </c>
      <c r="F123" s="273" t="s">
        <v>73</v>
      </c>
      <c r="G123" s="273" t="s">
        <v>74</v>
      </c>
      <c r="H123" s="275">
        <v>150</v>
      </c>
      <c r="I123" s="275" t="s">
        <v>65</v>
      </c>
      <c r="J123" s="270" t="s">
        <v>78</v>
      </c>
    </row>
    <row r="124" ht="21" hidden="1" spans="1:10">
      <c r="A124" s="273" t="s">
        <v>286</v>
      </c>
      <c r="B124" s="273" t="s">
        <v>287</v>
      </c>
      <c r="C124" s="274">
        <v>15100</v>
      </c>
      <c r="D124" s="273" t="s">
        <v>79</v>
      </c>
      <c r="E124" s="273" t="s">
        <v>80</v>
      </c>
      <c r="F124" s="273" t="s">
        <v>81</v>
      </c>
      <c r="G124" s="273" t="s">
        <v>82</v>
      </c>
      <c r="H124" s="275">
        <v>151</v>
      </c>
      <c r="I124" s="275" t="s">
        <v>65</v>
      </c>
      <c r="J124" s="270" t="s">
        <v>83</v>
      </c>
    </row>
    <row r="125" hidden="1" spans="1:10">
      <c r="A125" s="273" t="s">
        <v>286</v>
      </c>
      <c r="B125" s="273" t="s">
        <v>287</v>
      </c>
      <c r="C125" s="274">
        <v>111300</v>
      </c>
      <c r="D125" s="273" t="s">
        <v>289</v>
      </c>
      <c r="E125" s="273" t="s">
        <v>290</v>
      </c>
      <c r="F125" s="273" t="s">
        <v>58</v>
      </c>
      <c r="G125" s="273" t="s">
        <v>64</v>
      </c>
      <c r="H125" s="275">
        <v>1426</v>
      </c>
      <c r="I125" s="275"/>
      <c r="J125" s="270" t="s">
        <v>291</v>
      </c>
    </row>
    <row r="126" hidden="1" spans="1:10">
      <c r="A126" s="273" t="s">
        <v>286</v>
      </c>
      <c r="B126" s="273" t="s">
        <v>287</v>
      </c>
      <c r="C126" s="274">
        <v>111400</v>
      </c>
      <c r="D126" s="273" t="s">
        <v>292</v>
      </c>
      <c r="E126" s="273" t="s">
        <v>293</v>
      </c>
      <c r="F126" s="273" t="s">
        <v>63</v>
      </c>
      <c r="G126" s="273" t="s">
        <v>69</v>
      </c>
      <c r="H126" s="275">
        <v>1427</v>
      </c>
      <c r="I126" s="275"/>
      <c r="J126" s="270" t="s">
        <v>294</v>
      </c>
    </row>
    <row r="127" ht="21" hidden="1" spans="1:10">
      <c r="A127" s="273" t="s">
        <v>286</v>
      </c>
      <c r="B127" s="273" t="s">
        <v>287</v>
      </c>
      <c r="C127" s="274">
        <v>111500</v>
      </c>
      <c r="D127" s="273" t="s">
        <v>84</v>
      </c>
      <c r="E127" s="273" t="s">
        <v>85</v>
      </c>
      <c r="F127" s="273" t="s">
        <v>58</v>
      </c>
      <c r="G127" s="273" t="s">
        <v>86</v>
      </c>
      <c r="H127" s="275">
        <v>1428</v>
      </c>
      <c r="I127" s="275"/>
      <c r="J127" s="270" t="s">
        <v>87</v>
      </c>
    </row>
    <row r="128" ht="21" hidden="1" spans="1:10">
      <c r="A128" s="273" t="s">
        <v>286</v>
      </c>
      <c r="B128" s="273" t="s">
        <v>287</v>
      </c>
      <c r="C128" s="274">
        <v>111600</v>
      </c>
      <c r="D128" s="273" t="s">
        <v>88</v>
      </c>
      <c r="E128" s="273" t="s">
        <v>89</v>
      </c>
      <c r="F128" s="273" t="s">
        <v>63</v>
      </c>
      <c r="G128" s="273" t="s">
        <v>90</v>
      </c>
      <c r="H128" s="275">
        <v>1429</v>
      </c>
      <c r="I128" s="275"/>
      <c r="J128" s="270" t="s">
        <v>91</v>
      </c>
    </row>
    <row r="129" hidden="1" spans="1:10">
      <c r="A129" s="273" t="s">
        <v>286</v>
      </c>
      <c r="B129" s="273" t="s">
        <v>287</v>
      </c>
      <c r="C129" s="274">
        <v>15200</v>
      </c>
      <c r="D129" s="273" t="s">
        <v>92</v>
      </c>
      <c r="E129" s="273" t="s">
        <v>93</v>
      </c>
      <c r="F129" s="273" t="s">
        <v>73</v>
      </c>
      <c r="G129" s="273" t="s">
        <v>94</v>
      </c>
      <c r="H129" s="275">
        <v>152</v>
      </c>
      <c r="I129" s="275"/>
      <c r="J129" s="270" t="s">
        <v>95</v>
      </c>
    </row>
    <row r="130" hidden="1" spans="1:10">
      <c r="A130" s="273" t="s">
        <v>286</v>
      </c>
      <c r="B130" s="273" t="s">
        <v>287</v>
      </c>
      <c r="C130" s="274">
        <v>15300</v>
      </c>
      <c r="D130" s="273" t="s">
        <v>96</v>
      </c>
      <c r="E130" s="273" t="s">
        <v>97</v>
      </c>
      <c r="F130" s="273" t="s">
        <v>63</v>
      </c>
      <c r="G130" s="273" t="s">
        <v>69</v>
      </c>
      <c r="H130" s="275">
        <v>153</v>
      </c>
      <c r="I130" s="275"/>
      <c r="J130" s="270" t="s">
        <v>98</v>
      </c>
    </row>
    <row r="131" hidden="1" spans="1:10">
      <c r="A131" s="273" t="s">
        <v>286</v>
      </c>
      <c r="B131" s="273" t="s">
        <v>287</v>
      </c>
      <c r="C131" s="274">
        <v>15400</v>
      </c>
      <c r="D131" s="273" t="s">
        <v>99</v>
      </c>
      <c r="E131" s="273" t="s">
        <v>100</v>
      </c>
      <c r="F131" s="273" t="s">
        <v>101</v>
      </c>
      <c r="G131" s="273" t="s">
        <v>102</v>
      </c>
      <c r="H131" s="275">
        <v>154</v>
      </c>
      <c r="I131" s="275" t="s">
        <v>65</v>
      </c>
      <c r="J131" s="270" t="s">
        <v>103</v>
      </c>
    </row>
    <row r="132" ht="73.5" hidden="1" spans="1:10">
      <c r="A132" s="273" t="s">
        <v>286</v>
      </c>
      <c r="B132" s="273" t="s">
        <v>287</v>
      </c>
      <c r="C132" s="274">
        <v>15500</v>
      </c>
      <c r="D132" s="273" t="s">
        <v>115</v>
      </c>
      <c r="E132" s="273" t="s">
        <v>116</v>
      </c>
      <c r="F132" s="273" t="s">
        <v>63</v>
      </c>
      <c r="G132" s="273" t="s">
        <v>69</v>
      </c>
      <c r="H132" s="275">
        <v>155</v>
      </c>
      <c r="I132" s="275"/>
      <c r="J132" s="270" t="s">
        <v>117</v>
      </c>
    </row>
    <row r="133" hidden="1" spans="1:10">
      <c r="A133" s="273" t="s">
        <v>286</v>
      </c>
      <c r="B133" s="273" t="s">
        <v>287</v>
      </c>
      <c r="C133" s="274">
        <v>15600</v>
      </c>
      <c r="D133" s="273" t="s">
        <v>118</v>
      </c>
      <c r="E133" s="273" t="s">
        <v>119</v>
      </c>
      <c r="F133" s="273" t="s">
        <v>120</v>
      </c>
      <c r="G133" s="273" t="s">
        <v>121</v>
      </c>
      <c r="H133" s="275">
        <v>156</v>
      </c>
      <c r="I133" s="275"/>
      <c r="J133" s="270" t="s">
        <v>122</v>
      </c>
    </row>
    <row r="134" hidden="1" spans="1:10">
      <c r="A134" s="273" t="s">
        <v>286</v>
      </c>
      <c r="B134" s="273" t="s">
        <v>287</v>
      </c>
      <c r="C134" s="274">
        <v>111700</v>
      </c>
      <c r="D134" s="273" t="s">
        <v>123</v>
      </c>
      <c r="E134" s="273" t="s">
        <v>124</v>
      </c>
      <c r="F134" s="273" t="s">
        <v>125</v>
      </c>
      <c r="G134" s="273" t="s">
        <v>126</v>
      </c>
      <c r="H134" s="275">
        <v>1430</v>
      </c>
      <c r="I134" s="275"/>
      <c r="J134" s="270" t="s">
        <v>127</v>
      </c>
    </row>
    <row r="135" ht="63" hidden="1" spans="1:10">
      <c r="A135" s="273" t="s">
        <v>286</v>
      </c>
      <c r="B135" s="273" t="s">
        <v>287</v>
      </c>
      <c r="C135" s="274">
        <v>16100</v>
      </c>
      <c r="D135" s="273" t="s">
        <v>295</v>
      </c>
      <c r="E135" s="273" t="s">
        <v>296</v>
      </c>
      <c r="F135" s="273" t="s">
        <v>130</v>
      </c>
      <c r="G135" s="273" t="s">
        <v>131</v>
      </c>
      <c r="H135" s="275">
        <v>161</v>
      </c>
      <c r="I135" s="275"/>
      <c r="J135" s="270" t="s">
        <v>297</v>
      </c>
    </row>
    <row r="136" ht="52.5" hidden="1" spans="1:10">
      <c r="A136" s="273" t="s">
        <v>286</v>
      </c>
      <c r="B136" s="273" t="s">
        <v>287</v>
      </c>
      <c r="C136" s="274">
        <v>16200</v>
      </c>
      <c r="D136" s="273" t="s">
        <v>133</v>
      </c>
      <c r="E136" s="273" t="s">
        <v>134</v>
      </c>
      <c r="F136" s="273" t="s">
        <v>130</v>
      </c>
      <c r="G136" s="273" t="s">
        <v>131</v>
      </c>
      <c r="H136" s="275">
        <v>162</v>
      </c>
      <c r="I136" s="275" t="s">
        <v>65</v>
      </c>
      <c r="J136" s="270" t="s">
        <v>135</v>
      </c>
    </row>
    <row r="137" ht="21" hidden="1" spans="1:10">
      <c r="A137" s="273" t="s">
        <v>286</v>
      </c>
      <c r="B137" s="273" t="s">
        <v>287</v>
      </c>
      <c r="C137" s="274">
        <v>16300</v>
      </c>
      <c r="D137" s="273" t="s">
        <v>136</v>
      </c>
      <c r="E137" s="273" t="s">
        <v>137</v>
      </c>
      <c r="F137" s="273" t="s">
        <v>112</v>
      </c>
      <c r="G137" s="273" t="s">
        <v>113</v>
      </c>
      <c r="H137" s="275">
        <v>163</v>
      </c>
      <c r="I137" s="275" t="s">
        <v>65</v>
      </c>
      <c r="J137" s="270" t="s">
        <v>138</v>
      </c>
    </row>
    <row r="138" ht="21" hidden="1" spans="1:10">
      <c r="A138" s="273" t="s">
        <v>286</v>
      </c>
      <c r="B138" s="273" t="s">
        <v>287</v>
      </c>
      <c r="C138" s="274">
        <v>16400</v>
      </c>
      <c r="D138" s="273" t="s">
        <v>139</v>
      </c>
      <c r="E138" s="273" t="s">
        <v>140</v>
      </c>
      <c r="F138" s="273" t="s">
        <v>63</v>
      </c>
      <c r="G138" s="273" t="s">
        <v>141</v>
      </c>
      <c r="H138" s="275">
        <v>164</v>
      </c>
      <c r="I138" s="275"/>
      <c r="J138" s="270" t="s">
        <v>142</v>
      </c>
    </row>
    <row r="139" ht="31.5" hidden="1" spans="1:10">
      <c r="A139" s="273" t="s">
        <v>286</v>
      </c>
      <c r="B139" s="273" t="s">
        <v>287</v>
      </c>
      <c r="C139" s="274">
        <v>16500</v>
      </c>
      <c r="D139" s="273" t="s">
        <v>143</v>
      </c>
      <c r="E139" s="273" t="s">
        <v>144</v>
      </c>
      <c r="F139" s="273" t="s">
        <v>145</v>
      </c>
      <c r="G139" s="273" t="s">
        <v>146</v>
      </c>
      <c r="H139" s="275">
        <v>165</v>
      </c>
      <c r="I139" s="275"/>
      <c r="J139" s="270" t="s">
        <v>262</v>
      </c>
    </row>
    <row r="140" hidden="1" spans="1:10">
      <c r="A140" s="273" t="s">
        <v>286</v>
      </c>
      <c r="B140" s="273" t="s">
        <v>287</v>
      </c>
      <c r="C140" s="274">
        <v>16600</v>
      </c>
      <c r="D140" s="273" t="s">
        <v>298</v>
      </c>
      <c r="E140" s="273" t="s">
        <v>299</v>
      </c>
      <c r="F140" s="273" t="s">
        <v>73</v>
      </c>
      <c r="G140" s="273" t="s">
        <v>74</v>
      </c>
      <c r="H140" s="275">
        <v>166</v>
      </c>
      <c r="I140" s="275" t="s">
        <v>65</v>
      </c>
      <c r="J140" s="270" t="s">
        <v>300</v>
      </c>
    </row>
    <row r="141" hidden="1" spans="1:10">
      <c r="A141" s="273" t="s">
        <v>286</v>
      </c>
      <c r="B141" s="273" t="s">
        <v>287</v>
      </c>
      <c r="C141" s="274">
        <v>16700</v>
      </c>
      <c r="D141" s="273" t="s">
        <v>301</v>
      </c>
      <c r="E141" s="273" t="s">
        <v>302</v>
      </c>
      <c r="F141" s="273" t="s">
        <v>303</v>
      </c>
      <c r="G141" s="273" t="s">
        <v>304</v>
      </c>
      <c r="H141" s="275">
        <v>167</v>
      </c>
      <c r="I141" s="275"/>
      <c r="J141" s="270" t="s">
        <v>305</v>
      </c>
    </row>
    <row r="142" ht="94.5" hidden="1" spans="1:10">
      <c r="A142" s="273" t="s">
        <v>286</v>
      </c>
      <c r="B142" s="273" t="s">
        <v>287</v>
      </c>
      <c r="C142" s="274">
        <v>16800</v>
      </c>
      <c r="D142" s="273" t="s">
        <v>306</v>
      </c>
      <c r="E142" s="273" t="s">
        <v>307</v>
      </c>
      <c r="F142" s="273" t="s">
        <v>308</v>
      </c>
      <c r="G142" s="273" t="s">
        <v>309</v>
      </c>
      <c r="H142" s="275">
        <v>168</v>
      </c>
      <c r="I142" s="275" t="s">
        <v>65</v>
      </c>
      <c r="J142" s="270" t="s">
        <v>310</v>
      </c>
    </row>
    <row r="143" ht="42" hidden="1" spans="1:10">
      <c r="A143" s="273" t="s">
        <v>286</v>
      </c>
      <c r="B143" s="273" t="s">
        <v>287</v>
      </c>
      <c r="C143" s="274">
        <v>16900</v>
      </c>
      <c r="D143" s="273" t="s">
        <v>311</v>
      </c>
      <c r="E143" s="273" t="s">
        <v>312</v>
      </c>
      <c r="F143" s="273" t="s">
        <v>313</v>
      </c>
      <c r="G143" s="273" t="s">
        <v>314</v>
      </c>
      <c r="H143" s="275">
        <v>169</v>
      </c>
      <c r="I143" s="275"/>
      <c r="J143" s="270" t="s">
        <v>315</v>
      </c>
    </row>
    <row r="144" ht="21" hidden="1" spans="1:10">
      <c r="A144" s="273" t="s">
        <v>286</v>
      </c>
      <c r="B144" s="273" t="s">
        <v>287</v>
      </c>
      <c r="C144" s="274">
        <v>17000</v>
      </c>
      <c r="D144" s="273" t="s">
        <v>153</v>
      </c>
      <c r="E144" s="273" t="s">
        <v>154</v>
      </c>
      <c r="F144" s="273" t="s">
        <v>155</v>
      </c>
      <c r="G144" s="273" t="s">
        <v>156</v>
      </c>
      <c r="H144" s="275">
        <v>170</v>
      </c>
      <c r="I144" s="275" t="s">
        <v>65</v>
      </c>
      <c r="J144" s="270" t="s">
        <v>157</v>
      </c>
    </row>
    <row r="145" ht="73.5" hidden="1" spans="1:10">
      <c r="A145" s="273" t="s">
        <v>286</v>
      </c>
      <c r="B145" s="273" t="s">
        <v>287</v>
      </c>
      <c r="C145" s="274">
        <v>17100</v>
      </c>
      <c r="D145" s="273" t="s">
        <v>158</v>
      </c>
      <c r="E145" s="273" t="s">
        <v>159</v>
      </c>
      <c r="F145" s="273" t="s">
        <v>155</v>
      </c>
      <c r="G145" s="273" t="s">
        <v>156</v>
      </c>
      <c r="H145" s="275">
        <v>171</v>
      </c>
      <c r="I145" s="275"/>
      <c r="J145" s="270" t="s">
        <v>160</v>
      </c>
    </row>
    <row r="146" ht="21" hidden="1" spans="1:10">
      <c r="A146" s="273" t="s">
        <v>286</v>
      </c>
      <c r="B146" s="273" t="s">
        <v>287</v>
      </c>
      <c r="C146" s="274">
        <v>17200</v>
      </c>
      <c r="D146" s="273" t="s">
        <v>161</v>
      </c>
      <c r="E146" s="273" t="s">
        <v>162</v>
      </c>
      <c r="F146" s="273" t="s">
        <v>120</v>
      </c>
      <c r="G146" s="273" t="s">
        <v>121</v>
      </c>
      <c r="H146" s="275">
        <v>172</v>
      </c>
      <c r="I146" s="275"/>
      <c r="J146" s="270" t="s">
        <v>163</v>
      </c>
    </row>
    <row r="147" ht="31.5" hidden="1" spans="1:10">
      <c r="A147" s="273" t="s">
        <v>286</v>
      </c>
      <c r="B147" s="273" t="s">
        <v>287</v>
      </c>
      <c r="C147" s="274">
        <v>17300</v>
      </c>
      <c r="D147" s="273" t="s">
        <v>316</v>
      </c>
      <c r="E147" s="273" t="s">
        <v>317</v>
      </c>
      <c r="F147" s="273" t="s">
        <v>120</v>
      </c>
      <c r="G147" s="273" t="s">
        <v>121</v>
      </c>
      <c r="H147" s="275">
        <v>173</v>
      </c>
      <c r="I147" s="275"/>
      <c r="J147" s="270" t="s">
        <v>166</v>
      </c>
    </row>
    <row r="148" ht="31.5" hidden="1" spans="1:10">
      <c r="A148" s="273" t="s">
        <v>286</v>
      </c>
      <c r="B148" s="273" t="s">
        <v>287</v>
      </c>
      <c r="C148" s="274">
        <v>17400</v>
      </c>
      <c r="D148" s="273" t="s">
        <v>318</v>
      </c>
      <c r="E148" s="273" t="s">
        <v>319</v>
      </c>
      <c r="F148" s="273" t="s">
        <v>120</v>
      </c>
      <c r="G148" s="273" t="s">
        <v>121</v>
      </c>
      <c r="H148" s="275">
        <v>174</v>
      </c>
      <c r="I148" s="275"/>
      <c r="J148" s="270" t="s">
        <v>169</v>
      </c>
    </row>
    <row r="149" ht="63" hidden="1" spans="1:10">
      <c r="A149" s="273" t="s">
        <v>286</v>
      </c>
      <c r="B149" s="273" t="s">
        <v>287</v>
      </c>
      <c r="C149" s="274">
        <v>17500</v>
      </c>
      <c r="D149" s="273" t="s">
        <v>191</v>
      </c>
      <c r="E149" s="273" t="s">
        <v>192</v>
      </c>
      <c r="F149" s="273" t="s">
        <v>112</v>
      </c>
      <c r="G149" s="273" t="s">
        <v>113</v>
      </c>
      <c r="H149" s="275">
        <v>175</v>
      </c>
      <c r="I149" s="275" t="s">
        <v>65</v>
      </c>
      <c r="J149" s="270" t="s">
        <v>193</v>
      </c>
    </row>
    <row r="150" hidden="1" spans="1:10">
      <c r="A150" s="273" t="s">
        <v>286</v>
      </c>
      <c r="B150" s="273" t="s">
        <v>287</v>
      </c>
      <c r="C150" s="274">
        <v>17600</v>
      </c>
      <c r="D150" s="273" t="s">
        <v>194</v>
      </c>
      <c r="E150" s="273" t="s">
        <v>195</v>
      </c>
      <c r="F150" s="273" t="s">
        <v>125</v>
      </c>
      <c r="G150" s="273" t="s">
        <v>126</v>
      </c>
      <c r="H150" s="275">
        <v>176</v>
      </c>
      <c r="I150" s="275" t="s">
        <v>65</v>
      </c>
      <c r="J150" s="270" t="s">
        <v>196</v>
      </c>
    </row>
    <row r="151" hidden="1" spans="1:10">
      <c r="A151" s="273" t="s">
        <v>286</v>
      </c>
      <c r="B151" s="273" t="s">
        <v>287</v>
      </c>
      <c r="C151" s="274">
        <v>17700</v>
      </c>
      <c r="D151" s="273" t="s">
        <v>320</v>
      </c>
      <c r="E151" s="273" t="s">
        <v>321</v>
      </c>
      <c r="F151" s="273" t="s">
        <v>125</v>
      </c>
      <c r="G151" s="273" t="s">
        <v>126</v>
      </c>
      <c r="H151" s="275">
        <v>177</v>
      </c>
      <c r="I151" s="275"/>
      <c r="J151" s="270" t="s">
        <v>322</v>
      </c>
    </row>
    <row r="152" ht="31.5" hidden="1" spans="1:10">
      <c r="A152" s="273" t="s">
        <v>286</v>
      </c>
      <c r="B152" s="273" t="s">
        <v>287</v>
      </c>
      <c r="C152" s="274">
        <v>17800</v>
      </c>
      <c r="D152" s="273" t="s">
        <v>197</v>
      </c>
      <c r="E152" s="273" t="s">
        <v>198</v>
      </c>
      <c r="F152" s="273" t="s">
        <v>125</v>
      </c>
      <c r="G152" s="273" t="s">
        <v>126</v>
      </c>
      <c r="H152" s="275">
        <v>178</v>
      </c>
      <c r="I152" s="275"/>
      <c r="J152" s="270" t="s">
        <v>199</v>
      </c>
    </row>
    <row r="153" ht="63" hidden="1" spans="1:10">
      <c r="A153" s="273" t="s">
        <v>286</v>
      </c>
      <c r="B153" s="273" t="s">
        <v>287</v>
      </c>
      <c r="C153" s="274">
        <v>17900</v>
      </c>
      <c r="D153" s="273" t="s">
        <v>200</v>
      </c>
      <c r="E153" s="273" t="s">
        <v>277</v>
      </c>
      <c r="F153" s="273" t="s">
        <v>125</v>
      </c>
      <c r="G153" s="273" t="s">
        <v>126</v>
      </c>
      <c r="H153" s="275">
        <v>179</v>
      </c>
      <c r="I153" s="275"/>
      <c r="J153" s="270" t="s">
        <v>202</v>
      </c>
    </row>
    <row r="154" ht="42" hidden="1" spans="1:10">
      <c r="A154" s="273" t="s">
        <v>286</v>
      </c>
      <c r="B154" s="273" t="s">
        <v>287</v>
      </c>
      <c r="C154" s="274">
        <v>18000</v>
      </c>
      <c r="D154" s="273" t="s">
        <v>203</v>
      </c>
      <c r="E154" s="273" t="s">
        <v>278</v>
      </c>
      <c r="F154" s="273" t="s">
        <v>125</v>
      </c>
      <c r="G154" s="273" t="s">
        <v>126</v>
      </c>
      <c r="H154" s="275">
        <v>180</v>
      </c>
      <c r="I154" s="275"/>
      <c r="J154" s="270" t="s">
        <v>205</v>
      </c>
    </row>
    <row r="155" ht="42" hidden="1" spans="1:10">
      <c r="A155" s="273" t="s">
        <v>286</v>
      </c>
      <c r="B155" s="273" t="s">
        <v>287</v>
      </c>
      <c r="C155" s="274">
        <v>18100</v>
      </c>
      <c r="D155" s="273" t="s">
        <v>206</v>
      </c>
      <c r="E155" s="273" t="s">
        <v>207</v>
      </c>
      <c r="F155" s="273" t="s">
        <v>112</v>
      </c>
      <c r="G155" s="273" t="s">
        <v>113</v>
      </c>
      <c r="H155" s="275">
        <v>181</v>
      </c>
      <c r="I155" s="275"/>
      <c r="J155" s="270" t="s">
        <v>208</v>
      </c>
    </row>
    <row r="156" ht="84" hidden="1" spans="1:10">
      <c r="A156" s="273" t="s">
        <v>286</v>
      </c>
      <c r="B156" s="273" t="s">
        <v>287</v>
      </c>
      <c r="C156" s="274">
        <v>18200</v>
      </c>
      <c r="D156" s="273" t="s">
        <v>209</v>
      </c>
      <c r="E156" s="273" t="s">
        <v>210</v>
      </c>
      <c r="F156" s="273" t="s">
        <v>130</v>
      </c>
      <c r="G156" s="273" t="s">
        <v>131</v>
      </c>
      <c r="H156" s="275">
        <v>182</v>
      </c>
      <c r="I156" s="275"/>
      <c r="J156" s="270" t="s">
        <v>211</v>
      </c>
    </row>
    <row r="157" ht="73.5" hidden="1" spans="1:10">
      <c r="A157" s="273" t="s">
        <v>286</v>
      </c>
      <c r="B157" s="273" t="s">
        <v>287</v>
      </c>
      <c r="C157" s="274">
        <v>18300</v>
      </c>
      <c r="D157" s="273" t="s">
        <v>212</v>
      </c>
      <c r="E157" s="273" t="s">
        <v>213</v>
      </c>
      <c r="F157" s="273" t="s">
        <v>130</v>
      </c>
      <c r="G157" s="273" t="s">
        <v>131</v>
      </c>
      <c r="H157" s="275">
        <v>183</v>
      </c>
      <c r="I157" s="275" t="s">
        <v>65</v>
      </c>
      <c r="J157" s="270" t="s">
        <v>214</v>
      </c>
    </row>
    <row r="158" hidden="1" spans="1:10">
      <c r="A158" s="273" t="s">
        <v>286</v>
      </c>
      <c r="B158" s="273" t="s">
        <v>287</v>
      </c>
      <c r="C158" s="274">
        <v>18400</v>
      </c>
      <c r="D158" s="273" t="s">
        <v>323</v>
      </c>
      <c r="E158" s="273" t="s">
        <v>324</v>
      </c>
      <c r="F158" s="273" t="s">
        <v>125</v>
      </c>
      <c r="G158" s="273" t="s">
        <v>126</v>
      </c>
      <c r="H158" s="275">
        <v>184</v>
      </c>
      <c r="I158" s="275"/>
      <c r="J158" s="270" t="s">
        <v>325</v>
      </c>
    </row>
    <row r="159" ht="52.5" hidden="1" spans="1:10">
      <c r="A159" s="273" t="s">
        <v>286</v>
      </c>
      <c r="B159" s="273" t="s">
        <v>287</v>
      </c>
      <c r="C159" s="274">
        <v>18500</v>
      </c>
      <c r="D159" s="273" t="s">
        <v>215</v>
      </c>
      <c r="E159" s="273" t="s">
        <v>216</v>
      </c>
      <c r="F159" s="273" t="s">
        <v>112</v>
      </c>
      <c r="G159" s="273" t="s">
        <v>113</v>
      </c>
      <c r="H159" s="275">
        <v>185</v>
      </c>
      <c r="I159" s="275" t="s">
        <v>65</v>
      </c>
      <c r="J159" s="270" t="s">
        <v>217</v>
      </c>
    </row>
    <row r="160" ht="21" hidden="1" spans="1:10">
      <c r="A160" s="273" t="s">
        <v>286</v>
      </c>
      <c r="B160" s="273" t="s">
        <v>287</v>
      </c>
      <c r="C160" s="274">
        <v>18600</v>
      </c>
      <c r="D160" s="273" t="s">
        <v>326</v>
      </c>
      <c r="E160" s="273" t="s">
        <v>327</v>
      </c>
      <c r="F160" s="273" t="s">
        <v>58</v>
      </c>
      <c r="G160" s="273" t="s">
        <v>220</v>
      </c>
      <c r="H160" s="275">
        <v>186</v>
      </c>
      <c r="I160" s="275"/>
      <c r="J160" s="270" t="s">
        <v>221</v>
      </c>
    </row>
    <row r="161" ht="21" hidden="1" spans="1:10">
      <c r="A161" s="273" t="s">
        <v>286</v>
      </c>
      <c r="B161" s="273" t="s">
        <v>287</v>
      </c>
      <c r="C161" s="274">
        <v>18700</v>
      </c>
      <c r="D161" s="273" t="s">
        <v>224</v>
      </c>
      <c r="E161" s="273" t="s">
        <v>225</v>
      </c>
      <c r="F161" s="273" t="s">
        <v>58</v>
      </c>
      <c r="G161" s="273" t="s">
        <v>220</v>
      </c>
      <c r="H161" s="275">
        <v>187</v>
      </c>
      <c r="I161" s="275"/>
      <c r="J161" s="270" t="s">
        <v>221</v>
      </c>
    </row>
    <row r="162" ht="21" hidden="1" spans="1:10">
      <c r="A162" s="273" t="s">
        <v>286</v>
      </c>
      <c r="B162" s="273" t="s">
        <v>287</v>
      </c>
      <c r="C162" s="274">
        <v>18800</v>
      </c>
      <c r="D162" s="273" t="s">
        <v>328</v>
      </c>
      <c r="E162" s="273" t="s">
        <v>329</v>
      </c>
      <c r="F162" s="273" t="s">
        <v>58</v>
      </c>
      <c r="G162" s="273" t="s">
        <v>220</v>
      </c>
      <c r="H162" s="275">
        <v>188</v>
      </c>
      <c r="I162" s="275"/>
      <c r="J162" s="270" t="s">
        <v>221</v>
      </c>
    </row>
    <row r="163" ht="21" hidden="1" spans="1:10">
      <c r="A163" s="273" t="s">
        <v>286</v>
      </c>
      <c r="B163" s="273" t="s">
        <v>287</v>
      </c>
      <c r="C163" s="274">
        <v>18900</v>
      </c>
      <c r="D163" s="273" t="s">
        <v>226</v>
      </c>
      <c r="E163" s="273" t="s">
        <v>227</v>
      </c>
      <c r="F163" s="273" t="s">
        <v>58</v>
      </c>
      <c r="G163" s="273" t="s">
        <v>220</v>
      </c>
      <c r="H163" s="275">
        <v>189</v>
      </c>
      <c r="I163" s="275"/>
      <c r="J163" s="270" t="s">
        <v>221</v>
      </c>
    </row>
    <row r="164" ht="21" hidden="1" spans="1:10">
      <c r="A164" s="273" t="s">
        <v>286</v>
      </c>
      <c r="B164" s="273" t="s">
        <v>287</v>
      </c>
      <c r="C164" s="274">
        <v>19000</v>
      </c>
      <c r="D164" s="273" t="s">
        <v>228</v>
      </c>
      <c r="E164" s="273" t="s">
        <v>229</v>
      </c>
      <c r="F164" s="273" t="s">
        <v>58</v>
      </c>
      <c r="G164" s="273" t="s">
        <v>220</v>
      </c>
      <c r="H164" s="275">
        <v>190</v>
      </c>
      <c r="I164" s="275"/>
      <c r="J164" s="270" t="s">
        <v>221</v>
      </c>
    </row>
    <row r="165" ht="21" hidden="1" spans="1:10">
      <c r="A165" s="273" t="s">
        <v>286</v>
      </c>
      <c r="B165" s="273" t="s">
        <v>287</v>
      </c>
      <c r="C165" s="274">
        <v>19100</v>
      </c>
      <c r="D165" s="273" t="s">
        <v>230</v>
      </c>
      <c r="E165" s="273" t="s">
        <v>231</v>
      </c>
      <c r="F165" s="273" t="s">
        <v>58</v>
      </c>
      <c r="G165" s="273" t="s">
        <v>220</v>
      </c>
      <c r="H165" s="275">
        <v>191</v>
      </c>
      <c r="I165" s="275"/>
      <c r="J165" s="270" t="s">
        <v>221</v>
      </c>
    </row>
    <row r="166" ht="21" hidden="1" spans="1:10">
      <c r="A166" s="273" t="s">
        <v>286</v>
      </c>
      <c r="B166" s="273" t="s">
        <v>287</v>
      </c>
      <c r="C166" s="274">
        <v>19200</v>
      </c>
      <c r="D166" s="273" t="s">
        <v>330</v>
      </c>
      <c r="E166" s="273" t="s">
        <v>331</v>
      </c>
      <c r="F166" s="273" t="s">
        <v>58</v>
      </c>
      <c r="G166" s="273" t="s">
        <v>220</v>
      </c>
      <c r="H166" s="275">
        <v>192</v>
      </c>
      <c r="I166" s="275"/>
      <c r="J166" s="270" t="s">
        <v>221</v>
      </c>
    </row>
    <row r="167" ht="21" hidden="1" spans="1:10">
      <c r="A167" s="273" t="s">
        <v>286</v>
      </c>
      <c r="B167" s="273" t="s">
        <v>287</v>
      </c>
      <c r="C167" s="274">
        <v>19300</v>
      </c>
      <c r="D167" s="273" t="s">
        <v>332</v>
      </c>
      <c r="E167" s="273" t="s">
        <v>333</v>
      </c>
      <c r="F167" s="273" t="s">
        <v>58</v>
      </c>
      <c r="G167" s="273" t="s">
        <v>220</v>
      </c>
      <c r="H167" s="275">
        <v>193</v>
      </c>
      <c r="I167" s="275"/>
      <c r="J167" s="270" t="s">
        <v>221</v>
      </c>
    </row>
    <row r="168" hidden="1" spans="1:10">
      <c r="A168" s="273" t="s">
        <v>286</v>
      </c>
      <c r="B168" s="273" t="s">
        <v>287</v>
      </c>
      <c r="C168" s="274">
        <v>19400</v>
      </c>
      <c r="D168" s="273" t="s">
        <v>238</v>
      </c>
      <c r="E168" s="273" t="s">
        <v>239</v>
      </c>
      <c r="F168" s="273" t="s">
        <v>240</v>
      </c>
      <c r="G168" s="273" t="s">
        <v>241</v>
      </c>
      <c r="H168" s="275">
        <v>194</v>
      </c>
      <c r="I168" s="275"/>
      <c r="J168" s="270" t="s">
        <v>4</v>
      </c>
    </row>
    <row r="169" ht="31.5" hidden="1" spans="1:10">
      <c r="A169" s="273" t="s">
        <v>334</v>
      </c>
      <c r="B169" s="273" t="s">
        <v>335</v>
      </c>
      <c r="C169" s="274">
        <v>19700</v>
      </c>
      <c r="D169" s="273" t="s">
        <v>56</v>
      </c>
      <c r="E169" s="273" t="s">
        <v>57</v>
      </c>
      <c r="F169" s="273" t="s">
        <v>58</v>
      </c>
      <c r="G169" s="273" t="s">
        <v>59</v>
      </c>
      <c r="H169" s="275">
        <v>197</v>
      </c>
      <c r="I169" s="275"/>
      <c r="J169" s="270" t="s">
        <v>336</v>
      </c>
    </row>
    <row r="170" ht="21" hidden="1" spans="1:10">
      <c r="A170" s="273" t="s">
        <v>334</v>
      </c>
      <c r="B170" s="273" t="s">
        <v>335</v>
      </c>
      <c r="C170" s="274">
        <v>19900</v>
      </c>
      <c r="D170" s="273" t="s">
        <v>136</v>
      </c>
      <c r="E170" s="273" t="s">
        <v>137</v>
      </c>
      <c r="F170" s="273" t="s">
        <v>112</v>
      </c>
      <c r="G170" s="273" t="s">
        <v>113</v>
      </c>
      <c r="H170" s="275">
        <v>199</v>
      </c>
      <c r="I170" s="275"/>
      <c r="J170" s="270" t="s">
        <v>138</v>
      </c>
    </row>
    <row r="171" ht="52.5" hidden="1" spans="1:10">
      <c r="A171" s="273" t="s">
        <v>334</v>
      </c>
      <c r="B171" s="273" t="s">
        <v>335</v>
      </c>
      <c r="C171" s="274">
        <v>20000</v>
      </c>
      <c r="D171" s="273" t="s">
        <v>337</v>
      </c>
      <c r="E171" s="273" t="s">
        <v>338</v>
      </c>
      <c r="F171" s="273" t="s">
        <v>130</v>
      </c>
      <c r="G171" s="273" t="s">
        <v>131</v>
      </c>
      <c r="H171" s="275">
        <v>200</v>
      </c>
      <c r="I171" s="275"/>
      <c r="J171" s="270" t="s">
        <v>339</v>
      </c>
    </row>
    <row r="172" ht="73.5" hidden="1" spans="1:10">
      <c r="A172" s="273" t="s">
        <v>334</v>
      </c>
      <c r="B172" s="273" t="s">
        <v>335</v>
      </c>
      <c r="C172" s="274">
        <v>20100</v>
      </c>
      <c r="D172" s="273" t="s">
        <v>133</v>
      </c>
      <c r="E172" s="273" t="s">
        <v>134</v>
      </c>
      <c r="F172" s="273" t="s">
        <v>130</v>
      </c>
      <c r="G172" s="273" t="s">
        <v>131</v>
      </c>
      <c r="H172" s="275">
        <v>201</v>
      </c>
      <c r="I172" s="275"/>
      <c r="J172" s="270" t="s">
        <v>340</v>
      </c>
    </row>
    <row r="173" hidden="1" spans="1:10">
      <c r="A173" s="273" t="s">
        <v>334</v>
      </c>
      <c r="B173" s="273" t="s">
        <v>335</v>
      </c>
      <c r="C173" s="274">
        <v>20200</v>
      </c>
      <c r="D173" s="273" t="s">
        <v>341</v>
      </c>
      <c r="E173" s="273" t="s">
        <v>341</v>
      </c>
      <c r="F173" s="273" t="s">
        <v>308</v>
      </c>
      <c r="G173" s="273" t="s">
        <v>309</v>
      </c>
      <c r="H173" s="275">
        <v>202</v>
      </c>
      <c r="I173" s="275"/>
      <c r="J173" s="270" t="s">
        <v>342</v>
      </c>
    </row>
    <row r="174" hidden="1" spans="1:10">
      <c r="A174" s="273" t="s">
        <v>334</v>
      </c>
      <c r="B174" s="273" t="s">
        <v>335</v>
      </c>
      <c r="C174" s="274">
        <v>20300</v>
      </c>
      <c r="D174" s="273" t="s">
        <v>343</v>
      </c>
      <c r="E174" s="273" t="s">
        <v>343</v>
      </c>
      <c r="F174" s="273" t="s">
        <v>120</v>
      </c>
      <c r="G174" s="273" t="s">
        <v>121</v>
      </c>
      <c r="H174" s="275">
        <v>203</v>
      </c>
      <c r="I174" s="275"/>
      <c r="J174" s="270" t="s">
        <v>344</v>
      </c>
    </row>
    <row r="175" hidden="1" spans="1:10">
      <c r="A175" s="273" t="s">
        <v>334</v>
      </c>
      <c r="B175" s="273" t="s">
        <v>335</v>
      </c>
      <c r="C175" s="274">
        <v>20400</v>
      </c>
      <c r="D175" s="273" t="s">
        <v>345</v>
      </c>
      <c r="E175" s="273" t="s">
        <v>345</v>
      </c>
      <c r="F175" s="273" t="s">
        <v>346</v>
      </c>
      <c r="G175" s="273" t="s">
        <v>347</v>
      </c>
      <c r="H175" s="275">
        <v>204</v>
      </c>
      <c r="I175" s="275"/>
      <c r="J175" s="270" t="s">
        <v>348</v>
      </c>
    </row>
    <row r="176" hidden="1" spans="1:10">
      <c r="A176" s="273" t="s">
        <v>334</v>
      </c>
      <c r="B176" s="273" t="s">
        <v>335</v>
      </c>
      <c r="C176" s="274">
        <v>20500</v>
      </c>
      <c r="D176" s="273" t="s">
        <v>349</v>
      </c>
      <c r="E176" s="273" t="s">
        <v>350</v>
      </c>
      <c r="F176" s="273" t="s">
        <v>125</v>
      </c>
      <c r="G176" s="273" t="s">
        <v>126</v>
      </c>
      <c r="H176" s="275">
        <v>205</v>
      </c>
      <c r="I176" s="275"/>
      <c r="J176" s="270" t="s">
        <v>351</v>
      </c>
    </row>
    <row r="177" ht="21" hidden="1" spans="1:10">
      <c r="A177" s="273" t="s">
        <v>334</v>
      </c>
      <c r="B177" s="273" t="s">
        <v>335</v>
      </c>
      <c r="C177" s="274">
        <v>20600</v>
      </c>
      <c r="D177" s="273" t="s">
        <v>352</v>
      </c>
      <c r="E177" s="273" t="s">
        <v>353</v>
      </c>
      <c r="F177" s="273" t="s">
        <v>58</v>
      </c>
      <c r="G177" s="273" t="s">
        <v>220</v>
      </c>
      <c r="H177" s="275">
        <v>206</v>
      </c>
      <c r="I177" s="275"/>
      <c r="J177" s="270" t="s">
        <v>221</v>
      </c>
    </row>
    <row r="178" ht="21" hidden="1" spans="1:10">
      <c r="A178" s="273" t="s">
        <v>334</v>
      </c>
      <c r="B178" s="273" t="s">
        <v>335</v>
      </c>
      <c r="C178" s="274">
        <v>20700</v>
      </c>
      <c r="D178" s="273" t="s">
        <v>224</v>
      </c>
      <c r="E178" s="273" t="s">
        <v>225</v>
      </c>
      <c r="F178" s="273" t="s">
        <v>58</v>
      </c>
      <c r="G178" s="273" t="s">
        <v>220</v>
      </c>
      <c r="H178" s="275">
        <v>207</v>
      </c>
      <c r="I178" s="275"/>
      <c r="J178" s="270" t="s">
        <v>221</v>
      </c>
    </row>
    <row r="179" ht="21" hidden="1" spans="1:10">
      <c r="A179" s="273" t="s">
        <v>334</v>
      </c>
      <c r="B179" s="273" t="s">
        <v>335</v>
      </c>
      <c r="C179" s="274">
        <v>20800</v>
      </c>
      <c r="D179" s="273" t="s">
        <v>354</v>
      </c>
      <c r="E179" s="273" t="s">
        <v>355</v>
      </c>
      <c r="F179" s="273" t="s">
        <v>58</v>
      </c>
      <c r="G179" s="273" t="s">
        <v>220</v>
      </c>
      <c r="H179" s="275">
        <v>208</v>
      </c>
      <c r="I179" s="275"/>
      <c r="J179" s="270" t="s">
        <v>221</v>
      </c>
    </row>
    <row r="180" ht="21" hidden="1" spans="1:10">
      <c r="A180" s="273" t="s">
        <v>334</v>
      </c>
      <c r="B180" s="273" t="s">
        <v>335</v>
      </c>
      <c r="C180" s="274">
        <v>20900</v>
      </c>
      <c r="D180" s="273" t="s">
        <v>356</v>
      </c>
      <c r="E180" s="273" t="s">
        <v>357</v>
      </c>
      <c r="F180" s="273" t="s">
        <v>58</v>
      </c>
      <c r="G180" s="273" t="s">
        <v>220</v>
      </c>
      <c r="H180" s="275">
        <v>209</v>
      </c>
      <c r="I180" s="275"/>
      <c r="J180" s="270" t="s">
        <v>221</v>
      </c>
    </row>
    <row r="181" ht="21" hidden="1" spans="1:10">
      <c r="A181" s="273" t="s">
        <v>334</v>
      </c>
      <c r="B181" s="273" t="s">
        <v>335</v>
      </c>
      <c r="C181" s="274">
        <v>21000</v>
      </c>
      <c r="D181" s="273" t="s">
        <v>358</v>
      </c>
      <c r="E181" s="273" t="s">
        <v>359</v>
      </c>
      <c r="F181" s="273" t="s">
        <v>58</v>
      </c>
      <c r="G181" s="273" t="s">
        <v>220</v>
      </c>
      <c r="H181" s="275">
        <v>210</v>
      </c>
      <c r="I181" s="275"/>
      <c r="J181" s="270" t="s">
        <v>221</v>
      </c>
    </row>
    <row r="182" ht="73.5" hidden="1" spans="1:10">
      <c r="A182" s="273" t="s">
        <v>360</v>
      </c>
      <c r="B182" s="273" t="s">
        <v>361</v>
      </c>
      <c r="C182" s="274">
        <v>21300</v>
      </c>
      <c r="D182" s="273" t="s">
        <v>56</v>
      </c>
      <c r="E182" s="273" t="s">
        <v>57</v>
      </c>
      <c r="F182" s="273" t="s">
        <v>58</v>
      </c>
      <c r="G182" s="273" t="s">
        <v>59</v>
      </c>
      <c r="H182" s="275">
        <v>213</v>
      </c>
      <c r="I182" s="275" t="s">
        <v>65</v>
      </c>
      <c r="J182" s="270" t="s">
        <v>244</v>
      </c>
    </row>
    <row r="183" ht="31.5" hidden="1" spans="1:10">
      <c r="A183" s="273" t="s">
        <v>360</v>
      </c>
      <c r="B183" s="273" t="s">
        <v>361</v>
      </c>
      <c r="C183" s="274">
        <v>21500</v>
      </c>
      <c r="D183" s="273" t="s">
        <v>245</v>
      </c>
      <c r="E183" s="273" t="s">
        <v>246</v>
      </c>
      <c r="F183" s="273" t="s">
        <v>58</v>
      </c>
      <c r="G183" s="273" t="s">
        <v>59</v>
      </c>
      <c r="H183" s="275">
        <v>215</v>
      </c>
      <c r="I183" s="275" t="s">
        <v>65</v>
      </c>
      <c r="J183" s="270" t="s">
        <v>247</v>
      </c>
    </row>
    <row r="184" ht="21" hidden="1" spans="1:10">
      <c r="A184" s="273" t="s">
        <v>360</v>
      </c>
      <c r="B184" s="273" t="s">
        <v>361</v>
      </c>
      <c r="C184" s="274">
        <v>21600</v>
      </c>
      <c r="D184" s="273" t="s">
        <v>248</v>
      </c>
      <c r="E184" s="273" t="s">
        <v>249</v>
      </c>
      <c r="F184" s="273" t="s">
        <v>112</v>
      </c>
      <c r="G184" s="273" t="s">
        <v>113</v>
      </c>
      <c r="H184" s="275">
        <v>216</v>
      </c>
      <c r="I184" s="275" t="s">
        <v>65</v>
      </c>
      <c r="J184" s="270" t="s">
        <v>250</v>
      </c>
    </row>
    <row r="185" ht="63" hidden="1" spans="1:10">
      <c r="A185" s="273" t="s">
        <v>362</v>
      </c>
      <c r="B185" s="273" t="s">
        <v>363</v>
      </c>
      <c r="C185" s="274">
        <v>21900</v>
      </c>
      <c r="D185" s="273" t="s">
        <v>56</v>
      </c>
      <c r="E185" s="273" t="s">
        <v>57</v>
      </c>
      <c r="F185" s="273" t="s">
        <v>58</v>
      </c>
      <c r="G185" s="273" t="s">
        <v>59</v>
      </c>
      <c r="H185" s="275">
        <v>219</v>
      </c>
      <c r="I185" s="275" t="s">
        <v>65</v>
      </c>
      <c r="J185" s="270" t="s">
        <v>285</v>
      </c>
    </row>
    <row r="186" ht="42" hidden="1" spans="1:10">
      <c r="A186" s="273" t="s">
        <v>362</v>
      </c>
      <c r="B186" s="273" t="s">
        <v>363</v>
      </c>
      <c r="C186" s="274">
        <v>22100</v>
      </c>
      <c r="D186" s="273" t="s">
        <v>254</v>
      </c>
      <c r="E186" s="273" t="s">
        <v>255</v>
      </c>
      <c r="F186" s="273" t="s">
        <v>58</v>
      </c>
      <c r="G186" s="273" t="s">
        <v>59</v>
      </c>
      <c r="H186" s="275">
        <v>221</v>
      </c>
      <c r="I186" s="275" t="s">
        <v>65</v>
      </c>
      <c r="J186" s="270" t="s">
        <v>256</v>
      </c>
    </row>
    <row r="187" ht="31.5" hidden="1" spans="1:10">
      <c r="A187" s="273" t="s">
        <v>362</v>
      </c>
      <c r="B187" s="273" t="s">
        <v>363</v>
      </c>
      <c r="C187" s="274">
        <v>22200</v>
      </c>
      <c r="D187" s="273" t="s">
        <v>257</v>
      </c>
      <c r="E187" s="273" t="s">
        <v>258</v>
      </c>
      <c r="F187" s="273" t="s">
        <v>112</v>
      </c>
      <c r="G187" s="273" t="s">
        <v>113</v>
      </c>
      <c r="H187" s="275">
        <v>222</v>
      </c>
      <c r="I187" s="275" t="s">
        <v>65</v>
      </c>
      <c r="J187" s="270" t="s">
        <v>259</v>
      </c>
    </row>
    <row r="188" ht="21" hidden="1" spans="1:10">
      <c r="A188" s="273" t="s">
        <v>364</v>
      </c>
      <c r="B188" s="273" t="s">
        <v>365</v>
      </c>
      <c r="C188" s="274">
        <v>23500</v>
      </c>
      <c r="D188" s="273" t="s">
        <v>56</v>
      </c>
      <c r="E188" s="273" t="s">
        <v>57</v>
      </c>
      <c r="F188" s="273" t="s">
        <v>58</v>
      </c>
      <c r="G188" s="273" t="s">
        <v>59</v>
      </c>
      <c r="H188" s="275">
        <v>235</v>
      </c>
      <c r="I188" s="275"/>
      <c r="J188" s="270" t="s">
        <v>60</v>
      </c>
    </row>
    <row r="189" ht="63" hidden="1" spans="1:10">
      <c r="A189" s="273" t="s">
        <v>364</v>
      </c>
      <c r="B189" s="273" t="s">
        <v>365</v>
      </c>
      <c r="C189" s="274">
        <v>23700</v>
      </c>
      <c r="D189" s="273" t="s">
        <v>61</v>
      </c>
      <c r="E189" s="273" t="s">
        <v>62</v>
      </c>
      <c r="F189" s="273" t="s">
        <v>63</v>
      </c>
      <c r="G189" s="273" t="s">
        <v>64</v>
      </c>
      <c r="H189" s="275">
        <v>237</v>
      </c>
      <c r="I189" s="275" t="s">
        <v>65</v>
      </c>
      <c r="J189" s="270" t="s">
        <v>366</v>
      </c>
    </row>
    <row r="190" ht="21" hidden="1" spans="1:10">
      <c r="A190" s="273" t="s">
        <v>364</v>
      </c>
      <c r="B190" s="273" t="s">
        <v>365</v>
      </c>
      <c r="C190" s="274">
        <v>23800</v>
      </c>
      <c r="D190" s="273" t="s">
        <v>67</v>
      </c>
      <c r="E190" s="273" t="s">
        <v>68</v>
      </c>
      <c r="F190" s="273" t="s">
        <v>63</v>
      </c>
      <c r="G190" s="273" t="s">
        <v>69</v>
      </c>
      <c r="H190" s="275">
        <v>238</v>
      </c>
      <c r="I190" s="275"/>
      <c r="J190" s="270" t="s">
        <v>70</v>
      </c>
    </row>
    <row r="191" hidden="1" spans="1:10">
      <c r="A191" s="273" t="s">
        <v>364</v>
      </c>
      <c r="B191" s="273" t="s">
        <v>365</v>
      </c>
      <c r="C191" s="274">
        <v>23900</v>
      </c>
      <c r="D191" s="273" t="s">
        <v>71</v>
      </c>
      <c r="E191" s="273" t="s">
        <v>72</v>
      </c>
      <c r="F191" s="273" t="s">
        <v>73</v>
      </c>
      <c r="G191" s="273" t="s">
        <v>74</v>
      </c>
      <c r="H191" s="275">
        <v>239</v>
      </c>
      <c r="I191" s="275" t="s">
        <v>65</v>
      </c>
      <c r="J191" s="270" t="s">
        <v>75</v>
      </c>
    </row>
    <row r="192" hidden="1" spans="1:10">
      <c r="A192" s="273" t="s">
        <v>364</v>
      </c>
      <c r="B192" s="273" t="s">
        <v>365</v>
      </c>
      <c r="C192" s="274">
        <v>24000</v>
      </c>
      <c r="D192" s="273" t="s">
        <v>76</v>
      </c>
      <c r="E192" s="273" t="s">
        <v>77</v>
      </c>
      <c r="F192" s="273" t="s">
        <v>73</v>
      </c>
      <c r="G192" s="273" t="s">
        <v>74</v>
      </c>
      <c r="H192" s="275">
        <v>240</v>
      </c>
      <c r="I192" s="275" t="s">
        <v>65</v>
      </c>
      <c r="J192" s="270" t="s">
        <v>78</v>
      </c>
    </row>
    <row r="193" ht="21" hidden="1" spans="1:10">
      <c r="A193" s="273" t="s">
        <v>364</v>
      </c>
      <c r="B193" s="273" t="s">
        <v>365</v>
      </c>
      <c r="C193" s="274">
        <v>24100</v>
      </c>
      <c r="D193" s="273" t="s">
        <v>79</v>
      </c>
      <c r="E193" s="273" t="s">
        <v>80</v>
      </c>
      <c r="F193" s="273" t="s">
        <v>81</v>
      </c>
      <c r="G193" s="273" t="s">
        <v>82</v>
      </c>
      <c r="H193" s="275">
        <v>241</v>
      </c>
      <c r="I193" s="275" t="s">
        <v>65</v>
      </c>
      <c r="J193" s="270" t="s">
        <v>83</v>
      </c>
    </row>
    <row r="194" hidden="1" spans="1:10">
      <c r="A194" s="273" t="s">
        <v>364</v>
      </c>
      <c r="B194" s="273" t="s">
        <v>365</v>
      </c>
      <c r="C194" s="274">
        <v>111800</v>
      </c>
      <c r="D194" s="273" t="s">
        <v>367</v>
      </c>
      <c r="E194" s="273" t="s">
        <v>368</v>
      </c>
      <c r="F194" s="273" t="s">
        <v>58</v>
      </c>
      <c r="G194" s="273" t="s">
        <v>64</v>
      </c>
      <c r="H194" s="275">
        <v>1431</v>
      </c>
      <c r="I194" s="275"/>
      <c r="J194" s="270" t="s">
        <v>369</v>
      </c>
    </row>
    <row r="195" hidden="1" spans="1:10">
      <c r="A195" s="273" t="s">
        <v>364</v>
      </c>
      <c r="B195" s="273" t="s">
        <v>365</v>
      </c>
      <c r="C195" s="274">
        <v>111900</v>
      </c>
      <c r="D195" s="273" t="s">
        <v>370</v>
      </c>
      <c r="E195" s="273" t="s">
        <v>371</v>
      </c>
      <c r="F195" s="273" t="s">
        <v>63</v>
      </c>
      <c r="G195" s="273" t="s">
        <v>69</v>
      </c>
      <c r="H195" s="275">
        <v>1432</v>
      </c>
      <c r="I195" s="275"/>
      <c r="J195" s="270" t="s">
        <v>372</v>
      </c>
    </row>
    <row r="196" ht="21" hidden="1" spans="1:10">
      <c r="A196" s="273" t="s">
        <v>364</v>
      </c>
      <c r="B196" s="273" t="s">
        <v>365</v>
      </c>
      <c r="C196" s="274">
        <v>112000</v>
      </c>
      <c r="D196" s="273" t="s">
        <v>84</v>
      </c>
      <c r="E196" s="273" t="s">
        <v>85</v>
      </c>
      <c r="F196" s="273" t="s">
        <v>58</v>
      </c>
      <c r="G196" s="273" t="s">
        <v>86</v>
      </c>
      <c r="H196" s="275">
        <v>1433</v>
      </c>
      <c r="I196" s="275"/>
      <c r="J196" s="270" t="s">
        <v>87</v>
      </c>
    </row>
    <row r="197" ht="21" hidden="1" spans="1:10">
      <c r="A197" s="273" t="s">
        <v>364</v>
      </c>
      <c r="B197" s="273" t="s">
        <v>365</v>
      </c>
      <c r="C197" s="274">
        <v>112100</v>
      </c>
      <c r="D197" s="273" t="s">
        <v>88</v>
      </c>
      <c r="E197" s="273" t="s">
        <v>89</v>
      </c>
      <c r="F197" s="273" t="s">
        <v>63</v>
      </c>
      <c r="G197" s="273" t="s">
        <v>90</v>
      </c>
      <c r="H197" s="275">
        <v>1434</v>
      </c>
      <c r="I197" s="275"/>
      <c r="J197" s="270" t="s">
        <v>91</v>
      </c>
    </row>
    <row r="198" hidden="1" spans="1:10">
      <c r="A198" s="273" t="s">
        <v>364</v>
      </c>
      <c r="B198" s="273" t="s">
        <v>365</v>
      </c>
      <c r="C198" s="274">
        <v>24200</v>
      </c>
      <c r="D198" s="273" t="s">
        <v>92</v>
      </c>
      <c r="E198" s="273" t="s">
        <v>93</v>
      </c>
      <c r="F198" s="273" t="s">
        <v>73</v>
      </c>
      <c r="G198" s="273" t="s">
        <v>94</v>
      </c>
      <c r="H198" s="275">
        <v>242</v>
      </c>
      <c r="I198" s="275"/>
      <c r="J198" s="270" t="s">
        <v>95</v>
      </c>
    </row>
    <row r="199" hidden="1" spans="1:10">
      <c r="A199" s="273" t="s">
        <v>364</v>
      </c>
      <c r="B199" s="273" t="s">
        <v>365</v>
      </c>
      <c r="C199" s="274">
        <v>24300</v>
      </c>
      <c r="D199" s="273" t="s">
        <v>96</v>
      </c>
      <c r="E199" s="273" t="s">
        <v>97</v>
      </c>
      <c r="F199" s="273" t="s">
        <v>63</v>
      </c>
      <c r="G199" s="273" t="s">
        <v>69</v>
      </c>
      <c r="H199" s="275">
        <v>243</v>
      </c>
      <c r="I199" s="275"/>
      <c r="J199" s="270" t="s">
        <v>98</v>
      </c>
    </row>
    <row r="200" hidden="1" spans="1:10">
      <c r="A200" s="273" t="s">
        <v>364</v>
      </c>
      <c r="B200" s="273" t="s">
        <v>365</v>
      </c>
      <c r="C200" s="274">
        <v>24400</v>
      </c>
      <c r="D200" s="273" t="s">
        <v>99</v>
      </c>
      <c r="E200" s="273" t="s">
        <v>100</v>
      </c>
      <c r="F200" s="273" t="s">
        <v>101</v>
      </c>
      <c r="G200" s="273" t="s">
        <v>102</v>
      </c>
      <c r="H200" s="275">
        <v>244</v>
      </c>
      <c r="I200" s="275" t="s">
        <v>65</v>
      </c>
      <c r="J200" s="270" t="s">
        <v>103</v>
      </c>
    </row>
    <row r="201" ht="73.5" hidden="1" spans="1:10">
      <c r="A201" s="273" t="s">
        <v>364</v>
      </c>
      <c r="B201" s="273" t="s">
        <v>365</v>
      </c>
      <c r="C201" s="274">
        <v>24500</v>
      </c>
      <c r="D201" s="273" t="s">
        <v>115</v>
      </c>
      <c r="E201" s="273" t="s">
        <v>116</v>
      </c>
      <c r="F201" s="273" t="s">
        <v>63</v>
      </c>
      <c r="G201" s="273" t="s">
        <v>69</v>
      </c>
      <c r="H201" s="275">
        <v>245</v>
      </c>
      <c r="I201" s="275"/>
      <c r="J201" s="270" t="s">
        <v>117</v>
      </c>
    </row>
    <row r="202" hidden="1" spans="1:10">
      <c r="A202" s="273" t="s">
        <v>364</v>
      </c>
      <c r="B202" s="273" t="s">
        <v>365</v>
      </c>
      <c r="C202" s="274">
        <v>24600</v>
      </c>
      <c r="D202" s="273" t="s">
        <v>118</v>
      </c>
      <c r="E202" s="273" t="s">
        <v>119</v>
      </c>
      <c r="F202" s="273" t="s">
        <v>120</v>
      </c>
      <c r="G202" s="273" t="s">
        <v>121</v>
      </c>
      <c r="H202" s="275">
        <v>246</v>
      </c>
      <c r="I202" s="275"/>
      <c r="J202" s="270" t="s">
        <v>122</v>
      </c>
    </row>
    <row r="203" hidden="1" spans="1:10">
      <c r="A203" s="273" t="s">
        <v>364</v>
      </c>
      <c r="B203" s="273" t="s">
        <v>365</v>
      </c>
      <c r="C203" s="274">
        <v>112200</v>
      </c>
      <c r="D203" s="273" t="s">
        <v>123</v>
      </c>
      <c r="E203" s="273" t="s">
        <v>124</v>
      </c>
      <c r="F203" s="273" t="s">
        <v>125</v>
      </c>
      <c r="G203" s="273" t="s">
        <v>126</v>
      </c>
      <c r="H203" s="275">
        <v>1435</v>
      </c>
      <c r="I203" s="275"/>
      <c r="J203" s="270" t="s">
        <v>127</v>
      </c>
    </row>
    <row r="204" ht="63" hidden="1" spans="1:10">
      <c r="A204" s="273" t="s">
        <v>364</v>
      </c>
      <c r="B204" s="273" t="s">
        <v>365</v>
      </c>
      <c r="C204" s="274">
        <v>25100</v>
      </c>
      <c r="D204" s="273" t="s">
        <v>128</v>
      </c>
      <c r="E204" s="273" t="s">
        <v>129</v>
      </c>
      <c r="F204" s="273" t="s">
        <v>130</v>
      </c>
      <c r="G204" s="273" t="s">
        <v>131</v>
      </c>
      <c r="H204" s="275">
        <v>251</v>
      </c>
      <c r="I204" s="275"/>
      <c r="J204" s="270" t="s">
        <v>132</v>
      </c>
    </row>
    <row r="205" ht="52.5" hidden="1" spans="1:10">
      <c r="A205" s="273" t="s">
        <v>364</v>
      </c>
      <c r="B205" s="273" t="s">
        <v>365</v>
      </c>
      <c r="C205" s="274">
        <v>25200</v>
      </c>
      <c r="D205" s="273" t="s">
        <v>133</v>
      </c>
      <c r="E205" s="273" t="s">
        <v>134</v>
      </c>
      <c r="F205" s="273" t="s">
        <v>130</v>
      </c>
      <c r="G205" s="273" t="s">
        <v>131</v>
      </c>
      <c r="H205" s="275">
        <v>252</v>
      </c>
      <c r="I205" s="275" t="s">
        <v>65</v>
      </c>
      <c r="J205" s="270" t="s">
        <v>135</v>
      </c>
    </row>
    <row r="206" ht="21" hidden="1" spans="1:10">
      <c r="A206" s="273" t="s">
        <v>364</v>
      </c>
      <c r="B206" s="273" t="s">
        <v>365</v>
      </c>
      <c r="C206" s="274">
        <v>25300</v>
      </c>
      <c r="D206" s="273" t="s">
        <v>136</v>
      </c>
      <c r="E206" s="273" t="s">
        <v>137</v>
      </c>
      <c r="F206" s="273" t="s">
        <v>112</v>
      </c>
      <c r="G206" s="273" t="s">
        <v>113</v>
      </c>
      <c r="H206" s="275">
        <v>253</v>
      </c>
      <c r="I206" s="275" t="s">
        <v>65</v>
      </c>
      <c r="J206" s="270" t="s">
        <v>138</v>
      </c>
    </row>
    <row r="207" ht="21" hidden="1" spans="1:10">
      <c r="A207" s="273" t="s">
        <v>364</v>
      </c>
      <c r="B207" s="273" t="s">
        <v>365</v>
      </c>
      <c r="C207" s="274">
        <v>25400</v>
      </c>
      <c r="D207" s="273" t="s">
        <v>139</v>
      </c>
      <c r="E207" s="273" t="s">
        <v>140</v>
      </c>
      <c r="F207" s="273" t="s">
        <v>63</v>
      </c>
      <c r="G207" s="273" t="s">
        <v>141</v>
      </c>
      <c r="H207" s="275">
        <v>254</v>
      </c>
      <c r="I207" s="275"/>
      <c r="J207" s="270" t="s">
        <v>142</v>
      </c>
    </row>
    <row r="208" ht="31.5" hidden="1" spans="1:10">
      <c r="A208" s="273" t="s">
        <v>364</v>
      </c>
      <c r="B208" s="273" t="s">
        <v>365</v>
      </c>
      <c r="C208" s="274">
        <v>25500</v>
      </c>
      <c r="D208" s="273" t="s">
        <v>143</v>
      </c>
      <c r="E208" s="273" t="s">
        <v>144</v>
      </c>
      <c r="F208" s="273" t="s">
        <v>145</v>
      </c>
      <c r="G208" s="273" t="s">
        <v>146</v>
      </c>
      <c r="H208" s="275">
        <v>255</v>
      </c>
      <c r="I208" s="275"/>
      <c r="J208" s="270" t="s">
        <v>262</v>
      </c>
    </row>
    <row r="209" hidden="1" spans="1:10">
      <c r="A209" s="273" t="s">
        <v>364</v>
      </c>
      <c r="B209" s="273" t="s">
        <v>365</v>
      </c>
      <c r="C209" s="274">
        <v>25600</v>
      </c>
      <c r="D209" s="273" t="s">
        <v>373</v>
      </c>
      <c r="E209" s="273" t="s">
        <v>374</v>
      </c>
      <c r="F209" s="273" t="s">
        <v>125</v>
      </c>
      <c r="G209" s="273" t="s">
        <v>126</v>
      </c>
      <c r="H209" s="275">
        <v>256</v>
      </c>
      <c r="I209" s="275"/>
      <c r="J209" s="270" t="s">
        <v>375</v>
      </c>
    </row>
    <row r="210" hidden="1" spans="1:10">
      <c r="A210" s="273" t="s">
        <v>364</v>
      </c>
      <c r="B210" s="273" t="s">
        <v>365</v>
      </c>
      <c r="C210" s="274">
        <v>25700</v>
      </c>
      <c r="D210" s="273" t="s">
        <v>376</v>
      </c>
      <c r="E210" s="273" t="s">
        <v>377</v>
      </c>
      <c r="F210" s="273" t="s">
        <v>125</v>
      </c>
      <c r="G210" s="273" t="s">
        <v>126</v>
      </c>
      <c r="H210" s="275">
        <v>257</v>
      </c>
      <c r="I210" s="275"/>
      <c r="J210" s="270" t="s">
        <v>378</v>
      </c>
    </row>
    <row r="211" hidden="1" spans="1:10">
      <c r="A211" s="273" t="s">
        <v>364</v>
      </c>
      <c r="B211" s="273" t="s">
        <v>365</v>
      </c>
      <c r="C211" s="274">
        <v>25800</v>
      </c>
      <c r="D211" s="273" t="s">
        <v>379</v>
      </c>
      <c r="E211" s="273" t="s">
        <v>380</v>
      </c>
      <c r="F211" s="273" t="s">
        <v>125</v>
      </c>
      <c r="G211" s="273" t="s">
        <v>126</v>
      </c>
      <c r="H211" s="275">
        <v>258</v>
      </c>
      <c r="I211" s="275"/>
      <c r="J211" s="270" t="s">
        <v>381</v>
      </c>
    </row>
    <row r="212" hidden="1" spans="1:10">
      <c r="A212" s="273" t="s">
        <v>364</v>
      </c>
      <c r="B212" s="273" t="s">
        <v>365</v>
      </c>
      <c r="C212" s="274">
        <v>25900</v>
      </c>
      <c r="D212" s="273" t="s">
        <v>382</v>
      </c>
      <c r="E212" s="273" t="s">
        <v>383</v>
      </c>
      <c r="F212" s="273" t="s">
        <v>125</v>
      </c>
      <c r="G212" s="273" t="s">
        <v>126</v>
      </c>
      <c r="H212" s="275">
        <v>259</v>
      </c>
      <c r="I212" s="275"/>
      <c r="J212" s="270" t="s">
        <v>384</v>
      </c>
    </row>
    <row r="213" ht="21" hidden="1" spans="1:10">
      <c r="A213" s="273" t="s">
        <v>364</v>
      </c>
      <c r="B213" s="273" t="s">
        <v>365</v>
      </c>
      <c r="C213" s="274">
        <v>26000</v>
      </c>
      <c r="D213" s="273" t="s">
        <v>153</v>
      </c>
      <c r="E213" s="273" t="s">
        <v>154</v>
      </c>
      <c r="F213" s="273" t="s">
        <v>155</v>
      </c>
      <c r="G213" s="273" t="s">
        <v>156</v>
      </c>
      <c r="H213" s="275">
        <v>260</v>
      </c>
      <c r="I213" s="275" t="s">
        <v>65</v>
      </c>
      <c r="J213" s="270" t="s">
        <v>157</v>
      </c>
    </row>
    <row r="214" ht="73.5" hidden="1" spans="1:10">
      <c r="A214" s="273" t="s">
        <v>364</v>
      </c>
      <c r="B214" s="273" t="s">
        <v>365</v>
      </c>
      <c r="C214" s="274">
        <v>26100</v>
      </c>
      <c r="D214" s="273" t="s">
        <v>158</v>
      </c>
      <c r="E214" s="273" t="s">
        <v>159</v>
      </c>
      <c r="F214" s="273" t="s">
        <v>155</v>
      </c>
      <c r="G214" s="273" t="s">
        <v>156</v>
      </c>
      <c r="H214" s="275">
        <v>261</v>
      </c>
      <c r="I214" s="275"/>
      <c r="J214" s="270" t="s">
        <v>160</v>
      </c>
    </row>
    <row r="215" ht="21" hidden="1" spans="1:10">
      <c r="A215" s="273" t="s">
        <v>364</v>
      </c>
      <c r="B215" s="273" t="s">
        <v>365</v>
      </c>
      <c r="C215" s="274">
        <v>26200</v>
      </c>
      <c r="D215" s="273" t="s">
        <v>385</v>
      </c>
      <c r="E215" s="273" t="s">
        <v>386</v>
      </c>
      <c r="F215" s="273" t="s">
        <v>120</v>
      </c>
      <c r="G215" s="273" t="s">
        <v>121</v>
      </c>
      <c r="H215" s="275">
        <v>262</v>
      </c>
      <c r="I215" s="275"/>
      <c r="J215" s="270" t="s">
        <v>387</v>
      </c>
    </row>
    <row r="216" ht="31.5" hidden="1" spans="1:10">
      <c r="A216" s="273" t="s">
        <v>364</v>
      </c>
      <c r="B216" s="273" t="s">
        <v>365</v>
      </c>
      <c r="C216" s="274">
        <v>26300</v>
      </c>
      <c r="D216" s="273" t="s">
        <v>316</v>
      </c>
      <c r="E216" s="273" t="s">
        <v>317</v>
      </c>
      <c r="F216" s="273" t="s">
        <v>120</v>
      </c>
      <c r="G216" s="273" t="s">
        <v>121</v>
      </c>
      <c r="H216" s="275">
        <v>263</v>
      </c>
      <c r="I216" s="275"/>
      <c r="J216" s="270" t="s">
        <v>166</v>
      </c>
    </row>
    <row r="217" ht="31.5" hidden="1" spans="1:10">
      <c r="A217" s="273" t="s">
        <v>364</v>
      </c>
      <c r="B217" s="273" t="s">
        <v>365</v>
      </c>
      <c r="C217" s="274">
        <v>26400</v>
      </c>
      <c r="D217" s="273" t="s">
        <v>318</v>
      </c>
      <c r="E217" s="273" t="s">
        <v>319</v>
      </c>
      <c r="F217" s="273" t="s">
        <v>120</v>
      </c>
      <c r="G217" s="273" t="s">
        <v>121</v>
      </c>
      <c r="H217" s="275">
        <v>264</v>
      </c>
      <c r="I217" s="275"/>
      <c r="J217" s="270" t="s">
        <v>169</v>
      </c>
    </row>
    <row r="218" ht="63" hidden="1" spans="1:10">
      <c r="A218" s="273" t="s">
        <v>364</v>
      </c>
      <c r="B218" s="273" t="s">
        <v>365</v>
      </c>
      <c r="C218" s="274">
        <v>26500</v>
      </c>
      <c r="D218" s="273" t="s">
        <v>191</v>
      </c>
      <c r="E218" s="273" t="s">
        <v>192</v>
      </c>
      <c r="F218" s="273" t="s">
        <v>112</v>
      </c>
      <c r="G218" s="273" t="s">
        <v>113</v>
      </c>
      <c r="H218" s="275">
        <v>265</v>
      </c>
      <c r="I218" s="275" t="s">
        <v>65</v>
      </c>
      <c r="J218" s="270" t="s">
        <v>193</v>
      </c>
    </row>
    <row r="219" hidden="1" spans="1:10">
      <c r="A219" s="273" t="s">
        <v>364</v>
      </c>
      <c r="B219" s="273" t="s">
        <v>365</v>
      </c>
      <c r="C219" s="274">
        <v>26600</v>
      </c>
      <c r="D219" s="273" t="s">
        <v>194</v>
      </c>
      <c r="E219" s="273" t="s">
        <v>195</v>
      </c>
      <c r="F219" s="273" t="s">
        <v>125</v>
      </c>
      <c r="G219" s="273" t="s">
        <v>126</v>
      </c>
      <c r="H219" s="275">
        <v>266</v>
      </c>
      <c r="I219" s="275" t="s">
        <v>65</v>
      </c>
      <c r="J219" s="270" t="s">
        <v>196</v>
      </c>
    </row>
    <row r="220" ht="31.5" hidden="1" spans="1:10">
      <c r="A220" s="273" t="s">
        <v>364</v>
      </c>
      <c r="B220" s="273" t="s">
        <v>365</v>
      </c>
      <c r="C220" s="274">
        <v>26700</v>
      </c>
      <c r="D220" s="273" t="s">
        <v>197</v>
      </c>
      <c r="E220" s="273" t="s">
        <v>198</v>
      </c>
      <c r="F220" s="273" t="s">
        <v>125</v>
      </c>
      <c r="G220" s="273" t="s">
        <v>126</v>
      </c>
      <c r="H220" s="275">
        <v>267</v>
      </c>
      <c r="I220" s="275"/>
      <c r="J220" s="270" t="s">
        <v>199</v>
      </c>
    </row>
    <row r="221" ht="63" hidden="1" spans="1:10">
      <c r="A221" s="273" t="s">
        <v>364</v>
      </c>
      <c r="B221" s="273" t="s">
        <v>365</v>
      </c>
      <c r="C221" s="274">
        <v>26800</v>
      </c>
      <c r="D221" s="273" t="s">
        <v>200</v>
      </c>
      <c r="E221" s="273" t="s">
        <v>277</v>
      </c>
      <c r="F221" s="273" t="s">
        <v>125</v>
      </c>
      <c r="G221" s="273" t="s">
        <v>126</v>
      </c>
      <c r="H221" s="275">
        <v>268</v>
      </c>
      <c r="I221" s="275"/>
      <c r="J221" s="270" t="s">
        <v>202</v>
      </c>
    </row>
    <row r="222" ht="42" hidden="1" spans="1:10">
      <c r="A222" s="273" t="s">
        <v>364</v>
      </c>
      <c r="B222" s="273" t="s">
        <v>365</v>
      </c>
      <c r="C222" s="274">
        <v>26900</v>
      </c>
      <c r="D222" s="273" t="s">
        <v>203</v>
      </c>
      <c r="E222" s="273" t="s">
        <v>278</v>
      </c>
      <c r="F222" s="273" t="s">
        <v>125</v>
      </c>
      <c r="G222" s="273" t="s">
        <v>126</v>
      </c>
      <c r="H222" s="275">
        <v>269</v>
      </c>
      <c r="I222" s="275"/>
      <c r="J222" s="270" t="s">
        <v>205</v>
      </c>
    </row>
    <row r="223" ht="42" hidden="1" spans="1:10">
      <c r="A223" s="273" t="s">
        <v>364</v>
      </c>
      <c r="B223" s="273" t="s">
        <v>365</v>
      </c>
      <c r="C223" s="274">
        <v>27000</v>
      </c>
      <c r="D223" s="273" t="s">
        <v>206</v>
      </c>
      <c r="E223" s="273" t="s">
        <v>207</v>
      </c>
      <c r="F223" s="273" t="s">
        <v>112</v>
      </c>
      <c r="G223" s="273" t="s">
        <v>113</v>
      </c>
      <c r="H223" s="275">
        <v>270</v>
      </c>
      <c r="I223" s="275"/>
      <c r="J223" s="270" t="s">
        <v>208</v>
      </c>
    </row>
    <row r="224" ht="84" hidden="1" spans="1:10">
      <c r="A224" s="273" t="s">
        <v>364</v>
      </c>
      <c r="B224" s="273" t="s">
        <v>365</v>
      </c>
      <c r="C224" s="274">
        <v>27100</v>
      </c>
      <c r="D224" s="273" t="s">
        <v>209</v>
      </c>
      <c r="E224" s="273" t="s">
        <v>210</v>
      </c>
      <c r="F224" s="273" t="s">
        <v>130</v>
      </c>
      <c r="G224" s="273" t="s">
        <v>131</v>
      </c>
      <c r="H224" s="275">
        <v>271</v>
      </c>
      <c r="I224" s="275"/>
      <c r="J224" s="270" t="s">
        <v>211</v>
      </c>
    </row>
    <row r="225" ht="73.5" hidden="1" spans="1:10">
      <c r="A225" s="273" t="s">
        <v>364</v>
      </c>
      <c r="B225" s="273" t="s">
        <v>365</v>
      </c>
      <c r="C225" s="274">
        <v>27200</v>
      </c>
      <c r="D225" s="273" t="s">
        <v>212</v>
      </c>
      <c r="E225" s="273" t="s">
        <v>213</v>
      </c>
      <c r="F225" s="273" t="s">
        <v>130</v>
      </c>
      <c r="G225" s="273" t="s">
        <v>131</v>
      </c>
      <c r="H225" s="275">
        <v>272</v>
      </c>
      <c r="I225" s="275" t="s">
        <v>65</v>
      </c>
      <c r="J225" s="270" t="s">
        <v>214</v>
      </c>
    </row>
    <row r="226" hidden="1" spans="1:10">
      <c r="A226" s="273" t="s">
        <v>364</v>
      </c>
      <c r="B226" s="273" t="s">
        <v>365</v>
      </c>
      <c r="C226" s="274">
        <v>27300</v>
      </c>
      <c r="D226" s="273" t="s">
        <v>323</v>
      </c>
      <c r="E226" s="273" t="s">
        <v>324</v>
      </c>
      <c r="F226" s="273" t="s">
        <v>125</v>
      </c>
      <c r="G226" s="273" t="s">
        <v>126</v>
      </c>
      <c r="H226" s="275">
        <v>273</v>
      </c>
      <c r="I226" s="275"/>
      <c r="J226" s="270" t="s">
        <v>325</v>
      </c>
    </row>
    <row r="227" ht="52.5" hidden="1" spans="1:10">
      <c r="A227" s="273" t="s">
        <v>364</v>
      </c>
      <c r="B227" s="273" t="s">
        <v>365</v>
      </c>
      <c r="C227" s="274">
        <v>27400</v>
      </c>
      <c r="D227" s="273" t="s">
        <v>215</v>
      </c>
      <c r="E227" s="273" t="s">
        <v>216</v>
      </c>
      <c r="F227" s="273" t="s">
        <v>112</v>
      </c>
      <c r="G227" s="273" t="s">
        <v>113</v>
      </c>
      <c r="H227" s="275">
        <v>274</v>
      </c>
      <c r="I227" s="275" t="s">
        <v>65</v>
      </c>
      <c r="J227" s="270" t="s">
        <v>217</v>
      </c>
    </row>
    <row r="228" ht="21" hidden="1" spans="1:10">
      <c r="A228" s="273" t="s">
        <v>364</v>
      </c>
      <c r="B228" s="273" t="s">
        <v>365</v>
      </c>
      <c r="C228" s="274">
        <v>27500</v>
      </c>
      <c r="D228" s="273" t="s">
        <v>222</v>
      </c>
      <c r="E228" s="273" t="s">
        <v>223</v>
      </c>
      <c r="F228" s="273" t="s">
        <v>58</v>
      </c>
      <c r="G228" s="273" t="s">
        <v>220</v>
      </c>
      <c r="H228" s="275">
        <v>275</v>
      </c>
      <c r="I228" s="275"/>
      <c r="J228" s="270" t="s">
        <v>221</v>
      </c>
    </row>
    <row r="229" ht="21" hidden="1" spans="1:10">
      <c r="A229" s="273" t="s">
        <v>364</v>
      </c>
      <c r="B229" s="273" t="s">
        <v>365</v>
      </c>
      <c r="C229" s="274">
        <v>27600</v>
      </c>
      <c r="D229" s="273" t="s">
        <v>224</v>
      </c>
      <c r="E229" s="273" t="s">
        <v>225</v>
      </c>
      <c r="F229" s="273" t="s">
        <v>58</v>
      </c>
      <c r="G229" s="273" t="s">
        <v>220</v>
      </c>
      <c r="H229" s="275">
        <v>276</v>
      </c>
      <c r="I229" s="275"/>
      <c r="J229" s="270" t="s">
        <v>221</v>
      </c>
    </row>
    <row r="230" ht="21" hidden="1" spans="1:10">
      <c r="A230" s="273" t="s">
        <v>364</v>
      </c>
      <c r="B230" s="273" t="s">
        <v>365</v>
      </c>
      <c r="C230" s="274">
        <v>27700</v>
      </c>
      <c r="D230" s="273" t="s">
        <v>226</v>
      </c>
      <c r="E230" s="273" t="s">
        <v>227</v>
      </c>
      <c r="F230" s="273" t="s">
        <v>58</v>
      </c>
      <c r="G230" s="273" t="s">
        <v>220</v>
      </c>
      <c r="H230" s="275">
        <v>277</v>
      </c>
      <c r="I230" s="275"/>
      <c r="J230" s="270" t="s">
        <v>221</v>
      </c>
    </row>
    <row r="231" ht="21" hidden="1" spans="1:10">
      <c r="A231" s="273" t="s">
        <v>364</v>
      </c>
      <c r="B231" s="273" t="s">
        <v>365</v>
      </c>
      <c r="C231" s="274">
        <v>27800</v>
      </c>
      <c r="D231" s="273" t="s">
        <v>228</v>
      </c>
      <c r="E231" s="273" t="s">
        <v>229</v>
      </c>
      <c r="F231" s="273" t="s">
        <v>58</v>
      </c>
      <c r="G231" s="273" t="s">
        <v>220</v>
      </c>
      <c r="H231" s="275">
        <v>278</v>
      </c>
      <c r="I231" s="275"/>
      <c r="J231" s="270" t="s">
        <v>221</v>
      </c>
    </row>
    <row r="232" ht="21" hidden="1" spans="1:10">
      <c r="A232" s="273" t="s">
        <v>364</v>
      </c>
      <c r="B232" s="273" t="s">
        <v>365</v>
      </c>
      <c r="C232" s="274">
        <v>27900</v>
      </c>
      <c r="D232" s="273" t="s">
        <v>388</v>
      </c>
      <c r="E232" s="273" t="s">
        <v>389</v>
      </c>
      <c r="F232" s="273" t="s">
        <v>58</v>
      </c>
      <c r="G232" s="273" t="s">
        <v>220</v>
      </c>
      <c r="H232" s="275">
        <v>279</v>
      </c>
      <c r="I232" s="275"/>
      <c r="J232" s="270" t="s">
        <v>221</v>
      </c>
    </row>
    <row r="233" ht="21" hidden="1" spans="1:10">
      <c r="A233" s="273" t="s">
        <v>364</v>
      </c>
      <c r="B233" s="273" t="s">
        <v>365</v>
      </c>
      <c r="C233" s="274">
        <v>28000</v>
      </c>
      <c r="D233" s="273" t="s">
        <v>330</v>
      </c>
      <c r="E233" s="273" t="s">
        <v>331</v>
      </c>
      <c r="F233" s="273" t="s">
        <v>58</v>
      </c>
      <c r="G233" s="273" t="s">
        <v>220</v>
      </c>
      <c r="H233" s="275">
        <v>280</v>
      </c>
      <c r="I233" s="275"/>
      <c r="J233" s="270" t="s">
        <v>221</v>
      </c>
    </row>
    <row r="234" ht="21" hidden="1" spans="1:10">
      <c r="A234" s="273" t="s">
        <v>364</v>
      </c>
      <c r="B234" s="273" t="s">
        <v>365</v>
      </c>
      <c r="C234" s="274">
        <v>28100</v>
      </c>
      <c r="D234" s="273" t="s">
        <v>332</v>
      </c>
      <c r="E234" s="273" t="s">
        <v>333</v>
      </c>
      <c r="F234" s="273" t="s">
        <v>58</v>
      </c>
      <c r="G234" s="273" t="s">
        <v>220</v>
      </c>
      <c r="H234" s="275">
        <v>281</v>
      </c>
      <c r="I234" s="275"/>
      <c r="J234" s="270" t="s">
        <v>221</v>
      </c>
    </row>
    <row r="235" hidden="1" spans="1:10">
      <c r="A235" s="273" t="s">
        <v>364</v>
      </c>
      <c r="B235" s="273" t="s">
        <v>365</v>
      </c>
      <c r="C235" s="274">
        <v>28200</v>
      </c>
      <c r="D235" s="273" t="s">
        <v>238</v>
      </c>
      <c r="E235" s="273" t="s">
        <v>239</v>
      </c>
      <c r="F235" s="273" t="s">
        <v>240</v>
      </c>
      <c r="G235" s="273" t="s">
        <v>241</v>
      </c>
      <c r="H235" s="275">
        <v>282</v>
      </c>
      <c r="I235" s="275"/>
      <c r="J235" s="270" t="s">
        <v>4</v>
      </c>
    </row>
    <row r="236" ht="73.5" hidden="1" spans="1:10">
      <c r="A236" s="273" t="s">
        <v>390</v>
      </c>
      <c r="B236" s="273" t="s">
        <v>391</v>
      </c>
      <c r="C236" s="274">
        <v>28500</v>
      </c>
      <c r="D236" s="273" t="s">
        <v>56</v>
      </c>
      <c r="E236" s="273" t="s">
        <v>57</v>
      </c>
      <c r="F236" s="273" t="s">
        <v>58</v>
      </c>
      <c r="G236" s="273" t="s">
        <v>59</v>
      </c>
      <c r="H236" s="275">
        <v>285</v>
      </c>
      <c r="I236" s="275" t="s">
        <v>65</v>
      </c>
      <c r="J236" s="270" t="s">
        <v>244</v>
      </c>
    </row>
    <row r="237" ht="31.5" hidden="1" spans="1:10">
      <c r="A237" s="273" t="s">
        <v>390</v>
      </c>
      <c r="B237" s="273" t="s">
        <v>391</v>
      </c>
      <c r="C237" s="274">
        <v>28700</v>
      </c>
      <c r="D237" s="273" t="s">
        <v>245</v>
      </c>
      <c r="E237" s="273" t="s">
        <v>246</v>
      </c>
      <c r="F237" s="273" t="s">
        <v>58</v>
      </c>
      <c r="G237" s="273" t="s">
        <v>59</v>
      </c>
      <c r="H237" s="275">
        <v>287</v>
      </c>
      <c r="I237" s="275" t="s">
        <v>65</v>
      </c>
      <c r="J237" s="270" t="s">
        <v>247</v>
      </c>
    </row>
    <row r="238" ht="21" hidden="1" spans="1:10">
      <c r="A238" s="273" t="s">
        <v>390</v>
      </c>
      <c r="B238" s="273" t="s">
        <v>391</v>
      </c>
      <c r="C238" s="274">
        <v>28800</v>
      </c>
      <c r="D238" s="273" t="s">
        <v>248</v>
      </c>
      <c r="E238" s="273" t="s">
        <v>249</v>
      </c>
      <c r="F238" s="273" t="s">
        <v>112</v>
      </c>
      <c r="G238" s="273" t="s">
        <v>113</v>
      </c>
      <c r="H238" s="275">
        <v>288</v>
      </c>
      <c r="I238" s="275" t="s">
        <v>65</v>
      </c>
      <c r="J238" s="270" t="s">
        <v>250</v>
      </c>
    </row>
    <row r="239" ht="63" hidden="1" spans="1:10">
      <c r="A239" s="273" t="s">
        <v>392</v>
      </c>
      <c r="B239" s="273" t="s">
        <v>393</v>
      </c>
      <c r="C239" s="274">
        <v>29100</v>
      </c>
      <c r="D239" s="273" t="s">
        <v>56</v>
      </c>
      <c r="E239" s="273" t="s">
        <v>57</v>
      </c>
      <c r="F239" s="273" t="s">
        <v>58</v>
      </c>
      <c r="G239" s="273" t="s">
        <v>59</v>
      </c>
      <c r="H239" s="275">
        <v>291</v>
      </c>
      <c r="I239" s="275" t="s">
        <v>65</v>
      </c>
      <c r="J239" s="270" t="s">
        <v>285</v>
      </c>
    </row>
    <row r="240" ht="42" hidden="1" spans="1:10">
      <c r="A240" s="273" t="s">
        <v>392</v>
      </c>
      <c r="B240" s="273" t="s">
        <v>393</v>
      </c>
      <c r="C240" s="274">
        <v>29300</v>
      </c>
      <c r="D240" s="273" t="s">
        <v>254</v>
      </c>
      <c r="E240" s="273" t="s">
        <v>255</v>
      </c>
      <c r="F240" s="273" t="s">
        <v>58</v>
      </c>
      <c r="G240" s="273" t="s">
        <v>59</v>
      </c>
      <c r="H240" s="275">
        <v>293</v>
      </c>
      <c r="I240" s="275" t="s">
        <v>65</v>
      </c>
      <c r="J240" s="270" t="s">
        <v>256</v>
      </c>
    </row>
    <row r="241" ht="31.5" hidden="1" spans="1:10">
      <c r="A241" s="273" t="s">
        <v>392</v>
      </c>
      <c r="B241" s="273" t="s">
        <v>393</v>
      </c>
      <c r="C241" s="274">
        <v>29400</v>
      </c>
      <c r="D241" s="273" t="s">
        <v>257</v>
      </c>
      <c r="E241" s="273" t="s">
        <v>258</v>
      </c>
      <c r="F241" s="273" t="s">
        <v>112</v>
      </c>
      <c r="G241" s="273" t="s">
        <v>113</v>
      </c>
      <c r="H241" s="275">
        <v>294</v>
      </c>
      <c r="I241" s="275" t="s">
        <v>65</v>
      </c>
      <c r="J241" s="270" t="s">
        <v>259</v>
      </c>
    </row>
    <row r="242" ht="21" hidden="1" spans="1:10">
      <c r="A242" s="273" t="s">
        <v>394</v>
      </c>
      <c r="B242" s="273" t="s">
        <v>395</v>
      </c>
      <c r="C242" s="274">
        <v>103900</v>
      </c>
      <c r="D242" s="273" t="s">
        <v>56</v>
      </c>
      <c r="E242" s="273" t="s">
        <v>57</v>
      </c>
      <c r="F242" s="273" t="s">
        <v>58</v>
      </c>
      <c r="G242" s="273" t="s">
        <v>59</v>
      </c>
      <c r="H242" s="275">
        <v>1170</v>
      </c>
      <c r="I242" s="275"/>
      <c r="J242" s="270" t="s">
        <v>60</v>
      </c>
    </row>
    <row r="243" ht="63" hidden="1" spans="1:10">
      <c r="A243" s="273" t="s">
        <v>394</v>
      </c>
      <c r="B243" s="273" t="s">
        <v>395</v>
      </c>
      <c r="C243" s="274">
        <v>104100</v>
      </c>
      <c r="D243" s="273" t="s">
        <v>61</v>
      </c>
      <c r="E243" s="273" t="s">
        <v>62</v>
      </c>
      <c r="F243" s="273" t="s">
        <v>63</v>
      </c>
      <c r="G243" s="273" t="s">
        <v>64</v>
      </c>
      <c r="H243" s="275">
        <v>1172</v>
      </c>
      <c r="I243" s="275" t="s">
        <v>65</v>
      </c>
      <c r="J243" s="270" t="s">
        <v>366</v>
      </c>
    </row>
    <row r="244" ht="21" hidden="1" spans="1:10">
      <c r="A244" s="273" t="s">
        <v>394</v>
      </c>
      <c r="B244" s="273" t="s">
        <v>395</v>
      </c>
      <c r="C244" s="274">
        <v>104200</v>
      </c>
      <c r="D244" s="273" t="s">
        <v>67</v>
      </c>
      <c r="E244" s="273" t="s">
        <v>68</v>
      </c>
      <c r="F244" s="273" t="s">
        <v>63</v>
      </c>
      <c r="G244" s="273" t="s">
        <v>69</v>
      </c>
      <c r="H244" s="275">
        <v>1173</v>
      </c>
      <c r="I244" s="275"/>
      <c r="J244" s="270" t="s">
        <v>70</v>
      </c>
    </row>
    <row r="245" hidden="1" spans="1:10">
      <c r="A245" s="273" t="s">
        <v>394</v>
      </c>
      <c r="B245" s="273" t="s">
        <v>395</v>
      </c>
      <c r="C245" s="274">
        <v>104300</v>
      </c>
      <c r="D245" s="273" t="s">
        <v>71</v>
      </c>
      <c r="E245" s="273" t="s">
        <v>72</v>
      </c>
      <c r="F245" s="273" t="s">
        <v>73</v>
      </c>
      <c r="G245" s="273" t="s">
        <v>74</v>
      </c>
      <c r="H245" s="275">
        <v>1174</v>
      </c>
      <c r="I245" s="275" t="s">
        <v>65</v>
      </c>
      <c r="J245" s="270" t="s">
        <v>75</v>
      </c>
    </row>
    <row r="246" hidden="1" spans="1:10">
      <c r="A246" s="273" t="s">
        <v>394</v>
      </c>
      <c r="B246" s="273" t="s">
        <v>395</v>
      </c>
      <c r="C246" s="274">
        <v>104400</v>
      </c>
      <c r="D246" s="273" t="s">
        <v>76</v>
      </c>
      <c r="E246" s="273" t="s">
        <v>77</v>
      </c>
      <c r="F246" s="273" t="s">
        <v>73</v>
      </c>
      <c r="G246" s="273" t="s">
        <v>74</v>
      </c>
      <c r="H246" s="275">
        <v>1175</v>
      </c>
      <c r="I246" s="275" t="s">
        <v>65</v>
      </c>
      <c r="J246" s="270" t="s">
        <v>78</v>
      </c>
    </row>
    <row r="247" ht="21" hidden="1" spans="1:10">
      <c r="A247" s="273" t="s">
        <v>394</v>
      </c>
      <c r="B247" s="273" t="s">
        <v>395</v>
      </c>
      <c r="C247" s="274">
        <v>104500</v>
      </c>
      <c r="D247" s="273" t="s">
        <v>79</v>
      </c>
      <c r="E247" s="273" t="s">
        <v>80</v>
      </c>
      <c r="F247" s="273" t="s">
        <v>81</v>
      </c>
      <c r="G247" s="273" t="s">
        <v>82</v>
      </c>
      <c r="H247" s="275">
        <v>1176</v>
      </c>
      <c r="I247" s="275" t="s">
        <v>65</v>
      </c>
      <c r="J247" s="270" t="s">
        <v>83</v>
      </c>
    </row>
    <row r="248" ht="21" hidden="1" spans="1:10">
      <c r="A248" s="273" t="s">
        <v>394</v>
      </c>
      <c r="B248" s="273" t="s">
        <v>395</v>
      </c>
      <c r="C248" s="274">
        <v>116400</v>
      </c>
      <c r="D248" s="273" t="s">
        <v>84</v>
      </c>
      <c r="E248" s="273" t="s">
        <v>85</v>
      </c>
      <c r="F248" s="273" t="s">
        <v>58</v>
      </c>
      <c r="G248" s="273" t="s">
        <v>86</v>
      </c>
      <c r="H248" s="275">
        <v>1277</v>
      </c>
      <c r="I248" s="275"/>
      <c r="J248" s="270" t="s">
        <v>87</v>
      </c>
    </row>
    <row r="249" ht="21" hidden="1" spans="1:10">
      <c r="A249" s="273" t="s">
        <v>394</v>
      </c>
      <c r="B249" s="273" t="s">
        <v>395</v>
      </c>
      <c r="C249" s="274">
        <v>116500</v>
      </c>
      <c r="D249" s="273" t="s">
        <v>88</v>
      </c>
      <c r="E249" s="273" t="s">
        <v>89</v>
      </c>
      <c r="F249" s="273" t="s">
        <v>63</v>
      </c>
      <c r="G249" s="273" t="s">
        <v>90</v>
      </c>
      <c r="H249" s="275">
        <v>1278</v>
      </c>
      <c r="I249" s="275"/>
      <c r="J249" s="270" t="s">
        <v>91</v>
      </c>
    </row>
    <row r="250" hidden="1" spans="1:10">
      <c r="A250" s="273" t="s">
        <v>394</v>
      </c>
      <c r="B250" s="273" t="s">
        <v>395</v>
      </c>
      <c r="C250" s="274">
        <v>104800</v>
      </c>
      <c r="D250" s="273" t="s">
        <v>396</v>
      </c>
      <c r="E250" s="273" t="s">
        <v>397</v>
      </c>
      <c r="F250" s="273" t="s">
        <v>73</v>
      </c>
      <c r="G250" s="273" t="s">
        <v>94</v>
      </c>
      <c r="H250" s="275">
        <v>1179</v>
      </c>
      <c r="I250" s="275"/>
      <c r="J250" s="270" t="s">
        <v>398</v>
      </c>
    </row>
    <row r="251" hidden="1" spans="1:10">
      <c r="A251" s="273" t="s">
        <v>394</v>
      </c>
      <c r="B251" s="273" t="s">
        <v>395</v>
      </c>
      <c r="C251" s="274">
        <v>104900</v>
      </c>
      <c r="D251" s="273" t="s">
        <v>96</v>
      </c>
      <c r="E251" s="273" t="s">
        <v>97</v>
      </c>
      <c r="F251" s="273" t="s">
        <v>63</v>
      </c>
      <c r="G251" s="273" t="s">
        <v>69</v>
      </c>
      <c r="H251" s="275">
        <v>1180</v>
      </c>
      <c r="I251" s="275"/>
      <c r="J251" s="270" t="s">
        <v>98</v>
      </c>
    </row>
    <row r="252" hidden="1" spans="1:10">
      <c r="A252" s="273" t="s">
        <v>394</v>
      </c>
      <c r="B252" s="273" t="s">
        <v>395</v>
      </c>
      <c r="C252" s="274">
        <v>105000</v>
      </c>
      <c r="D252" s="273" t="s">
        <v>99</v>
      </c>
      <c r="E252" s="273" t="s">
        <v>100</v>
      </c>
      <c r="F252" s="273" t="s">
        <v>101</v>
      </c>
      <c r="G252" s="273" t="s">
        <v>102</v>
      </c>
      <c r="H252" s="275">
        <v>1181</v>
      </c>
      <c r="I252" s="275" t="s">
        <v>65</v>
      </c>
      <c r="J252" s="270" t="s">
        <v>103</v>
      </c>
    </row>
    <row r="253" ht="73.5" hidden="1" spans="1:10">
      <c r="A253" s="273" t="s">
        <v>394</v>
      </c>
      <c r="B253" s="273" t="s">
        <v>395</v>
      </c>
      <c r="C253" s="274">
        <v>105100</v>
      </c>
      <c r="D253" s="273" t="s">
        <v>115</v>
      </c>
      <c r="E253" s="273" t="s">
        <v>116</v>
      </c>
      <c r="F253" s="273" t="s">
        <v>63</v>
      </c>
      <c r="G253" s="273" t="s">
        <v>69</v>
      </c>
      <c r="H253" s="275">
        <v>1182</v>
      </c>
      <c r="I253" s="275"/>
      <c r="J253" s="270" t="s">
        <v>117</v>
      </c>
    </row>
    <row r="254" hidden="1" spans="1:10">
      <c r="A254" s="273" t="s">
        <v>394</v>
      </c>
      <c r="B254" s="273" t="s">
        <v>395</v>
      </c>
      <c r="C254" s="274">
        <v>105200</v>
      </c>
      <c r="D254" s="273" t="s">
        <v>118</v>
      </c>
      <c r="E254" s="273" t="s">
        <v>119</v>
      </c>
      <c r="F254" s="273" t="s">
        <v>120</v>
      </c>
      <c r="G254" s="273" t="s">
        <v>121</v>
      </c>
      <c r="H254" s="275">
        <v>1183</v>
      </c>
      <c r="I254" s="275"/>
      <c r="J254" s="270" t="s">
        <v>122</v>
      </c>
    </row>
    <row r="255" hidden="1" spans="1:10">
      <c r="A255" s="273" t="s">
        <v>394</v>
      </c>
      <c r="B255" s="273" t="s">
        <v>395</v>
      </c>
      <c r="C255" s="274">
        <v>117600</v>
      </c>
      <c r="D255" s="273" t="s">
        <v>123</v>
      </c>
      <c r="E255" s="273" t="s">
        <v>124</v>
      </c>
      <c r="F255" s="273" t="s">
        <v>125</v>
      </c>
      <c r="G255" s="273" t="s">
        <v>126</v>
      </c>
      <c r="H255" s="275">
        <v>1289</v>
      </c>
      <c r="I255" s="275"/>
      <c r="J255" s="270" t="s">
        <v>127</v>
      </c>
    </row>
    <row r="256" ht="63" hidden="1" spans="1:10">
      <c r="A256" s="273" t="s">
        <v>394</v>
      </c>
      <c r="B256" s="273" t="s">
        <v>395</v>
      </c>
      <c r="C256" s="274">
        <v>105300</v>
      </c>
      <c r="D256" s="273" t="s">
        <v>128</v>
      </c>
      <c r="E256" s="273" t="s">
        <v>129</v>
      </c>
      <c r="F256" s="273" t="s">
        <v>130</v>
      </c>
      <c r="G256" s="273" t="s">
        <v>131</v>
      </c>
      <c r="H256" s="275">
        <v>1184</v>
      </c>
      <c r="I256" s="275"/>
      <c r="J256" s="270" t="s">
        <v>132</v>
      </c>
    </row>
    <row r="257" ht="52.5" hidden="1" spans="1:10">
      <c r="A257" s="273" t="s">
        <v>394</v>
      </c>
      <c r="B257" s="273" t="s">
        <v>395</v>
      </c>
      <c r="C257" s="274">
        <v>105400</v>
      </c>
      <c r="D257" s="273" t="s">
        <v>133</v>
      </c>
      <c r="E257" s="273" t="s">
        <v>134</v>
      </c>
      <c r="F257" s="273" t="s">
        <v>130</v>
      </c>
      <c r="G257" s="273" t="s">
        <v>131</v>
      </c>
      <c r="H257" s="275">
        <v>1185</v>
      </c>
      <c r="I257" s="275" t="s">
        <v>65</v>
      </c>
      <c r="J257" s="270" t="s">
        <v>135</v>
      </c>
    </row>
    <row r="258" ht="21" hidden="1" spans="1:10">
      <c r="A258" s="273" t="s">
        <v>394</v>
      </c>
      <c r="B258" s="273" t="s">
        <v>395</v>
      </c>
      <c r="C258" s="274">
        <v>105500</v>
      </c>
      <c r="D258" s="273" t="s">
        <v>136</v>
      </c>
      <c r="E258" s="273" t="s">
        <v>137</v>
      </c>
      <c r="F258" s="273" t="s">
        <v>112</v>
      </c>
      <c r="G258" s="273" t="s">
        <v>113</v>
      </c>
      <c r="H258" s="275">
        <v>1186</v>
      </c>
      <c r="I258" s="275" t="s">
        <v>65</v>
      </c>
      <c r="J258" s="270" t="s">
        <v>138</v>
      </c>
    </row>
    <row r="259" ht="21" hidden="1" spans="1:10">
      <c r="A259" s="273" t="s">
        <v>394</v>
      </c>
      <c r="B259" s="273" t="s">
        <v>395</v>
      </c>
      <c r="C259" s="274">
        <v>105600</v>
      </c>
      <c r="D259" s="273" t="s">
        <v>139</v>
      </c>
      <c r="E259" s="273" t="s">
        <v>140</v>
      </c>
      <c r="F259" s="273" t="s">
        <v>63</v>
      </c>
      <c r="G259" s="273" t="s">
        <v>141</v>
      </c>
      <c r="H259" s="275">
        <v>1187</v>
      </c>
      <c r="I259" s="275"/>
      <c r="J259" s="270" t="s">
        <v>142</v>
      </c>
    </row>
    <row r="260" ht="31.5" hidden="1" spans="1:10">
      <c r="A260" s="273" t="s">
        <v>394</v>
      </c>
      <c r="B260" s="273" t="s">
        <v>395</v>
      </c>
      <c r="C260" s="274">
        <v>105700</v>
      </c>
      <c r="D260" s="273" t="s">
        <v>143</v>
      </c>
      <c r="E260" s="273" t="s">
        <v>144</v>
      </c>
      <c r="F260" s="273" t="s">
        <v>145</v>
      </c>
      <c r="G260" s="273" t="s">
        <v>146</v>
      </c>
      <c r="H260" s="275">
        <v>1188</v>
      </c>
      <c r="I260" s="275"/>
      <c r="J260" s="270" t="s">
        <v>262</v>
      </c>
    </row>
    <row r="261" hidden="1" spans="1:10">
      <c r="A261" s="273" t="s">
        <v>394</v>
      </c>
      <c r="B261" s="273" t="s">
        <v>395</v>
      </c>
      <c r="C261" s="274">
        <v>105800</v>
      </c>
      <c r="D261" s="273" t="s">
        <v>399</v>
      </c>
      <c r="E261" s="273" t="s">
        <v>399</v>
      </c>
      <c r="F261" s="273" t="s">
        <v>73</v>
      </c>
      <c r="G261" s="273" t="s">
        <v>74</v>
      </c>
      <c r="H261" s="275">
        <v>1189</v>
      </c>
      <c r="I261" s="275"/>
      <c r="J261" s="270" t="s">
        <v>400</v>
      </c>
    </row>
    <row r="262" hidden="1" spans="1:10">
      <c r="A262" s="273" t="s">
        <v>394</v>
      </c>
      <c r="B262" s="273" t="s">
        <v>395</v>
      </c>
      <c r="C262" s="274">
        <v>105900</v>
      </c>
      <c r="D262" s="273" t="s">
        <v>401</v>
      </c>
      <c r="E262" s="273" t="s">
        <v>401</v>
      </c>
      <c r="F262" s="273" t="s">
        <v>303</v>
      </c>
      <c r="G262" s="273" t="s">
        <v>304</v>
      </c>
      <c r="H262" s="275">
        <v>1190</v>
      </c>
      <c r="I262" s="275"/>
      <c r="J262" s="270" t="s">
        <v>402</v>
      </c>
    </row>
    <row r="263" ht="94.5" hidden="1" spans="1:10">
      <c r="A263" s="273" t="s">
        <v>394</v>
      </c>
      <c r="B263" s="273" t="s">
        <v>395</v>
      </c>
      <c r="C263" s="274">
        <v>106000</v>
      </c>
      <c r="D263" s="273" t="s">
        <v>306</v>
      </c>
      <c r="E263" s="273" t="s">
        <v>307</v>
      </c>
      <c r="F263" s="273" t="s">
        <v>308</v>
      </c>
      <c r="G263" s="273" t="s">
        <v>309</v>
      </c>
      <c r="H263" s="275">
        <v>1191</v>
      </c>
      <c r="I263" s="275" t="s">
        <v>65</v>
      </c>
      <c r="J263" s="270" t="s">
        <v>310</v>
      </c>
    </row>
    <row r="264" ht="42" hidden="1" spans="1:10">
      <c r="A264" s="273" t="s">
        <v>394</v>
      </c>
      <c r="B264" s="273" t="s">
        <v>395</v>
      </c>
      <c r="C264" s="274">
        <v>106100</v>
      </c>
      <c r="D264" s="273" t="s">
        <v>311</v>
      </c>
      <c r="E264" s="273" t="s">
        <v>312</v>
      </c>
      <c r="F264" s="273" t="s">
        <v>313</v>
      </c>
      <c r="G264" s="273" t="s">
        <v>314</v>
      </c>
      <c r="H264" s="275">
        <v>1192</v>
      </c>
      <c r="I264" s="275"/>
      <c r="J264" s="270" t="s">
        <v>315</v>
      </c>
    </row>
    <row r="265" ht="21" hidden="1" spans="1:10">
      <c r="A265" s="273" t="s">
        <v>394</v>
      </c>
      <c r="B265" s="273" t="s">
        <v>395</v>
      </c>
      <c r="C265" s="274">
        <v>106200</v>
      </c>
      <c r="D265" s="273" t="s">
        <v>153</v>
      </c>
      <c r="E265" s="273" t="s">
        <v>154</v>
      </c>
      <c r="F265" s="273" t="s">
        <v>155</v>
      </c>
      <c r="G265" s="273" t="s">
        <v>156</v>
      </c>
      <c r="H265" s="275">
        <v>1193</v>
      </c>
      <c r="I265" s="275" t="s">
        <v>65</v>
      </c>
      <c r="J265" s="270" t="s">
        <v>157</v>
      </c>
    </row>
    <row r="266" ht="21" hidden="1" spans="1:10">
      <c r="A266" s="273" t="s">
        <v>394</v>
      </c>
      <c r="B266" s="273" t="s">
        <v>395</v>
      </c>
      <c r="C266" s="274">
        <v>106300</v>
      </c>
      <c r="D266" s="273" t="s">
        <v>161</v>
      </c>
      <c r="E266" s="273" t="s">
        <v>162</v>
      </c>
      <c r="F266" s="273" t="s">
        <v>120</v>
      </c>
      <c r="G266" s="273" t="s">
        <v>121</v>
      </c>
      <c r="H266" s="275">
        <v>1194</v>
      </c>
      <c r="I266" s="275"/>
      <c r="J266" s="270" t="s">
        <v>403</v>
      </c>
    </row>
    <row r="267" ht="31.5" hidden="1" spans="1:10">
      <c r="A267" s="273" t="s">
        <v>394</v>
      </c>
      <c r="B267" s="273" t="s">
        <v>395</v>
      </c>
      <c r="C267" s="274">
        <v>106400</v>
      </c>
      <c r="D267" s="273" t="s">
        <v>316</v>
      </c>
      <c r="E267" s="273" t="s">
        <v>317</v>
      </c>
      <c r="F267" s="273" t="s">
        <v>120</v>
      </c>
      <c r="G267" s="273" t="s">
        <v>121</v>
      </c>
      <c r="H267" s="275">
        <v>1195</v>
      </c>
      <c r="I267" s="275"/>
      <c r="J267" s="270" t="s">
        <v>166</v>
      </c>
    </row>
    <row r="268" ht="31.5" hidden="1" spans="1:10">
      <c r="A268" s="273" t="s">
        <v>394</v>
      </c>
      <c r="B268" s="273" t="s">
        <v>395</v>
      </c>
      <c r="C268" s="274">
        <v>106500</v>
      </c>
      <c r="D268" s="273" t="s">
        <v>318</v>
      </c>
      <c r="E268" s="273" t="s">
        <v>319</v>
      </c>
      <c r="F268" s="273" t="s">
        <v>120</v>
      </c>
      <c r="G268" s="273" t="s">
        <v>121</v>
      </c>
      <c r="H268" s="275">
        <v>1196</v>
      </c>
      <c r="I268" s="275"/>
      <c r="J268" s="270" t="s">
        <v>169</v>
      </c>
    </row>
    <row r="269" ht="63" hidden="1" spans="1:10">
      <c r="A269" s="273" t="s">
        <v>394</v>
      </c>
      <c r="B269" s="273" t="s">
        <v>395</v>
      </c>
      <c r="C269" s="274">
        <v>106600</v>
      </c>
      <c r="D269" s="273" t="s">
        <v>191</v>
      </c>
      <c r="E269" s="273" t="s">
        <v>192</v>
      </c>
      <c r="F269" s="273" t="s">
        <v>112</v>
      </c>
      <c r="G269" s="273" t="s">
        <v>113</v>
      </c>
      <c r="H269" s="275">
        <v>1197</v>
      </c>
      <c r="I269" s="275" t="s">
        <v>65</v>
      </c>
      <c r="J269" s="270" t="s">
        <v>193</v>
      </c>
    </row>
    <row r="270" hidden="1" spans="1:10">
      <c r="A270" s="273" t="s">
        <v>394</v>
      </c>
      <c r="B270" s="273" t="s">
        <v>395</v>
      </c>
      <c r="C270" s="274">
        <v>106700</v>
      </c>
      <c r="D270" s="273" t="s">
        <v>194</v>
      </c>
      <c r="E270" s="273" t="s">
        <v>195</v>
      </c>
      <c r="F270" s="273" t="s">
        <v>125</v>
      </c>
      <c r="G270" s="273" t="s">
        <v>126</v>
      </c>
      <c r="H270" s="275">
        <v>1198</v>
      </c>
      <c r="I270" s="275" t="s">
        <v>65</v>
      </c>
      <c r="J270" s="270" t="s">
        <v>196</v>
      </c>
    </row>
    <row r="271" hidden="1" spans="1:10">
      <c r="A271" s="273" t="s">
        <v>394</v>
      </c>
      <c r="B271" s="273" t="s">
        <v>395</v>
      </c>
      <c r="C271" s="274">
        <v>106800</v>
      </c>
      <c r="D271" s="273" t="s">
        <v>320</v>
      </c>
      <c r="E271" s="273" t="s">
        <v>321</v>
      </c>
      <c r="F271" s="273" t="s">
        <v>125</v>
      </c>
      <c r="G271" s="273" t="s">
        <v>126</v>
      </c>
      <c r="H271" s="275">
        <v>1199</v>
      </c>
      <c r="I271" s="275"/>
      <c r="J271" s="270" t="s">
        <v>322</v>
      </c>
    </row>
    <row r="272" ht="31.5" hidden="1" spans="1:10">
      <c r="A272" s="273" t="s">
        <v>394</v>
      </c>
      <c r="B272" s="273" t="s">
        <v>395</v>
      </c>
      <c r="C272" s="274">
        <v>106900</v>
      </c>
      <c r="D272" s="273" t="s">
        <v>197</v>
      </c>
      <c r="E272" s="273" t="s">
        <v>198</v>
      </c>
      <c r="F272" s="273" t="s">
        <v>125</v>
      </c>
      <c r="G272" s="273" t="s">
        <v>126</v>
      </c>
      <c r="H272" s="275">
        <v>1200</v>
      </c>
      <c r="I272" s="275"/>
      <c r="J272" s="270" t="s">
        <v>199</v>
      </c>
    </row>
    <row r="273" ht="63" hidden="1" spans="1:10">
      <c r="A273" s="273" t="s">
        <v>394</v>
      </c>
      <c r="B273" s="273" t="s">
        <v>395</v>
      </c>
      <c r="C273" s="274">
        <v>107000</v>
      </c>
      <c r="D273" s="273" t="s">
        <v>200</v>
      </c>
      <c r="E273" s="273" t="s">
        <v>277</v>
      </c>
      <c r="F273" s="273" t="s">
        <v>125</v>
      </c>
      <c r="G273" s="273" t="s">
        <v>126</v>
      </c>
      <c r="H273" s="275">
        <v>1201</v>
      </c>
      <c r="I273" s="275"/>
      <c r="J273" s="270" t="s">
        <v>202</v>
      </c>
    </row>
    <row r="274" ht="42" hidden="1" spans="1:10">
      <c r="A274" s="273" t="s">
        <v>394</v>
      </c>
      <c r="B274" s="273" t="s">
        <v>395</v>
      </c>
      <c r="C274" s="274">
        <v>107100</v>
      </c>
      <c r="D274" s="273" t="s">
        <v>203</v>
      </c>
      <c r="E274" s="273" t="s">
        <v>278</v>
      </c>
      <c r="F274" s="273" t="s">
        <v>125</v>
      </c>
      <c r="G274" s="273" t="s">
        <v>126</v>
      </c>
      <c r="H274" s="275">
        <v>1202</v>
      </c>
      <c r="I274" s="275"/>
      <c r="J274" s="270" t="s">
        <v>205</v>
      </c>
    </row>
    <row r="275" ht="52.5" hidden="1" spans="1:10">
      <c r="A275" s="273" t="s">
        <v>394</v>
      </c>
      <c r="B275" s="273" t="s">
        <v>395</v>
      </c>
      <c r="C275" s="274">
        <v>107200</v>
      </c>
      <c r="D275" s="273" t="s">
        <v>215</v>
      </c>
      <c r="E275" s="273" t="s">
        <v>216</v>
      </c>
      <c r="F275" s="273" t="s">
        <v>112</v>
      </c>
      <c r="G275" s="273" t="s">
        <v>113</v>
      </c>
      <c r="H275" s="275">
        <v>1203</v>
      </c>
      <c r="I275" s="275" t="s">
        <v>65</v>
      </c>
      <c r="J275" s="270" t="s">
        <v>217</v>
      </c>
    </row>
    <row r="276" ht="21" hidden="1" spans="1:10">
      <c r="A276" s="273" t="s">
        <v>394</v>
      </c>
      <c r="B276" s="273" t="s">
        <v>395</v>
      </c>
      <c r="C276" s="274">
        <v>107300</v>
      </c>
      <c r="D276" s="273" t="s">
        <v>222</v>
      </c>
      <c r="E276" s="273" t="s">
        <v>223</v>
      </c>
      <c r="F276" s="273" t="s">
        <v>58</v>
      </c>
      <c r="G276" s="273" t="s">
        <v>220</v>
      </c>
      <c r="H276" s="275">
        <v>1204</v>
      </c>
      <c r="I276" s="275"/>
      <c r="J276" s="270" t="s">
        <v>221</v>
      </c>
    </row>
    <row r="277" ht="21" hidden="1" spans="1:10">
      <c r="A277" s="273" t="s">
        <v>394</v>
      </c>
      <c r="B277" s="273" t="s">
        <v>395</v>
      </c>
      <c r="C277" s="274">
        <v>107400</v>
      </c>
      <c r="D277" s="273" t="s">
        <v>224</v>
      </c>
      <c r="E277" s="273" t="s">
        <v>225</v>
      </c>
      <c r="F277" s="273" t="s">
        <v>58</v>
      </c>
      <c r="G277" s="273" t="s">
        <v>220</v>
      </c>
      <c r="H277" s="275">
        <v>1205</v>
      </c>
      <c r="I277" s="275"/>
      <c r="J277" s="270" t="s">
        <v>221</v>
      </c>
    </row>
    <row r="278" ht="21" hidden="1" spans="1:10">
      <c r="A278" s="273" t="s">
        <v>394</v>
      </c>
      <c r="B278" s="273" t="s">
        <v>395</v>
      </c>
      <c r="C278" s="274">
        <v>107500</v>
      </c>
      <c r="D278" s="273" t="s">
        <v>328</v>
      </c>
      <c r="E278" s="273" t="s">
        <v>329</v>
      </c>
      <c r="F278" s="273" t="s">
        <v>58</v>
      </c>
      <c r="G278" s="273" t="s">
        <v>220</v>
      </c>
      <c r="H278" s="275">
        <v>1206</v>
      </c>
      <c r="I278" s="275"/>
      <c r="J278" s="270" t="s">
        <v>221</v>
      </c>
    </row>
    <row r="279" ht="21" hidden="1" spans="1:10">
      <c r="A279" s="273" t="s">
        <v>394</v>
      </c>
      <c r="B279" s="273" t="s">
        <v>395</v>
      </c>
      <c r="C279" s="274">
        <v>107600</v>
      </c>
      <c r="D279" s="273" t="s">
        <v>226</v>
      </c>
      <c r="E279" s="273" t="s">
        <v>227</v>
      </c>
      <c r="F279" s="273" t="s">
        <v>58</v>
      </c>
      <c r="G279" s="273" t="s">
        <v>220</v>
      </c>
      <c r="H279" s="275">
        <v>1207</v>
      </c>
      <c r="I279" s="275"/>
      <c r="J279" s="270" t="s">
        <v>221</v>
      </c>
    </row>
    <row r="280" ht="21" hidden="1" spans="1:10">
      <c r="A280" s="273" t="s">
        <v>394</v>
      </c>
      <c r="B280" s="273" t="s">
        <v>395</v>
      </c>
      <c r="C280" s="274">
        <v>107700</v>
      </c>
      <c r="D280" s="273" t="s">
        <v>230</v>
      </c>
      <c r="E280" s="273" t="s">
        <v>231</v>
      </c>
      <c r="F280" s="273" t="s">
        <v>58</v>
      </c>
      <c r="G280" s="273" t="s">
        <v>220</v>
      </c>
      <c r="H280" s="275">
        <v>1208</v>
      </c>
      <c r="I280" s="275"/>
      <c r="J280" s="270" t="s">
        <v>221</v>
      </c>
    </row>
    <row r="281" ht="21" hidden="1" spans="1:10">
      <c r="A281" s="273" t="s">
        <v>394</v>
      </c>
      <c r="B281" s="273" t="s">
        <v>395</v>
      </c>
      <c r="C281" s="274">
        <v>107800</v>
      </c>
      <c r="D281" s="273" t="s">
        <v>330</v>
      </c>
      <c r="E281" s="273" t="s">
        <v>331</v>
      </c>
      <c r="F281" s="273" t="s">
        <v>58</v>
      </c>
      <c r="G281" s="273" t="s">
        <v>220</v>
      </c>
      <c r="H281" s="275">
        <v>1209</v>
      </c>
      <c r="I281" s="275"/>
      <c r="J281" s="270" t="s">
        <v>221</v>
      </c>
    </row>
    <row r="282" ht="21" hidden="1" spans="1:10">
      <c r="A282" s="273" t="s">
        <v>394</v>
      </c>
      <c r="B282" s="273" t="s">
        <v>395</v>
      </c>
      <c r="C282" s="274">
        <v>107900</v>
      </c>
      <c r="D282" s="273" t="s">
        <v>332</v>
      </c>
      <c r="E282" s="273" t="s">
        <v>333</v>
      </c>
      <c r="F282" s="273" t="s">
        <v>58</v>
      </c>
      <c r="G282" s="273" t="s">
        <v>220</v>
      </c>
      <c r="H282" s="275">
        <v>1210</v>
      </c>
      <c r="I282" s="275"/>
      <c r="J282" s="270" t="s">
        <v>221</v>
      </c>
    </row>
    <row r="283" hidden="1" spans="1:10">
      <c r="A283" s="273" t="s">
        <v>394</v>
      </c>
      <c r="B283" s="273" t="s">
        <v>395</v>
      </c>
      <c r="C283" s="274">
        <v>108100</v>
      </c>
      <c r="D283" s="273" t="s">
        <v>238</v>
      </c>
      <c r="E283" s="273" t="s">
        <v>239</v>
      </c>
      <c r="F283" s="273" t="s">
        <v>240</v>
      </c>
      <c r="G283" s="273" t="s">
        <v>241</v>
      </c>
      <c r="H283" s="275">
        <v>1217</v>
      </c>
      <c r="I283" s="275"/>
      <c r="J283" s="270" t="s">
        <v>4</v>
      </c>
    </row>
    <row r="284" ht="31.5" hidden="1" spans="1:10">
      <c r="A284" s="273" t="s">
        <v>404</v>
      </c>
      <c r="B284" s="273" t="s">
        <v>405</v>
      </c>
      <c r="C284" s="274">
        <v>108300</v>
      </c>
      <c r="D284" s="273" t="s">
        <v>56</v>
      </c>
      <c r="E284" s="273" t="s">
        <v>57</v>
      </c>
      <c r="F284" s="273" t="s">
        <v>58</v>
      </c>
      <c r="G284" s="273" t="s">
        <v>59</v>
      </c>
      <c r="H284" s="275">
        <v>1220</v>
      </c>
      <c r="I284" s="275"/>
      <c r="J284" s="270" t="s">
        <v>336</v>
      </c>
    </row>
    <row r="285" ht="21" hidden="1" spans="1:10">
      <c r="A285" s="273" t="s">
        <v>404</v>
      </c>
      <c r="B285" s="273" t="s">
        <v>405</v>
      </c>
      <c r="C285" s="274">
        <v>108500</v>
      </c>
      <c r="D285" s="273" t="s">
        <v>136</v>
      </c>
      <c r="E285" s="273" t="s">
        <v>137</v>
      </c>
      <c r="F285" s="273" t="s">
        <v>112</v>
      </c>
      <c r="G285" s="273" t="s">
        <v>113</v>
      </c>
      <c r="H285" s="275">
        <v>1222</v>
      </c>
      <c r="I285" s="275"/>
      <c r="J285" s="270" t="s">
        <v>138</v>
      </c>
    </row>
    <row r="286" ht="52.5" hidden="1" spans="1:10">
      <c r="A286" s="273" t="s">
        <v>404</v>
      </c>
      <c r="B286" s="273" t="s">
        <v>405</v>
      </c>
      <c r="C286" s="274">
        <v>108600</v>
      </c>
      <c r="D286" s="273" t="s">
        <v>337</v>
      </c>
      <c r="E286" s="273" t="s">
        <v>338</v>
      </c>
      <c r="F286" s="273" t="s">
        <v>130</v>
      </c>
      <c r="G286" s="273" t="s">
        <v>131</v>
      </c>
      <c r="H286" s="275">
        <v>1223</v>
      </c>
      <c r="I286" s="275"/>
      <c r="J286" s="270" t="s">
        <v>339</v>
      </c>
    </row>
    <row r="287" ht="73.5" hidden="1" spans="1:10">
      <c r="A287" s="273" t="s">
        <v>404</v>
      </c>
      <c r="B287" s="273" t="s">
        <v>405</v>
      </c>
      <c r="C287" s="274">
        <v>108700</v>
      </c>
      <c r="D287" s="273" t="s">
        <v>133</v>
      </c>
      <c r="E287" s="273" t="s">
        <v>134</v>
      </c>
      <c r="F287" s="273" t="s">
        <v>130</v>
      </c>
      <c r="G287" s="273" t="s">
        <v>131</v>
      </c>
      <c r="H287" s="275">
        <v>1224</v>
      </c>
      <c r="I287" s="275"/>
      <c r="J287" s="270" t="s">
        <v>340</v>
      </c>
    </row>
    <row r="288" hidden="1" spans="1:10">
      <c r="A288" s="273" t="s">
        <v>404</v>
      </c>
      <c r="B288" s="273" t="s">
        <v>405</v>
      </c>
      <c r="C288" s="274">
        <v>108800</v>
      </c>
      <c r="D288" s="273" t="s">
        <v>341</v>
      </c>
      <c r="E288" s="273" t="s">
        <v>341</v>
      </c>
      <c r="F288" s="273" t="s">
        <v>308</v>
      </c>
      <c r="G288" s="273" t="s">
        <v>309</v>
      </c>
      <c r="H288" s="275">
        <v>1225</v>
      </c>
      <c r="I288" s="275"/>
      <c r="J288" s="270" t="s">
        <v>342</v>
      </c>
    </row>
    <row r="289" hidden="1" spans="1:10">
      <c r="A289" s="273" t="s">
        <v>404</v>
      </c>
      <c r="B289" s="273" t="s">
        <v>405</v>
      </c>
      <c r="C289" s="274">
        <v>108900</v>
      </c>
      <c r="D289" s="273" t="s">
        <v>343</v>
      </c>
      <c r="E289" s="273" t="s">
        <v>343</v>
      </c>
      <c r="F289" s="273" t="s">
        <v>120</v>
      </c>
      <c r="G289" s="273" t="s">
        <v>121</v>
      </c>
      <c r="H289" s="275">
        <v>1226</v>
      </c>
      <c r="I289" s="275"/>
      <c r="J289" s="270" t="s">
        <v>344</v>
      </c>
    </row>
    <row r="290" hidden="1" spans="1:10">
      <c r="A290" s="273" t="s">
        <v>404</v>
      </c>
      <c r="B290" s="273" t="s">
        <v>405</v>
      </c>
      <c r="C290" s="274">
        <v>109000</v>
      </c>
      <c r="D290" s="273" t="s">
        <v>345</v>
      </c>
      <c r="E290" s="273" t="s">
        <v>345</v>
      </c>
      <c r="F290" s="273" t="s">
        <v>346</v>
      </c>
      <c r="G290" s="273" t="s">
        <v>347</v>
      </c>
      <c r="H290" s="275">
        <v>1227</v>
      </c>
      <c r="I290" s="275"/>
      <c r="J290" s="270" t="s">
        <v>348</v>
      </c>
    </row>
    <row r="291" hidden="1" spans="1:10">
      <c r="A291" s="273" t="s">
        <v>404</v>
      </c>
      <c r="B291" s="273" t="s">
        <v>405</v>
      </c>
      <c r="C291" s="274">
        <v>109100</v>
      </c>
      <c r="D291" s="273" t="s">
        <v>349</v>
      </c>
      <c r="E291" s="273" t="s">
        <v>350</v>
      </c>
      <c r="F291" s="273" t="s">
        <v>125</v>
      </c>
      <c r="G291" s="273" t="s">
        <v>126</v>
      </c>
      <c r="H291" s="275">
        <v>1228</v>
      </c>
      <c r="I291" s="275"/>
      <c r="J291" s="270" t="s">
        <v>351</v>
      </c>
    </row>
    <row r="292" ht="21" hidden="1" spans="1:10">
      <c r="A292" s="273" t="s">
        <v>404</v>
      </c>
      <c r="B292" s="273" t="s">
        <v>405</v>
      </c>
      <c r="C292" s="274">
        <v>109200</v>
      </c>
      <c r="D292" s="273" t="s">
        <v>352</v>
      </c>
      <c r="E292" s="273" t="s">
        <v>353</v>
      </c>
      <c r="F292" s="273" t="s">
        <v>58</v>
      </c>
      <c r="G292" s="273" t="s">
        <v>220</v>
      </c>
      <c r="H292" s="275">
        <v>1229</v>
      </c>
      <c r="I292" s="275"/>
      <c r="J292" s="270" t="s">
        <v>221</v>
      </c>
    </row>
    <row r="293" ht="21" hidden="1" spans="1:10">
      <c r="A293" s="273" t="s">
        <v>404</v>
      </c>
      <c r="B293" s="273" t="s">
        <v>405</v>
      </c>
      <c r="C293" s="274">
        <v>109300</v>
      </c>
      <c r="D293" s="273" t="s">
        <v>224</v>
      </c>
      <c r="E293" s="273" t="s">
        <v>225</v>
      </c>
      <c r="F293" s="273" t="s">
        <v>58</v>
      </c>
      <c r="G293" s="273" t="s">
        <v>220</v>
      </c>
      <c r="H293" s="275">
        <v>1230</v>
      </c>
      <c r="I293" s="275"/>
      <c r="J293" s="270" t="s">
        <v>221</v>
      </c>
    </row>
    <row r="294" ht="21" hidden="1" spans="1:10">
      <c r="A294" s="273" t="s">
        <v>404</v>
      </c>
      <c r="B294" s="273" t="s">
        <v>405</v>
      </c>
      <c r="C294" s="274">
        <v>109400</v>
      </c>
      <c r="D294" s="273" t="s">
        <v>354</v>
      </c>
      <c r="E294" s="273" t="s">
        <v>355</v>
      </c>
      <c r="F294" s="273" t="s">
        <v>58</v>
      </c>
      <c r="G294" s="273" t="s">
        <v>220</v>
      </c>
      <c r="H294" s="275">
        <v>1231</v>
      </c>
      <c r="I294" s="275"/>
      <c r="J294" s="270" t="s">
        <v>221</v>
      </c>
    </row>
    <row r="295" ht="21" hidden="1" spans="1:10">
      <c r="A295" s="273" t="s">
        <v>404</v>
      </c>
      <c r="B295" s="273" t="s">
        <v>405</v>
      </c>
      <c r="C295" s="274">
        <v>109500</v>
      </c>
      <c r="D295" s="273" t="s">
        <v>356</v>
      </c>
      <c r="E295" s="273" t="s">
        <v>357</v>
      </c>
      <c r="F295" s="273" t="s">
        <v>58</v>
      </c>
      <c r="G295" s="273" t="s">
        <v>220</v>
      </c>
      <c r="H295" s="275">
        <v>1232</v>
      </c>
      <c r="I295" s="275"/>
      <c r="J295" s="270" t="s">
        <v>221</v>
      </c>
    </row>
    <row r="296" ht="21" hidden="1" spans="1:10">
      <c r="A296" s="273" t="s">
        <v>404</v>
      </c>
      <c r="B296" s="273" t="s">
        <v>405</v>
      </c>
      <c r="C296" s="274">
        <v>109600</v>
      </c>
      <c r="D296" s="273" t="s">
        <v>358</v>
      </c>
      <c r="E296" s="273" t="s">
        <v>359</v>
      </c>
      <c r="F296" s="273" t="s">
        <v>58</v>
      </c>
      <c r="G296" s="273" t="s">
        <v>220</v>
      </c>
      <c r="H296" s="275">
        <v>1233</v>
      </c>
      <c r="I296" s="275"/>
      <c r="J296" s="270" t="s">
        <v>221</v>
      </c>
    </row>
    <row r="297" ht="73.5" hidden="1" spans="1:10">
      <c r="A297" s="273" t="s">
        <v>406</v>
      </c>
      <c r="B297" s="273" t="s">
        <v>407</v>
      </c>
      <c r="C297" s="274">
        <v>109800</v>
      </c>
      <c r="D297" s="273" t="s">
        <v>56</v>
      </c>
      <c r="E297" s="273" t="s">
        <v>57</v>
      </c>
      <c r="F297" s="273" t="s">
        <v>58</v>
      </c>
      <c r="G297" s="273" t="s">
        <v>59</v>
      </c>
      <c r="H297" s="275">
        <v>1241</v>
      </c>
      <c r="I297" s="275" t="s">
        <v>65</v>
      </c>
      <c r="J297" s="270" t="s">
        <v>244</v>
      </c>
    </row>
    <row r="298" ht="31.5" hidden="1" spans="1:10">
      <c r="A298" s="273" t="s">
        <v>406</v>
      </c>
      <c r="B298" s="273" t="s">
        <v>407</v>
      </c>
      <c r="C298" s="274">
        <v>110000</v>
      </c>
      <c r="D298" s="273" t="s">
        <v>245</v>
      </c>
      <c r="E298" s="273" t="s">
        <v>246</v>
      </c>
      <c r="F298" s="273" t="s">
        <v>58</v>
      </c>
      <c r="G298" s="273" t="s">
        <v>59</v>
      </c>
      <c r="H298" s="275">
        <v>1243</v>
      </c>
      <c r="I298" s="275" t="s">
        <v>65</v>
      </c>
      <c r="J298" s="270" t="s">
        <v>247</v>
      </c>
    </row>
    <row r="299" ht="21" hidden="1" spans="1:10">
      <c r="A299" s="273" t="s">
        <v>406</v>
      </c>
      <c r="B299" s="273" t="s">
        <v>407</v>
      </c>
      <c r="C299" s="274">
        <v>110100</v>
      </c>
      <c r="D299" s="273" t="s">
        <v>248</v>
      </c>
      <c r="E299" s="273" t="s">
        <v>249</v>
      </c>
      <c r="F299" s="273" t="s">
        <v>112</v>
      </c>
      <c r="G299" s="273" t="s">
        <v>113</v>
      </c>
      <c r="H299" s="275">
        <v>1244</v>
      </c>
      <c r="I299" s="275" t="s">
        <v>65</v>
      </c>
      <c r="J299" s="270" t="s">
        <v>250</v>
      </c>
    </row>
    <row r="300" ht="63" hidden="1" spans="1:10">
      <c r="A300" s="273" t="s">
        <v>408</v>
      </c>
      <c r="B300" s="273" t="s">
        <v>409</v>
      </c>
      <c r="C300" s="274">
        <v>110300</v>
      </c>
      <c r="D300" s="273" t="s">
        <v>56</v>
      </c>
      <c r="E300" s="273" t="s">
        <v>57</v>
      </c>
      <c r="F300" s="273" t="s">
        <v>58</v>
      </c>
      <c r="G300" s="273" t="s">
        <v>59</v>
      </c>
      <c r="H300" s="275">
        <v>1247</v>
      </c>
      <c r="I300" s="275" t="s">
        <v>65</v>
      </c>
      <c r="J300" s="270" t="s">
        <v>285</v>
      </c>
    </row>
    <row r="301" ht="42" hidden="1" spans="1:10">
      <c r="A301" s="273" t="s">
        <v>408</v>
      </c>
      <c r="B301" s="273" t="s">
        <v>409</v>
      </c>
      <c r="C301" s="274">
        <v>110500</v>
      </c>
      <c r="D301" s="273" t="s">
        <v>254</v>
      </c>
      <c r="E301" s="273" t="s">
        <v>255</v>
      </c>
      <c r="F301" s="273" t="s">
        <v>58</v>
      </c>
      <c r="G301" s="273" t="s">
        <v>59</v>
      </c>
      <c r="H301" s="275">
        <v>1249</v>
      </c>
      <c r="I301" s="275" t="s">
        <v>65</v>
      </c>
      <c r="J301" s="270" t="s">
        <v>256</v>
      </c>
    </row>
    <row r="302" ht="31.5" hidden="1" spans="1:10">
      <c r="A302" s="273" t="s">
        <v>408</v>
      </c>
      <c r="B302" s="273" t="s">
        <v>409</v>
      </c>
      <c r="C302" s="274">
        <v>110600</v>
      </c>
      <c r="D302" s="273" t="s">
        <v>257</v>
      </c>
      <c r="E302" s="273" t="s">
        <v>258</v>
      </c>
      <c r="F302" s="273" t="s">
        <v>112</v>
      </c>
      <c r="G302" s="273" t="s">
        <v>113</v>
      </c>
      <c r="H302" s="275">
        <v>1250</v>
      </c>
      <c r="I302" s="275" t="s">
        <v>65</v>
      </c>
      <c r="J302" s="270" t="s">
        <v>259</v>
      </c>
    </row>
    <row r="303" ht="21" hidden="1" spans="1:10">
      <c r="A303" s="273" t="s">
        <v>410</v>
      </c>
      <c r="B303" s="273" t="s">
        <v>411</v>
      </c>
      <c r="C303" s="274">
        <v>30700</v>
      </c>
      <c r="D303" s="273" t="s">
        <v>56</v>
      </c>
      <c r="E303" s="273" t="s">
        <v>57</v>
      </c>
      <c r="F303" s="273" t="s">
        <v>58</v>
      </c>
      <c r="G303" s="273" t="s">
        <v>59</v>
      </c>
      <c r="H303" s="275">
        <v>307</v>
      </c>
      <c r="I303" s="275"/>
      <c r="J303" s="270" t="s">
        <v>60</v>
      </c>
    </row>
    <row r="304" ht="199.5" hidden="1" spans="1:10">
      <c r="A304" s="273" t="s">
        <v>410</v>
      </c>
      <c r="B304" s="273" t="s">
        <v>411</v>
      </c>
      <c r="C304" s="274">
        <v>30900</v>
      </c>
      <c r="D304" s="273" t="s">
        <v>61</v>
      </c>
      <c r="E304" s="273" t="s">
        <v>62</v>
      </c>
      <c r="F304" s="273" t="s">
        <v>63</v>
      </c>
      <c r="G304" s="273" t="s">
        <v>64</v>
      </c>
      <c r="H304" s="275">
        <v>309</v>
      </c>
      <c r="I304" s="275" t="s">
        <v>65</v>
      </c>
      <c r="J304" s="270" t="s">
        <v>412</v>
      </c>
    </row>
    <row r="305" ht="21" hidden="1" spans="1:10">
      <c r="A305" s="273" t="s">
        <v>410</v>
      </c>
      <c r="B305" s="273" t="s">
        <v>411</v>
      </c>
      <c r="C305" s="274">
        <v>31000</v>
      </c>
      <c r="D305" s="273" t="s">
        <v>67</v>
      </c>
      <c r="E305" s="273" t="s">
        <v>68</v>
      </c>
      <c r="F305" s="273" t="s">
        <v>63</v>
      </c>
      <c r="G305" s="273" t="s">
        <v>69</v>
      </c>
      <c r="H305" s="275">
        <v>310</v>
      </c>
      <c r="I305" s="275"/>
      <c r="J305" s="270" t="s">
        <v>70</v>
      </c>
    </row>
    <row r="306" hidden="1" spans="1:10">
      <c r="A306" s="273" t="s">
        <v>410</v>
      </c>
      <c r="B306" s="273" t="s">
        <v>411</v>
      </c>
      <c r="C306" s="274">
        <v>31100</v>
      </c>
      <c r="D306" s="273" t="s">
        <v>71</v>
      </c>
      <c r="E306" s="273" t="s">
        <v>72</v>
      </c>
      <c r="F306" s="273" t="s">
        <v>73</v>
      </c>
      <c r="G306" s="273" t="s">
        <v>74</v>
      </c>
      <c r="H306" s="275">
        <v>311</v>
      </c>
      <c r="I306" s="275" t="s">
        <v>65</v>
      </c>
      <c r="J306" s="270" t="s">
        <v>75</v>
      </c>
    </row>
    <row r="307" hidden="1" spans="1:10">
      <c r="A307" s="273" t="s">
        <v>410</v>
      </c>
      <c r="B307" s="273" t="s">
        <v>411</v>
      </c>
      <c r="C307" s="274">
        <v>31200</v>
      </c>
      <c r="D307" s="273" t="s">
        <v>76</v>
      </c>
      <c r="E307" s="273" t="s">
        <v>77</v>
      </c>
      <c r="F307" s="273" t="s">
        <v>73</v>
      </c>
      <c r="G307" s="273" t="s">
        <v>74</v>
      </c>
      <c r="H307" s="275">
        <v>312</v>
      </c>
      <c r="I307" s="275" t="s">
        <v>65</v>
      </c>
      <c r="J307" s="270" t="s">
        <v>78</v>
      </c>
    </row>
    <row r="308" ht="21" hidden="1" spans="1:10">
      <c r="A308" s="273" t="s">
        <v>410</v>
      </c>
      <c r="B308" s="273" t="s">
        <v>411</v>
      </c>
      <c r="C308" s="274">
        <v>31300</v>
      </c>
      <c r="D308" s="273" t="s">
        <v>79</v>
      </c>
      <c r="E308" s="273" t="s">
        <v>80</v>
      </c>
      <c r="F308" s="273" t="s">
        <v>81</v>
      </c>
      <c r="G308" s="273" t="s">
        <v>82</v>
      </c>
      <c r="H308" s="275">
        <v>313</v>
      </c>
      <c r="I308" s="275" t="s">
        <v>65</v>
      </c>
      <c r="J308" s="270" t="s">
        <v>83</v>
      </c>
    </row>
    <row r="309" ht="21" hidden="1" spans="1:10">
      <c r="A309" s="273" t="s">
        <v>410</v>
      </c>
      <c r="B309" s="273" t="s">
        <v>411</v>
      </c>
      <c r="C309" s="274">
        <v>112300</v>
      </c>
      <c r="D309" s="273" t="s">
        <v>84</v>
      </c>
      <c r="E309" s="273" t="s">
        <v>85</v>
      </c>
      <c r="F309" s="273" t="s">
        <v>58</v>
      </c>
      <c r="G309" s="273" t="s">
        <v>86</v>
      </c>
      <c r="H309" s="275">
        <v>1436</v>
      </c>
      <c r="I309" s="275"/>
      <c r="J309" s="270" t="s">
        <v>87</v>
      </c>
    </row>
    <row r="310" ht="21" hidden="1" spans="1:10">
      <c r="A310" s="273" t="s">
        <v>410</v>
      </c>
      <c r="B310" s="273" t="s">
        <v>411</v>
      </c>
      <c r="C310" s="274">
        <v>112400</v>
      </c>
      <c r="D310" s="273" t="s">
        <v>88</v>
      </c>
      <c r="E310" s="273" t="s">
        <v>89</v>
      </c>
      <c r="F310" s="273" t="s">
        <v>63</v>
      </c>
      <c r="G310" s="273" t="s">
        <v>90</v>
      </c>
      <c r="H310" s="275">
        <v>1437</v>
      </c>
      <c r="I310" s="275"/>
      <c r="J310" s="270" t="s">
        <v>91</v>
      </c>
    </row>
    <row r="311" hidden="1" spans="1:10">
      <c r="A311" s="273" t="s">
        <v>410</v>
      </c>
      <c r="B311" s="273" t="s">
        <v>411</v>
      </c>
      <c r="C311" s="274">
        <v>31400</v>
      </c>
      <c r="D311" s="273" t="s">
        <v>92</v>
      </c>
      <c r="E311" s="273" t="s">
        <v>93</v>
      </c>
      <c r="F311" s="273" t="s">
        <v>73</v>
      </c>
      <c r="G311" s="273" t="s">
        <v>94</v>
      </c>
      <c r="H311" s="275">
        <v>314</v>
      </c>
      <c r="I311" s="275"/>
      <c r="J311" s="270" t="s">
        <v>95</v>
      </c>
    </row>
    <row r="312" hidden="1" spans="1:10">
      <c r="A312" s="273" t="s">
        <v>410</v>
      </c>
      <c r="B312" s="273" t="s">
        <v>411</v>
      </c>
      <c r="C312" s="274">
        <v>31500</v>
      </c>
      <c r="D312" s="273" t="s">
        <v>96</v>
      </c>
      <c r="E312" s="273" t="s">
        <v>97</v>
      </c>
      <c r="F312" s="273" t="s">
        <v>63</v>
      </c>
      <c r="G312" s="273" t="s">
        <v>69</v>
      </c>
      <c r="H312" s="275">
        <v>315</v>
      </c>
      <c r="I312" s="275"/>
      <c r="J312" s="270" t="s">
        <v>98</v>
      </c>
    </row>
    <row r="313" hidden="1" spans="1:10">
      <c r="A313" s="273" t="s">
        <v>410</v>
      </c>
      <c r="B313" s="273" t="s">
        <v>411</v>
      </c>
      <c r="C313" s="274">
        <v>31600</v>
      </c>
      <c r="D313" s="273" t="s">
        <v>99</v>
      </c>
      <c r="E313" s="273" t="s">
        <v>100</v>
      </c>
      <c r="F313" s="273" t="s">
        <v>101</v>
      </c>
      <c r="G313" s="273" t="s">
        <v>102</v>
      </c>
      <c r="H313" s="275">
        <v>316</v>
      </c>
      <c r="I313" s="275" t="s">
        <v>65</v>
      </c>
      <c r="J313" s="270" t="s">
        <v>103</v>
      </c>
    </row>
    <row r="314" hidden="1" spans="1:10">
      <c r="A314" s="273" t="s">
        <v>410</v>
      </c>
      <c r="B314" s="273" t="s">
        <v>411</v>
      </c>
      <c r="C314" s="274">
        <v>31700</v>
      </c>
      <c r="D314" s="273" t="s">
        <v>413</v>
      </c>
      <c r="E314" s="273" t="s">
        <v>414</v>
      </c>
      <c r="F314" s="273" t="s">
        <v>112</v>
      </c>
      <c r="G314" s="273" t="s">
        <v>113</v>
      </c>
      <c r="H314" s="275">
        <v>317</v>
      </c>
      <c r="I314" s="275" t="s">
        <v>65</v>
      </c>
      <c r="J314" s="270" t="s">
        <v>415</v>
      </c>
    </row>
    <row r="315" ht="63" hidden="1" spans="1:10">
      <c r="A315" s="273" t="s">
        <v>410</v>
      </c>
      <c r="B315" s="273" t="s">
        <v>411</v>
      </c>
      <c r="C315" s="274">
        <v>31800</v>
      </c>
      <c r="D315" s="273" t="s">
        <v>128</v>
      </c>
      <c r="E315" s="273" t="s">
        <v>129</v>
      </c>
      <c r="F315" s="273" t="s">
        <v>130</v>
      </c>
      <c r="G315" s="273" t="s">
        <v>131</v>
      </c>
      <c r="H315" s="275">
        <v>318</v>
      </c>
      <c r="I315" s="275"/>
      <c r="J315" s="270" t="s">
        <v>132</v>
      </c>
    </row>
    <row r="316" ht="52.5" hidden="1" spans="1:10">
      <c r="A316" s="273" t="s">
        <v>410</v>
      </c>
      <c r="B316" s="273" t="s">
        <v>411</v>
      </c>
      <c r="C316" s="274">
        <v>32010</v>
      </c>
      <c r="D316" s="273" t="s">
        <v>416</v>
      </c>
      <c r="E316" s="273" t="s">
        <v>416</v>
      </c>
      <c r="F316" s="273" t="s">
        <v>130</v>
      </c>
      <c r="G316" s="273" t="s">
        <v>131</v>
      </c>
      <c r="H316" s="275">
        <v>1162</v>
      </c>
      <c r="I316" s="275" t="s">
        <v>65</v>
      </c>
      <c r="J316" s="270" t="s">
        <v>417</v>
      </c>
    </row>
    <row r="317" ht="21" hidden="1" spans="1:10">
      <c r="A317" s="273" t="s">
        <v>410</v>
      </c>
      <c r="B317" s="273" t="s">
        <v>411</v>
      </c>
      <c r="C317" s="274">
        <v>32020</v>
      </c>
      <c r="D317" s="273" t="s">
        <v>418</v>
      </c>
      <c r="E317" s="273" t="s">
        <v>419</v>
      </c>
      <c r="F317" s="273" t="s">
        <v>112</v>
      </c>
      <c r="G317" s="273" t="s">
        <v>113</v>
      </c>
      <c r="H317" s="275">
        <v>1164</v>
      </c>
      <c r="I317" s="275" t="s">
        <v>65</v>
      </c>
      <c r="J317" s="270" t="s">
        <v>138</v>
      </c>
    </row>
    <row r="318" ht="52.5" hidden="1" spans="1:10">
      <c r="A318" s="273" t="s">
        <v>410</v>
      </c>
      <c r="B318" s="273" t="s">
        <v>411</v>
      </c>
      <c r="C318" s="274">
        <v>32030</v>
      </c>
      <c r="D318" s="273" t="s">
        <v>420</v>
      </c>
      <c r="E318" s="273" t="s">
        <v>421</v>
      </c>
      <c r="F318" s="273" t="s">
        <v>130</v>
      </c>
      <c r="G318" s="273" t="s">
        <v>131</v>
      </c>
      <c r="H318" s="275">
        <v>1165</v>
      </c>
      <c r="I318" s="275" t="s">
        <v>65</v>
      </c>
      <c r="J318" s="270" t="s">
        <v>422</v>
      </c>
    </row>
    <row r="319" ht="21" hidden="1" spans="1:10">
      <c r="A319" s="273" t="s">
        <v>410</v>
      </c>
      <c r="B319" s="273" t="s">
        <v>411</v>
      </c>
      <c r="C319" s="274">
        <v>32040</v>
      </c>
      <c r="D319" s="273" t="s">
        <v>423</v>
      </c>
      <c r="E319" s="273" t="s">
        <v>424</v>
      </c>
      <c r="F319" s="273" t="s">
        <v>112</v>
      </c>
      <c r="G319" s="273" t="s">
        <v>113</v>
      </c>
      <c r="H319" s="275">
        <v>1167</v>
      </c>
      <c r="I319" s="275" t="s">
        <v>65</v>
      </c>
      <c r="J319" s="270" t="s">
        <v>138</v>
      </c>
    </row>
    <row r="320" hidden="1" spans="1:10">
      <c r="A320" s="273" t="s">
        <v>410</v>
      </c>
      <c r="B320" s="273" t="s">
        <v>411</v>
      </c>
      <c r="C320" s="274">
        <v>32100</v>
      </c>
      <c r="D320" s="273" t="s">
        <v>425</v>
      </c>
      <c r="E320" s="273" t="s">
        <v>426</v>
      </c>
      <c r="F320" s="273" t="s">
        <v>427</v>
      </c>
      <c r="G320" s="273" t="s">
        <v>428</v>
      </c>
      <c r="H320" s="275">
        <v>321</v>
      </c>
      <c r="I320" s="275"/>
      <c r="J320" s="270" t="s">
        <v>429</v>
      </c>
    </row>
    <row r="321" ht="31.5" hidden="1" spans="1:10">
      <c r="A321" s="273" t="s">
        <v>410</v>
      </c>
      <c r="B321" s="273" t="s">
        <v>411</v>
      </c>
      <c r="C321" s="274">
        <v>32200</v>
      </c>
      <c r="D321" s="273" t="s">
        <v>430</v>
      </c>
      <c r="E321" s="273" t="s">
        <v>431</v>
      </c>
      <c r="F321" s="273" t="s">
        <v>155</v>
      </c>
      <c r="G321" s="273" t="s">
        <v>156</v>
      </c>
      <c r="H321" s="275">
        <v>322</v>
      </c>
      <c r="I321" s="275" t="s">
        <v>65</v>
      </c>
      <c r="J321" s="270" t="s">
        <v>432</v>
      </c>
    </row>
    <row r="322" ht="42" hidden="1" spans="1:10">
      <c r="A322" s="273" t="s">
        <v>410</v>
      </c>
      <c r="B322" s="273" t="s">
        <v>411</v>
      </c>
      <c r="C322" s="274">
        <v>98600</v>
      </c>
      <c r="D322" s="273" t="s">
        <v>433</v>
      </c>
      <c r="E322" s="273" t="s">
        <v>434</v>
      </c>
      <c r="F322" s="273" t="s">
        <v>155</v>
      </c>
      <c r="G322" s="273" t="s">
        <v>156</v>
      </c>
      <c r="H322" s="275">
        <v>986</v>
      </c>
      <c r="I322" s="275" t="s">
        <v>65</v>
      </c>
      <c r="J322" s="270" t="s">
        <v>435</v>
      </c>
    </row>
    <row r="323" ht="94.5" hidden="1" spans="1:10">
      <c r="A323" s="273" t="s">
        <v>410</v>
      </c>
      <c r="B323" s="273" t="s">
        <v>411</v>
      </c>
      <c r="C323" s="274">
        <v>32300</v>
      </c>
      <c r="D323" s="273" t="s">
        <v>306</v>
      </c>
      <c r="E323" s="273" t="s">
        <v>307</v>
      </c>
      <c r="F323" s="273" t="s">
        <v>308</v>
      </c>
      <c r="G323" s="273" t="s">
        <v>309</v>
      </c>
      <c r="H323" s="275">
        <v>323</v>
      </c>
      <c r="I323" s="275" t="s">
        <v>65</v>
      </c>
      <c r="J323" s="270" t="s">
        <v>310</v>
      </c>
    </row>
    <row r="324" ht="42" hidden="1" spans="1:10">
      <c r="A324" s="273" t="s">
        <v>410</v>
      </c>
      <c r="B324" s="273" t="s">
        <v>411</v>
      </c>
      <c r="C324" s="274">
        <v>32400</v>
      </c>
      <c r="D324" s="273" t="s">
        <v>311</v>
      </c>
      <c r="E324" s="273" t="s">
        <v>312</v>
      </c>
      <c r="F324" s="273" t="s">
        <v>313</v>
      </c>
      <c r="G324" s="273" t="s">
        <v>314</v>
      </c>
      <c r="H324" s="275">
        <v>324</v>
      </c>
      <c r="I324" s="275"/>
      <c r="J324" s="270" t="s">
        <v>315</v>
      </c>
    </row>
    <row r="325" ht="21" hidden="1" spans="1:10">
      <c r="A325" s="273" t="s">
        <v>410</v>
      </c>
      <c r="B325" s="273" t="s">
        <v>411</v>
      </c>
      <c r="C325" s="274">
        <v>32500</v>
      </c>
      <c r="D325" s="273" t="s">
        <v>436</v>
      </c>
      <c r="E325" s="273" t="s">
        <v>437</v>
      </c>
      <c r="F325" s="273" t="s">
        <v>438</v>
      </c>
      <c r="G325" s="273" t="s">
        <v>439</v>
      </c>
      <c r="H325" s="275">
        <v>325</v>
      </c>
      <c r="I325" s="275"/>
      <c r="J325" s="270" t="s">
        <v>440</v>
      </c>
    </row>
    <row r="326" ht="21" hidden="1" spans="1:10">
      <c r="A326" s="273" t="s">
        <v>410</v>
      </c>
      <c r="B326" s="273" t="s">
        <v>411</v>
      </c>
      <c r="C326" s="274">
        <v>32600</v>
      </c>
      <c r="D326" s="273" t="s">
        <v>441</v>
      </c>
      <c r="E326" s="273" t="s">
        <v>442</v>
      </c>
      <c r="F326" s="273" t="s">
        <v>125</v>
      </c>
      <c r="G326" s="273" t="s">
        <v>126</v>
      </c>
      <c r="H326" s="275">
        <v>326</v>
      </c>
      <c r="I326" s="275"/>
      <c r="J326" s="270" t="s">
        <v>443</v>
      </c>
    </row>
    <row r="327" ht="63" hidden="1" spans="1:10">
      <c r="A327" s="273" t="s">
        <v>410</v>
      </c>
      <c r="B327" s="273" t="s">
        <v>411</v>
      </c>
      <c r="C327" s="274">
        <v>32700</v>
      </c>
      <c r="D327" s="273" t="s">
        <v>191</v>
      </c>
      <c r="E327" s="273" t="s">
        <v>192</v>
      </c>
      <c r="F327" s="273" t="s">
        <v>112</v>
      </c>
      <c r="G327" s="273" t="s">
        <v>113</v>
      </c>
      <c r="H327" s="275">
        <v>327</v>
      </c>
      <c r="I327" s="275" t="s">
        <v>65</v>
      </c>
      <c r="J327" s="270" t="s">
        <v>193</v>
      </c>
    </row>
    <row r="328" hidden="1" spans="1:10">
      <c r="A328" s="273" t="s">
        <v>410</v>
      </c>
      <c r="B328" s="273" t="s">
        <v>411</v>
      </c>
      <c r="C328" s="274">
        <v>32800</v>
      </c>
      <c r="D328" s="273" t="s">
        <v>444</v>
      </c>
      <c r="E328" s="273" t="s">
        <v>445</v>
      </c>
      <c r="F328" s="273" t="s">
        <v>268</v>
      </c>
      <c r="G328" s="273" t="s">
        <v>269</v>
      </c>
      <c r="H328" s="275">
        <v>328</v>
      </c>
      <c r="I328" s="275"/>
      <c r="J328" s="270" t="s">
        <v>446</v>
      </c>
    </row>
    <row r="329" hidden="1" spans="1:10">
      <c r="A329" s="273" t="s">
        <v>410</v>
      </c>
      <c r="B329" s="273" t="s">
        <v>411</v>
      </c>
      <c r="C329" s="274">
        <v>98400</v>
      </c>
      <c r="D329" s="273" t="s">
        <v>447</v>
      </c>
      <c r="E329" s="273" t="s">
        <v>448</v>
      </c>
      <c r="F329" s="273" t="s">
        <v>125</v>
      </c>
      <c r="G329" s="273" t="s">
        <v>126</v>
      </c>
      <c r="H329" s="275">
        <v>984</v>
      </c>
      <c r="I329" s="275" t="s">
        <v>65</v>
      </c>
      <c r="J329" s="270" t="s">
        <v>449</v>
      </c>
    </row>
    <row r="330" hidden="1" spans="1:10">
      <c r="A330" s="273" t="s">
        <v>410</v>
      </c>
      <c r="B330" s="273" t="s">
        <v>411</v>
      </c>
      <c r="C330" s="274">
        <v>98500</v>
      </c>
      <c r="D330" s="273" t="s">
        <v>450</v>
      </c>
      <c r="E330" s="273" t="s">
        <v>451</v>
      </c>
      <c r="F330" s="273" t="s">
        <v>125</v>
      </c>
      <c r="G330" s="273" t="s">
        <v>126</v>
      </c>
      <c r="H330" s="275">
        <v>985</v>
      </c>
      <c r="I330" s="275" t="s">
        <v>65</v>
      </c>
      <c r="J330" s="270" t="s">
        <v>452</v>
      </c>
    </row>
    <row r="331" hidden="1" spans="1:10">
      <c r="A331" s="273" t="s">
        <v>410</v>
      </c>
      <c r="B331" s="273" t="s">
        <v>411</v>
      </c>
      <c r="C331" s="274">
        <v>32900</v>
      </c>
      <c r="D331" s="273" t="s">
        <v>453</v>
      </c>
      <c r="E331" s="273" t="s">
        <v>454</v>
      </c>
      <c r="F331" s="273" t="s">
        <v>125</v>
      </c>
      <c r="G331" s="273" t="s">
        <v>126</v>
      </c>
      <c r="H331" s="275">
        <v>329</v>
      </c>
      <c r="I331" s="275"/>
      <c r="J331" s="270" t="s">
        <v>455</v>
      </c>
    </row>
    <row r="332" hidden="1" spans="1:10">
      <c r="A332" s="273" t="s">
        <v>410</v>
      </c>
      <c r="B332" s="273" t="s">
        <v>411</v>
      </c>
      <c r="C332" s="274">
        <v>33000</v>
      </c>
      <c r="D332" s="273" t="s">
        <v>456</v>
      </c>
      <c r="E332" s="273" t="s">
        <v>457</v>
      </c>
      <c r="F332" s="273" t="s">
        <v>125</v>
      </c>
      <c r="G332" s="273" t="s">
        <v>126</v>
      </c>
      <c r="H332" s="275">
        <v>330</v>
      </c>
      <c r="I332" s="275"/>
      <c r="J332" s="270" t="s">
        <v>458</v>
      </c>
    </row>
    <row r="333" hidden="1" spans="1:10">
      <c r="A333" s="273" t="s">
        <v>410</v>
      </c>
      <c r="B333" s="273" t="s">
        <v>411</v>
      </c>
      <c r="C333" s="274">
        <v>33100</v>
      </c>
      <c r="D333" s="273" t="s">
        <v>459</v>
      </c>
      <c r="E333" s="273" t="s">
        <v>460</v>
      </c>
      <c r="F333" s="273" t="s">
        <v>125</v>
      </c>
      <c r="G333" s="273" t="s">
        <v>126</v>
      </c>
      <c r="H333" s="275">
        <v>331</v>
      </c>
      <c r="I333" s="275"/>
      <c r="J333" s="270" t="s">
        <v>461</v>
      </c>
    </row>
    <row r="334" hidden="1" spans="1:10">
      <c r="A334" s="273" t="s">
        <v>410</v>
      </c>
      <c r="B334" s="273" t="s">
        <v>411</v>
      </c>
      <c r="C334" s="274">
        <v>33200</v>
      </c>
      <c r="D334" s="273" t="s">
        <v>462</v>
      </c>
      <c r="E334" s="273" t="s">
        <v>463</v>
      </c>
      <c r="F334" s="273" t="s">
        <v>112</v>
      </c>
      <c r="G334" s="273" t="s">
        <v>113</v>
      </c>
      <c r="H334" s="275">
        <v>332</v>
      </c>
      <c r="I334" s="275"/>
      <c r="J334" s="270" t="s">
        <v>464</v>
      </c>
    </row>
    <row r="335" ht="21" hidden="1" spans="1:10">
      <c r="A335" s="273" t="s">
        <v>410</v>
      </c>
      <c r="B335" s="273" t="s">
        <v>411</v>
      </c>
      <c r="C335" s="274">
        <v>33300</v>
      </c>
      <c r="D335" s="273" t="s">
        <v>465</v>
      </c>
      <c r="E335" s="273" t="s">
        <v>466</v>
      </c>
      <c r="F335" s="273" t="s">
        <v>112</v>
      </c>
      <c r="G335" s="273" t="s">
        <v>113</v>
      </c>
      <c r="H335" s="275">
        <v>333</v>
      </c>
      <c r="I335" s="275"/>
      <c r="J335" s="270" t="s">
        <v>467</v>
      </c>
    </row>
    <row r="336" hidden="1" spans="1:10">
      <c r="A336" s="273" t="s">
        <v>410</v>
      </c>
      <c r="B336" s="273" t="s">
        <v>411</v>
      </c>
      <c r="C336" s="274">
        <v>33400</v>
      </c>
      <c r="D336" s="273" t="s">
        <v>468</v>
      </c>
      <c r="E336" s="273" t="s">
        <v>469</v>
      </c>
      <c r="F336" s="273" t="s">
        <v>125</v>
      </c>
      <c r="G336" s="273" t="s">
        <v>126</v>
      </c>
      <c r="H336" s="275">
        <v>334</v>
      </c>
      <c r="I336" s="275"/>
      <c r="J336" s="270" t="s">
        <v>470</v>
      </c>
    </row>
    <row r="337" hidden="1" spans="1:10">
      <c r="A337" s="273" t="s">
        <v>410</v>
      </c>
      <c r="B337" s="273" t="s">
        <v>411</v>
      </c>
      <c r="C337" s="274">
        <v>33500</v>
      </c>
      <c r="D337" s="273" t="s">
        <v>471</v>
      </c>
      <c r="E337" s="273" t="s">
        <v>472</v>
      </c>
      <c r="F337" s="273" t="s">
        <v>125</v>
      </c>
      <c r="G337" s="273" t="s">
        <v>126</v>
      </c>
      <c r="H337" s="275">
        <v>335</v>
      </c>
      <c r="I337" s="275"/>
      <c r="J337" s="270" t="s">
        <v>473</v>
      </c>
    </row>
    <row r="338" ht="21" hidden="1" spans="1:10">
      <c r="A338" s="273" t="s">
        <v>410</v>
      </c>
      <c r="B338" s="273" t="s">
        <v>411</v>
      </c>
      <c r="C338" s="274">
        <v>33600</v>
      </c>
      <c r="D338" s="273" t="s">
        <v>474</v>
      </c>
      <c r="E338" s="273" t="s">
        <v>475</v>
      </c>
      <c r="F338" s="273" t="s">
        <v>112</v>
      </c>
      <c r="G338" s="273" t="s">
        <v>113</v>
      </c>
      <c r="H338" s="275">
        <v>336</v>
      </c>
      <c r="I338" s="275"/>
      <c r="J338" s="270" t="s">
        <v>476</v>
      </c>
    </row>
    <row r="339" hidden="1" spans="1:10">
      <c r="A339" s="273" t="s">
        <v>410</v>
      </c>
      <c r="B339" s="273" t="s">
        <v>411</v>
      </c>
      <c r="C339" s="274">
        <v>33700</v>
      </c>
      <c r="D339" s="273" t="s">
        <v>477</v>
      </c>
      <c r="E339" s="273" t="s">
        <v>478</v>
      </c>
      <c r="F339" s="273" t="s">
        <v>125</v>
      </c>
      <c r="G339" s="273" t="s">
        <v>126</v>
      </c>
      <c r="H339" s="275">
        <v>337</v>
      </c>
      <c r="I339" s="275"/>
      <c r="J339" s="270" t="s">
        <v>479</v>
      </c>
    </row>
    <row r="340" hidden="1" spans="1:10">
      <c r="A340" s="273" t="s">
        <v>410</v>
      </c>
      <c r="B340" s="273" t="s">
        <v>411</v>
      </c>
      <c r="C340" s="274">
        <v>33800</v>
      </c>
      <c r="D340" s="273" t="s">
        <v>480</v>
      </c>
      <c r="E340" s="273" t="s">
        <v>481</v>
      </c>
      <c r="F340" s="273" t="s">
        <v>125</v>
      </c>
      <c r="G340" s="273" t="s">
        <v>126</v>
      </c>
      <c r="H340" s="275">
        <v>338</v>
      </c>
      <c r="I340" s="275"/>
      <c r="J340" s="270" t="s">
        <v>482</v>
      </c>
    </row>
    <row r="341" hidden="1" spans="1:10">
      <c r="A341" s="273" t="s">
        <v>410</v>
      </c>
      <c r="B341" s="273" t="s">
        <v>411</v>
      </c>
      <c r="C341" s="274">
        <v>33900</v>
      </c>
      <c r="D341" s="273" t="s">
        <v>483</v>
      </c>
      <c r="E341" s="273" t="s">
        <v>484</v>
      </c>
      <c r="F341" s="273" t="s">
        <v>125</v>
      </c>
      <c r="G341" s="273" t="s">
        <v>126</v>
      </c>
      <c r="H341" s="275">
        <v>339</v>
      </c>
      <c r="I341" s="275"/>
      <c r="J341" s="270" t="s">
        <v>485</v>
      </c>
    </row>
    <row r="342" hidden="1" spans="1:10">
      <c r="A342" s="273" t="s">
        <v>410</v>
      </c>
      <c r="B342" s="273" t="s">
        <v>411</v>
      </c>
      <c r="C342" s="274">
        <v>34000</v>
      </c>
      <c r="D342" s="273" t="s">
        <v>486</v>
      </c>
      <c r="E342" s="273" t="s">
        <v>487</v>
      </c>
      <c r="F342" s="273" t="s">
        <v>125</v>
      </c>
      <c r="G342" s="273" t="s">
        <v>126</v>
      </c>
      <c r="H342" s="275">
        <v>340</v>
      </c>
      <c r="I342" s="275"/>
      <c r="J342" s="270" t="s">
        <v>488</v>
      </c>
    </row>
    <row r="343" hidden="1" spans="1:10">
      <c r="A343" s="273" t="s">
        <v>410</v>
      </c>
      <c r="B343" s="273" t="s">
        <v>411</v>
      </c>
      <c r="C343" s="274">
        <v>34100</v>
      </c>
      <c r="D343" s="273" t="s">
        <v>489</v>
      </c>
      <c r="E343" s="273" t="s">
        <v>490</v>
      </c>
      <c r="F343" s="273" t="s">
        <v>125</v>
      </c>
      <c r="G343" s="273" t="s">
        <v>126</v>
      </c>
      <c r="H343" s="275">
        <v>341</v>
      </c>
      <c r="I343" s="275"/>
      <c r="J343" s="270" t="s">
        <v>491</v>
      </c>
    </row>
    <row r="344" hidden="1" spans="1:10">
      <c r="A344" s="273" t="s">
        <v>410</v>
      </c>
      <c r="B344" s="273" t="s">
        <v>411</v>
      </c>
      <c r="C344" s="274">
        <v>34200</v>
      </c>
      <c r="D344" s="273" t="s">
        <v>492</v>
      </c>
      <c r="E344" s="273" t="s">
        <v>493</v>
      </c>
      <c r="F344" s="273" t="s">
        <v>125</v>
      </c>
      <c r="G344" s="273" t="s">
        <v>126</v>
      </c>
      <c r="H344" s="275">
        <v>342</v>
      </c>
      <c r="I344" s="275"/>
      <c r="J344" s="270" t="s">
        <v>494</v>
      </c>
    </row>
    <row r="345" hidden="1" spans="1:10">
      <c r="A345" s="273" t="s">
        <v>410</v>
      </c>
      <c r="B345" s="273" t="s">
        <v>411</v>
      </c>
      <c r="C345" s="274">
        <v>34300</v>
      </c>
      <c r="D345" s="273" t="s">
        <v>495</v>
      </c>
      <c r="E345" s="273" t="s">
        <v>496</v>
      </c>
      <c r="F345" s="273" t="s">
        <v>125</v>
      </c>
      <c r="G345" s="273" t="s">
        <v>126</v>
      </c>
      <c r="H345" s="275">
        <v>343</v>
      </c>
      <c r="I345" s="275"/>
      <c r="J345" s="270" t="s">
        <v>497</v>
      </c>
    </row>
    <row r="346" ht="42" hidden="1" spans="1:10">
      <c r="A346" s="273" t="s">
        <v>410</v>
      </c>
      <c r="B346" s="273" t="s">
        <v>411</v>
      </c>
      <c r="C346" s="274">
        <v>34400</v>
      </c>
      <c r="D346" s="273" t="s">
        <v>206</v>
      </c>
      <c r="E346" s="273" t="s">
        <v>207</v>
      </c>
      <c r="F346" s="273" t="s">
        <v>112</v>
      </c>
      <c r="G346" s="273" t="s">
        <v>113</v>
      </c>
      <c r="H346" s="275">
        <v>344</v>
      </c>
      <c r="I346" s="275"/>
      <c r="J346" s="270" t="s">
        <v>208</v>
      </c>
    </row>
    <row r="347" hidden="1" spans="1:10">
      <c r="A347" s="273" t="s">
        <v>410</v>
      </c>
      <c r="B347" s="273" t="s">
        <v>411</v>
      </c>
      <c r="C347" s="274">
        <v>34500</v>
      </c>
      <c r="D347" s="273" t="s">
        <v>498</v>
      </c>
      <c r="E347" s="273" t="s">
        <v>499</v>
      </c>
      <c r="F347" s="273" t="s">
        <v>125</v>
      </c>
      <c r="G347" s="273" t="s">
        <v>126</v>
      </c>
      <c r="H347" s="275">
        <v>345</v>
      </c>
      <c r="I347" s="275"/>
      <c r="J347" s="270" t="s">
        <v>500</v>
      </c>
    </row>
    <row r="348" hidden="1" spans="1:10">
      <c r="A348" s="273" t="s">
        <v>410</v>
      </c>
      <c r="B348" s="273" t="s">
        <v>411</v>
      </c>
      <c r="C348" s="274">
        <v>34600</v>
      </c>
      <c r="D348" s="273" t="s">
        <v>501</v>
      </c>
      <c r="E348" s="273" t="s">
        <v>502</v>
      </c>
      <c r="F348" s="273" t="s">
        <v>125</v>
      </c>
      <c r="G348" s="273" t="s">
        <v>126</v>
      </c>
      <c r="H348" s="275">
        <v>346</v>
      </c>
      <c r="I348" s="275"/>
      <c r="J348" s="270" t="s">
        <v>503</v>
      </c>
    </row>
    <row r="349" hidden="1" spans="1:10">
      <c r="A349" s="273" t="s">
        <v>410</v>
      </c>
      <c r="B349" s="273" t="s">
        <v>411</v>
      </c>
      <c r="C349" s="274">
        <v>34700</v>
      </c>
      <c r="D349" s="273" t="s">
        <v>504</v>
      </c>
      <c r="E349" s="273" t="s">
        <v>505</v>
      </c>
      <c r="F349" s="273" t="s">
        <v>125</v>
      </c>
      <c r="G349" s="273" t="s">
        <v>126</v>
      </c>
      <c r="H349" s="275">
        <v>347</v>
      </c>
      <c r="I349" s="275"/>
      <c r="J349" s="270" t="s">
        <v>506</v>
      </c>
    </row>
    <row r="350" hidden="1" spans="1:10">
      <c r="A350" s="273" t="s">
        <v>410</v>
      </c>
      <c r="B350" s="273" t="s">
        <v>411</v>
      </c>
      <c r="C350" s="274">
        <v>34800</v>
      </c>
      <c r="D350" s="273" t="s">
        <v>507</v>
      </c>
      <c r="E350" s="273" t="s">
        <v>508</v>
      </c>
      <c r="F350" s="273" t="s">
        <v>125</v>
      </c>
      <c r="G350" s="273" t="s">
        <v>126</v>
      </c>
      <c r="H350" s="275">
        <v>348</v>
      </c>
      <c r="I350" s="275"/>
      <c r="J350" s="270" t="s">
        <v>509</v>
      </c>
    </row>
    <row r="351" hidden="1" spans="1:10">
      <c r="A351" s="273" t="s">
        <v>410</v>
      </c>
      <c r="B351" s="273" t="s">
        <v>411</v>
      </c>
      <c r="C351" s="274">
        <v>34900</v>
      </c>
      <c r="D351" s="273" t="s">
        <v>510</v>
      </c>
      <c r="E351" s="273" t="s">
        <v>511</v>
      </c>
      <c r="F351" s="273" t="s">
        <v>125</v>
      </c>
      <c r="G351" s="273" t="s">
        <v>126</v>
      </c>
      <c r="H351" s="275">
        <v>349</v>
      </c>
      <c r="I351" s="275"/>
      <c r="J351" s="270" t="s">
        <v>512</v>
      </c>
    </row>
    <row r="352" hidden="1" spans="1:10">
      <c r="A352" s="273" t="s">
        <v>410</v>
      </c>
      <c r="B352" s="273" t="s">
        <v>411</v>
      </c>
      <c r="C352" s="274">
        <v>35000</v>
      </c>
      <c r="D352" s="273" t="s">
        <v>513</v>
      </c>
      <c r="E352" s="273" t="s">
        <v>514</v>
      </c>
      <c r="F352" s="273" t="s">
        <v>125</v>
      </c>
      <c r="G352" s="273" t="s">
        <v>126</v>
      </c>
      <c r="H352" s="275">
        <v>350</v>
      </c>
      <c r="I352" s="275"/>
      <c r="J352" s="270" t="s">
        <v>515</v>
      </c>
    </row>
    <row r="353" hidden="1" spans="1:10">
      <c r="A353" s="273" t="s">
        <v>410</v>
      </c>
      <c r="B353" s="273" t="s">
        <v>411</v>
      </c>
      <c r="C353" s="274">
        <v>35100</v>
      </c>
      <c r="D353" s="273" t="s">
        <v>516</v>
      </c>
      <c r="E353" s="273" t="s">
        <v>517</v>
      </c>
      <c r="F353" s="273" t="s">
        <v>125</v>
      </c>
      <c r="G353" s="273" t="s">
        <v>126</v>
      </c>
      <c r="H353" s="275">
        <v>351</v>
      </c>
      <c r="I353" s="275"/>
      <c r="J353" s="270" t="s">
        <v>518</v>
      </c>
    </row>
    <row r="354" hidden="1" spans="1:10">
      <c r="A354" s="273" t="s">
        <v>410</v>
      </c>
      <c r="B354" s="273" t="s">
        <v>411</v>
      </c>
      <c r="C354" s="274">
        <v>35200</v>
      </c>
      <c r="D354" s="273" t="s">
        <v>519</v>
      </c>
      <c r="E354" s="273" t="s">
        <v>520</v>
      </c>
      <c r="F354" s="273" t="s">
        <v>125</v>
      </c>
      <c r="G354" s="273" t="s">
        <v>126</v>
      </c>
      <c r="H354" s="275">
        <v>352</v>
      </c>
      <c r="I354" s="275"/>
      <c r="J354" s="270" t="s">
        <v>521</v>
      </c>
    </row>
    <row r="355" hidden="1" spans="1:10">
      <c r="A355" s="273" t="s">
        <v>410</v>
      </c>
      <c r="B355" s="273" t="s">
        <v>411</v>
      </c>
      <c r="C355" s="274">
        <v>35300</v>
      </c>
      <c r="D355" s="273" t="s">
        <v>522</v>
      </c>
      <c r="E355" s="273" t="s">
        <v>523</v>
      </c>
      <c r="F355" s="273" t="s">
        <v>125</v>
      </c>
      <c r="G355" s="273" t="s">
        <v>126</v>
      </c>
      <c r="H355" s="275">
        <v>353</v>
      </c>
      <c r="I355" s="275"/>
      <c r="J355" s="270" t="s">
        <v>524</v>
      </c>
    </row>
    <row r="356" hidden="1" spans="1:10">
      <c r="A356" s="273" t="s">
        <v>410</v>
      </c>
      <c r="B356" s="273" t="s">
        <v>411</v>
      </c>
      <c r="C356" s="274">
        <v>35400</v>
      </c>
      <c r="D356" s="273" t="s">
        <v>525</v>
      </c>
      <c r="E356" s="273" t="s">
        <v>526</v>
      </c>
      <c r="F356" s="273" t="s">
        <v>125</v>
      </c>
      <c r="G356" s="273" t="s">
        <v>126</v>
      </c>
      <c r="H356" s="275">
        <v>354</v>
      </c>
      <c r="I356" s="275"/>
      <c r="J356" s="270" t="s">
        <v>527</v>
      </c>
    </row>
    <row r="357" ht="52.5" hidden="1" spans="1:10">
      <c r="A357" s="273" t="s">
        <v>410</v>
      </c>
      <c r="B357" s="273" t="s">
        <v>411</v>
      </c>
      <c r="C357" s="274">
        <v>35500</v>
      </c>
      <c r="D357" s="273" t="s">
        <v>215</v>
      </c>
      <c r="E357" s="273" t="s">
        <v>216</v>
      </c>
      <c r="F357" s="273" t="s">
        <v>112</v>
      </c>
      <c r="G357" s="273" t="s">
        <v>113</v>
      </c>
      <c r="H357" s="275">
        <v>355</v>
      </c>
      <c r="I357" s="275" t="s">
        <v>65</v>
      </c>
      <c r="J357" s="270" t="s">
        <v>217</v>
      </c>
    </row>
    <row r="358" ht="21" hidden="1" spans="1:10">
      <c r="A358" s="273" t="s">
        <v>410</v>
      </c>
      <c r="B358" s="273" t="s">
        <v>411</v>
      </c>
      <c r="C358" s="274">
        <v>35600</v>
      </c>
      <c r="D358" s="273" t="s">
        <v>222</v>
      </c>
      <c r="E358" s="273" t="s">
        <v>223</v>
      </c>
      <c r="F358" s="273" t="s">
        <v>58</v>
      </c>
      <c r="G358" s="273" t="s">
        <v>220</v>
      </c>
      <c r="H358" s="275">
        <v>356</v>
      </c>
      <c r="I358" s="275"/>
      <c r="J358" s="270" t="s">
        <v>221</v>
      </c>
    </row>
    <row r="359" ht="21" hidden="1" spans="1:10">
      <c r="A359" s="273" t="s">
        <v>410</v>
      </c>
      <c r="B359" s="273" t="s">
        <v>411</v>
      </c>
      <c r="C359" s="274">
        <v>35710</v>
      </c>
      <c r="D359" s="273" t="s">
        <v>528</v>
      </c>
      <c r="E359" s="273" t="s">
        <v>529</v>
      </c>
      <c r="F359" s="273" t="s">
        <v>58</v>
      </c>
      <c r="G359" s="273" t="s">
        <v>220</v>
      </c>
      <c r="H359" s="275">
        <v>1163</v>
      </c>
      <c r="I359" s="275"/>
      <c r="J359" s="270" t="s">
        <v>221</v>
      </c>
    </row>
    <row r="360" ht="21" hidden="1" spans="1:10">
      <c r="A360" s="273" t="s">
        <v>410</v>
      </c>
      <c r="B360" s="273" t="s">
        <v>411</v>
      </c>
      <c r="C360" s="274">
        <v>35720</v>
      </c>
      <c r="D360" s="273" t="s">
        <v>530</v>
      </c>
      <c r="E360" s="273" t="s">
        <v>531</v>
      </c>
      <c r="F360" s="273" t="s">
        <v>58</v>
      </c>
      <c r="G360" s="273" t="s">
        <v>220</v>
      </c>
      <c r="H360" s="275">
        <v>1166</v>
      </c>
      <c r="I360" s="275"/>
      <c r="J360" s="270" t="s">
        <v>221</v>
      </c>
    </row>
    <row r="361" ht="21" hidden="1" spans="1:10">
      <c r="A361" s="273" t="s">
        <v>410</v>
      </c>
      <c r="B361" s="273" t="s">
        <v>411</v>
      </c>
      <c r="C361" s="274">
        <v>35800</v>
      </c>
      <c r="D361" s="273" t="s">
        <v>532</v>
      </c>
      <c r="E361" s="273" t="s">
        <v>533</v>
      </c>
      <c r="F361" s="273" t="s">
        <v>58</v>
      </c>
      <c r="G361" s="273" t="s">
        <v>220</v>
      </c>
      <c r="H361" s="275">
        <v>358</v>
      </c>
      <c r="I361" s="275"/>
      <c r="J361" s="270" t="s">
        <v>221</v>
      </c>
    </row>
    <row r="362" ht="21" hidden="1" spans="1:10">
      <c r="A362" s="273" t="s">
        <v>410</v>
      </c>
      <c r="B362" s="273" t="s">
        <v>411</v>
      </c>
      <c r="C362" s="274">
        <v>35900</v>
      </c>
      <c r="D362" s="273" t="s">
        <v>534</v>
      </c>
      <c r="E362" s="273" t="s">
        <v>535</v>
      </c>
      <c r="F362" s="273" t="s">
        <v>58</v>
      </c>
      <c r="G362" s="273" t="s">
        <v>220</v>
      </c>
      <c r="H362" s="275">
        <v>359</v>
      </c>
      <c r="I362" s="275"/>
      <c r="J362" s="270" t="s">
        <v>221</v>
      </c>
    </row>
    <row r="363" ht="21" hidden="1" spans="1:10">
      <c r="A363" s="273" t="s">
        <v>410</v>
      </c>
      <c r="B363" s="273" t="s">
        <v>411</v>
      </c>
      <c r="C363" s="274">
        <v>36000</v>
      </c>
      <c r="D363" s="273" t="s">
        <v>328</v>
      </c>
      <c r="E363" s="273" t="s">
        <v>329</v>
      </c>
      <c r="F363" s="273" t="s">
        <v>58</v>
      </c>
      <c r="G363" s="273" t="s">
        <v>220</v>
      </c>
      <c r="H363" s="275">
        <v>360</v>
      </c>
      <c r="I363" s="275"/>
      <c r="J363" s="270" t="s">
        <v>221</v>
      </c>
    </row>
    <row r="364" ht="21" hidden="1" spans="1:10">
      <c r="A364" s="273" t="s">
        <v>410</v>
      </c>
      <c r="B364" s="273" t="s">
        <v>411</v>
      </c>
      <c r="C364" s="274">
        <v>98700</v>
      </c>
      <c r="D364" s="273" t="s">
        <v>536</v>
      </c>
      <c r="E364" s="273" t="s">
        <v>537</v>
      </c>
      <c r="F364" s="273" t="s">
        <v>58</v>
      </c>
      <c r="G364" s="273" t="s">
        <v>220</v>
      </c>
      <c r="H364" s="275">
        <v>987</v>
      </c>
      <c r="I364" s="275"/>
      <c r="J364" s="270" t="s">
        <v>221</v>
      </c>
    </row>
    <row r="365" hidden="1" spans="1:10">
      <c r="A365" s="273" t="s">
        <v>410</v>
      </c>
      <c r="B365" s="273" t="s">
        <v>411</v>
      </c>
      <c r="C365" s="274">
        <v>36100</v>
      </c>
      <c r="D365" s="273" t="s">
        <v>238</v>
      </c>
      <c r="E365" s="273" t="s">
        <v>239</v>
      </c>
      <c r="F365" s="273" t="s">
        <v>240</v>
      </c>
      <c r="G365" s="273" t="s">
        <v>241</v>
      </c>
      <c r="H365" s="275">
        <v>361</v>
      </c>
      <c r="I365" s="275"/>
      <c r="J365" s="270" t="s">
        <v>4</v>
      </c>
    </row>
    <row r="366" ht="52.5" hidden="1" spans="1:10">
      <c r="A366" s="273" t="s">
        <v>538</v>
      </c>
      <c r="B366" s="273" t="s">
        <v>539</v>
      </c>
      <c r="C366" s="274">
        <v>36400</v>
      </c>
      <c r="D366" s="273" t="s">
        <v>56</v>
      </c>
      <c r="E366" s="273" t="s">
        <v>57</v>
      </c>
      <c r="F366" s="273" t="s">
        <v>58</v>
      </c>
      <c r="G366" s="273" t="s">
        <v>59</v>
      </c>
      <c r="H366" s="275">
        <v>364</v>
      </c>
      <c r="I366" s="275" t="s">
        <v>65</v>
      </c>
      <c r="J366" s="270" t="s">
        <v>540</v>
      </c>
    </row>
    <row r="367" ht="42" hidden="1" spans="1:10">
      <c r="A367" s="273" t="s">
        <v>538</v>
      </c>
      <c r="B367" s="273" t="s">
        <v>539</v>
      </c>
      <c r="C367" s="274">
        <v>36600</v>
      </c>
      <c r="D367" s="273" t="s">
        <v>541</v>
      </c>
      <c r="E367" s="273" t="s">
        <v>542</v>
      </c>
      <c r="F367" s="273" t="s">
        <v>58</v>
      </c>
      <c r="G367" s="273" t="s">
        <v>59</v>
      </c>
      <c r="H367" s="275">
        <v>366</v>
      </c>
      <c r="I367" s="275" t="s">
        <v>65</v>
      </c>
      <c r="J367" s="270" t="s">
        <v>543</v>
      </c>
    </row>
    <row r="368" ht="31.5" hidden="1" spans="1:10">
      <c r="A368" s="273" t="s">
        <v>538</v>
      </c>
      <c r="B368" s="273" t="s">
        <v>539</v>
      </c>
      <c r="C368" s="274">
        <v>36700</v>
      </c>
      <c r="D368" s="273" t="s">
        <v>544</v>
      </c>
      <c r="E368" s="273" t="s">
        <v>545</v>
      </c>
      <c r="F368" s="273" t="s">
        <v>112</v>
      </c>
      <c r="G368" s="273" t="s">
        <v>113</v>
      </c>
      <c r="H368" s="275">
        <v>367</v>
      </c>
      <c r="I368" s="275" t="s">
        <v>65</v>
      </c>
      <c r="J368" s="270" t="s">
        <v>546</v>
      </c>
    </row>
    <row r="369" ht="31.5" hidden="1" spans="1:10">
      <c r="A369" s="273" t="s">
        <v>547</v>
      </c>
      <c r="B369" s="273" t="s">
        <v>548</v>
      </c>
      <c r="C369" s="274">
        <v>37000</v>
      </c>
      <c r="D369" s="273" t="s">
        <v>56</v>
      </c>
      <c r="E369" s="273" t="s">
        <v>57</v>
      </c>
      <c r="F369" s="273" t="s">
        <v>58</v>
      </c>
      <c r="G369" s="273" t="s">
        <v>59</v>
      </c>
      <c r="H369" s="275">
        <v>370</v>
      </c>
      <c r="I369" s="275"/>
      <c r="J369" s="270" t="s">
        <v>336</v>
      </c>
    </row>
    <row r="370" ht="21" hidden="1" spans="1:10">
      <c r="A370" s="273" t="s">
        <v>547</v>
      </c>
      <c r="B370" s="273" t="s">
        <v>548</v>
      </c>
      <c r="C370" s="274">
        <v>37200</v>
      </c>
      <c r="D370" s="273" t="s">
        <v>136</v>
      </c>
      <c r="E370" s="273" t="s">
        <v>137</v>
      </c>
      <c r="F370" s="273" t="s">
        <v>112</v>
      </c>
      <c r="G370" s="273" t="s">
        <v>113</v>
      </c>
      <c r="H370" s="275">
        <v>372</v>
      </c>
      <c r="I370" s="275"/>
      <c r="J370" s="270" t="s">
        <v>138</v>
      </c>
    </row>
    <row r="371" ht="52.5" hidden="1" spans="1:10">
      <c r="A371" s="273" t="s">
        <v>547</v>
      </c>
      <c r="B371" s="273" t="s">
        <v>548</v>
      </c>
      <c r="C371" s="274">
        <v>37300</v>
      </c>
      <c r="D371" s="273" t="s">
        <v>337</v>
      </c>
      <c r="E371" s="273" t="s">
        <v>338</v>
      </c>
      <c r="F371" s="273" t="s">
        <v>130</v>
      </c>
      <c r="G371" s="273" t="s">
        <v>131</v>
      </c>
      <c r="H371" s="275">
        <v>373</v>
      </c>
      <c r="I371" s="275"/>
      <c r="J371" s="270" t="s">
        <v>339</v>
      </c>
    </row>
    <row r="372" ht="73.5" hidden="1" spans="1:10">
      <c r="A372" s="273" t="s">
        <v>547</v>
      </c>
      <c r="B372" s="273" t="s">
        <v>548</v>
      </c>
      <c r="C372" s="274">
        <v>37400</v>
      </c>
      <c r="D372" s="273" t="s">
        <v>133</v>
      </c>
      <c r="E372" s="273" t="s">
        <v>134</v>
      </c>
      <c r="F372" s="273" t="s">
        <v>130</v>
      </c>
      <c r="G372" s="273" t="s">
        <v>131</v>
      </c>
      <c r="H372" s="275">
        <v>374</v>
      </c>
      <c r="I372" s="275"/>
      <c r="J372" s="270" t="s">
        <v>340</v>
      </c>
    </row>
    <row r="373" hidden="1" spans="1:10">
      <c r="A373" s="273" t="s">
        <v>547</v>
      </c>
      <c r="B373" s="273" t="s">
        <v>548</v>
      </c>
      <c r="C373" s="274">
        <v>37500</v>
      </c>
      <c r="D373" s="273" t="s">
        <v>341</v>
      </c>
      <c r="E373" s="273" t="s">
        <v>341</v>
      </c>
      <c r="F373" s="273" t="s">
        <v>308</v>
      </c>
      <c r="G373" s="273" t="s">
        <v>309</v>
      </c>
      <c r="H373" s="275">
        <v>375</v>
      </c>
      <c r="I373" s="275"/>
      <c r="J373" s="270" t="s">
        <v>342</v>
      </c>
    </row>
    <row r="374" hidden="1" spans="1:10">
      <c r="A374" s="273" t="s">
        <v>547</v>
      </c>
      <c r="B374" s="273" t="s">
        <v>548</v>
      </c>
      <c r="C374" s="274">
        <v>37600</v>
      </c>
      <c r="D374" s="273" t="s">
        <v>343</v>
      </c>
      <c r="E374" s="273" t="s">
        <v>343</v>
      </c>
      <c r="F374" s="273" t="s">
        <v>120</v>
      </c>
      <c r="G374" s="273" t="s">
        <v>121</v>
      </c>
      <c r="H374" s="275">
        <v>376</v>
      </c>
      <c r="I374" s="275"/>
      <c r="J374" s="270" t="s">
        <v>344</v>
      </c>
    </row>
    <row r="375" hidden="1" spans="1:10">
      <c r="A375" s="273" t="s">
        <v>547</v>
      </c>
      <c r="B375" s="273" t="s">
        <v>548</v>
      </c>
      <c r="C375" s="274">
        <v>37700</v>
      </c>
      <c r="D375" s="273" t="s">
        <v>345</v>
      </c>
      <c r="E375" s="273" t="s">
        <v>345</v>
      </c>
      <c r="F375" s="273" t="s">
        <v>346</v>
      </c>
      <c r="G375" s="273" t="s">
        <v>347</v>
      </c>
      <c r="H375" s="275">
        <v>377</v>
      </c>
      <c r="I375" s="275"/>
      <c r="J375" s="270" t="s">
        <v>348</v>
      </c>
    </row>
    <row r="376" hidden="1" spans="1:10">
      <c r="A376" s="273" t="s">
        <v>547</v>
      </c>
      <c r="B376" s="273" t="s">
        <v>548</v>
      </c>
      <c r="C376" s="274">
        <v>37800</v>
      </c>
      <c r="D376" s="273" t="s">
        <v>349</v>
      </c>
      <c r="E376" s="273" t="s">
        <v>350</v>
      </c>
      <c r="F376" s="273" t="s">
        <v>125</v>
      </c>
      <c r="G376" s="273" t="s">
        <v>126</v>
      </c>
      <c r="H376" s="275">
        <v>378</v>
      </c>
      <c r="I376" s="275"/>
      <c r="J376" s="270" t="s">
        <v>351</v>
      </c>
    </row>
    <row r="377" ht="21" hidden="1" spans="1:10">
      <c r="A377" s="273" t="s">
        <v>547</v>
      </c>
      <c r="B377" s="273" t="s">
        <v>548</v>
      </c>
      <c r="C377" s="274">
        <v>37900</v>
      </c>
      <c r="D377" s="273" t="s">
        <v>352</v>
      </c>
      <c r="E377" s="273" t="s">
        <v>353</v>
      </c>
      <c r="F377" s="273" t="s">
        <v>58</v>
      </c>
      <c r="G377" s="273" t="s">
        <v>220</v>
      </c>
      <c r="H377" s="275">
        <v>379</v>
      </c>
      <c r="I377" s="275"/>
      <c r="J377" s="270" t="s">
        <v>221</v>
      </c>
    </row>
    <row r="378" ht="21" hidden="1" spans="1:10">
      <c r="A378" s="273" t="s">
        <v>547</v>
      </c>
      <c r="B378" s="273" t="s">
        <v>548</v>
      </c>
      <c r="C378" s="274">
        <v>38000</v>
      </c>
      <c r="D378" s="273" t="s">
        <v>224</v>
      </c>
      <c r="E378" s="273" t="s">
        <v>225</v>
      </c>
      <c r="F378" s="273" t="s">
        <v>58</v>
      </c>
      <c r="G378" s="273" t="s">
        <v>220</v>
      </c>
      <c r="H378" s="275">
        <v>380</v>
      </c>
      <c r="I378" s="275"/>
      <c r="J378" s="270" t="s">
        <v>221</v>
      </c>
    </row>
    <row r="379" ht="21" hidden="1" spans="1:10">
      <c r="A379" s="273" t="s">
        <v>547</v>
      </c>
      <c r="B379" s="273" t="s">
        <v>548</v>
      </c>
      <c r="C379" s="274">
        <v>38100</v>
      </c>
      <c r="D379" s="273" t="s">
        <v>354</v>
      </c>
      <c r="E379" s="273" t="s">
        <v>355</v>
      </c>
      <c r="F379" s="273" t="s">
        <v>58</v>
      </c>
      <c r="G379" s="273" t="s">
        <v>220</v>
      </c>
      <c r="H379" s="275">
        <v>381</v>
      </c>
      <c r="I379" s="275"/>
      <c r="J379" s="270" t="s">
        <v>221</v>
      </c>
    </row>
    <row r="380" ht="21" hidden="1" spans="1:10">
      <c r="A380" s="273" t="s">
        <v>547</v>
      </c>
      <c r="B380" s="273" t="s">
        <v>548</v>
      </c>
      <c r="C380" s="274">
        <v>38200</v>
      </c>
      <c r="D380" s="273" t="s">
        <v>356</v>
      </c>
      <c r="E380" s="273" t="s">
        <v>357</v>
      </c>
      <c r="F380" s="273" t="s">
        <v>58</v>
      </c>
      <c r="G380" s="273" t="s">
        <v>220</v>
      </c>
      <c r="H380" s="275">
        <v>382</v>
      </c>
      <c r="I380" s="275"/>
      <c r="J380" s="270" t="s">
        <v>221</v>
      </c>
    </row>
    <row r="381" ht="21" hidden="1" spans="1:10">
      <c r="A381" s="273" t="s">
        <v>547</v>
      </c>
      <c r="B381" s="273" t="s">
        <v>548</v>
      </c>
      <c r="C381" s="274">
        <v>38300</v>
      </c>
      <c r="D381" s="273" t="s">
        <v>358</v>
      </c>
      <c r="E381" s="273" t="s">
        <v>359</v>
      </c>
      <c r="F381" s="273" t="s">
        <v>58</v>
      </c>
      <c r="G381" s="273" t="s">
        <v>220</v>
      </c>
      <c r="H381" s="275">
        <v>383</v>
      </c>
      <c r="I381" s="275"/>
      <c r="J381" s="270" t="s">
        <v>221</v>
      </c>
    </row>
    <row r="382" ht="42" hidden="1" spans="1:10">
      <c r="A382" s="273" t="s">
        <v>549</v>
      </c>
      <c r="B382" s="273" t="s">
        <v>550</v>
      </c>
      <c r="C382" s="274">
        <v>38600</v>
      </c>
      <c r="D382" s="273" t="s">
        <v>56</v>
      </c>
      <c r="E382" s="273" t="s">
        <v>57</v>
      </c>
      <c r="F382" s="273" t="s">
        <v>58</v>
      </c>
      <c r="G382" s="273" t="s">
        <v>59</v>
      </c>
      <c r="H382" s="275">
        <v>386</v>
      </c>
      <c r="I382" s="275" t="s">
        <v>65</v>
      </c>
      <c r="J382" s="270" t="s">
        <v>551</v>
      </c>
    </row>
    <row r="383" ht="42" hidden="1" spans="1:10">
      <c r="A383" s="273" t="s">
        <v>549</v>
      </c>
      <c r="B383" s="273" t="s">
        <v>550</v>
      </c>
      <c r="C383" s="274">
        <v>38800</v>
      </c>
      <c r="D383" s="273" t="s">
        <v>254</v>
      </c>
      <c r="E383" s="273" t="s">
        <v>255</v>
      </c>
      <c r="F383" s="273" t="s">
        <v>58</v>
      </c>
      <c r="G383" s="273" t="s">
        <v>59</v>
      </c>
      <c r="H383" s="275">
        <v>388</v>
      </c>
      <c r="I383" s="275" t="s">
        <v>65</v>
      </c>
      <c r="J383" s="270" t="s">
        <v>552</v>
      </c>
    </row>
    <row r="384" ht="31.5" hidden="1" spans="1:10">
      <c r="A384" s="273" t="s">
        <v>549</v>
      </c>
      <c r="B384" s="273" t="s">
        <v>550</v>
      </c>
      <c r="C384" s="274">
        <v>38900</v>
      </c>
      <c r="D384" s="273" t="s">
        <v>257</v>
      </c>
      <c r="E384" s="273" t="s">
        <v>258</v>
      </c>
      <c r="F384" s="273" t="s">
        <v>112</v>
      </c>
      <c r="G384" s="273" t="s">
        <v>113</v>
      </c>
      <c r="H384" s="275">
        <v>389</v>
      </c>
      <c r="I384" s="275" t="s">
        <v>65</v>
      </c>
      <c r="J384" s="270" t="s">
        <v>553</v>
      </c>
    </row>
    <row r="385" ht="21" spans="1:10">
      <c r="A385" s="273" t="s">
        <v>554</v>
      </c>
      <c r="B385" s="273" t="s">
        <v>555</v>
      </c>
      <c r="C385" s="274">
        <v>39200</v>
      </c>
      <c r="D385" s="273" t="s">
        <v>56</v>
      </c>
      <c r="E385" s="273" t="s">
        <v>57</v>
      </c>
      <c r="F385" s="273" t="s">
        <v>58</v>
      </c>
      <c r="G385" s="273" t="s">
        <v>59</v>
      </c>
      <c r="H385" s="275">
        <v>392</v>
      </c>
      <c r="I385" s="275"/>
      <c r="J385" s="270" t="s">
        <v>60</v>
      </c>
    </row>
    <row r="386" ht="52.5" spans="1:10">
      <c r="A386" s="273" t="s">
        <v>554</v>
      </c>
      <c r="B386" s="273" t="s">
        <v>555</v>
      </c>
      <c r="C386" s="274">
        <v>39400</v>
      </c>
      <c r="D386" s="273" t="s">
        <v>61</v>
      </c>
      <c r="E386" s="273" t="s">
        <v>62</v>
      </c>
      <c r="F386" s="273" t="s">
        <v>63</v>
      </c>
      <c r="G386" s="273" t="s">
        <v>64</v>
      </c>
      <c r="H386" s="275">
        <v>394</v>
      </c>
      <c r="I386" s="275" t="s">
        <v>65</v>
      </c>
      <c r="J386" s="270" t="s">
        <v>66</v>
      </c>
    </row>
    <row r="387" ht="21" spans="1:10">
      <c r="A387" s="273" t="s">
        <v>554</v>
      </c>
      <c r="B387" s="273" t="s">
        <v>555</v>
      </c>
      <c r="C387" s="274">
        <v>39500</v>
      </c>
      <c r="D387" s="273" t="s">
        <v>67</v>
      </c>
      <c r="E387" s="273" t="s">
        <v>556</v>
      </c>
      <c r="F387" s="273" t="s">
        <v>63</v>
      </c>
      <c r="G387" s="273" t="s">
        <v>69</v>
      </c>
      <c r="H387" s="275">
        <v>395</v>
      </c>
      <c r="I387" s="275"/>
      <c r="J387" s="270" t="s">
        <v>70</v>
      </c>
    </row>
    <row r="388" ht="21" spans="1:10">
      <c r="A388" s="273" t="s">
        <v>554</v>
      </c>
      <c r="B388" s="273" t="s">
        <v>555</v>
      </c>
      <c r="C388" s="274">
        <v>112500</v>
      </c>
      <c r="D388" s="273" t="s">
        <v>84</v>
      </c>
      <c r="E388" s="273" t="s">
        <v>85</v>
      </c>
      <c r="F388" s="273" t="s">
        <v>58</v>
      </c>
      <c r="G388" s="273" t="s">
        <v>86</v>
      </c>
      <c r="H388" s="275">
        <v>1438</v>
      </c>
      <c r="I388" s="275"/>
      <c r="J388" s="270" t="s">
        <v>87</v>
      </c>
    </row>
    <row r="389" ht="21" spans="1:10">
      <c r="A389" s="273" t="s">
        <v>554</v>
      </c>
      <c r="B389" s="273" t="s">
        <v>555</v>
      </c>
      <c r="C389" s="274">
        <v>112600</v>
      </c>
      <c r="D389" s="273" t="s">
        <v>88</v>
      </c>
      <c r="E389" s="273" t="s">
        <v>89</v>
      </c>
      <c r="F389" s="273" t="s">
        <v>63</v>
      </c>
      <c r="G389" s="273" t="s">
        <v>90</v>
      </c>
      <c r="H389" s="275">
        <v>1439</v>
      </c>
      <c r="I389" s="275"/>
      <c r="J389" s="270" t="s">
        <v>91</v>
      </c>
    </row>
    <row r="390" ht="21" spans="1:10">
      <c r="A390" s="273" t="s">
        <v>554</v>
      </c>
      <c r="B390" s="273" t="s">
        <v>555</v>
      </c>
      <c r="C390" s="274">
        <v>39600</v>
      </c>
      <c r="D390" s="273" t="s">
        <v>557</v>
      </c>
      <c r="E390" s="273" t="s">
        <v>558</v>
      </c>
      <c r="F390" s="273" t="s">
        <v>120</v>
      </c>
      <c r="G390" s="273" t="s">
        <v>121</v>
      </c>
      <c r="H390" s="275">
        <v>396</v>
      </c>
      <c r="I390" s="275"/>
      <c r="J390" s="270" t="s">
        <v>559</v>
      </c>
    </row>
    <row r="391" ht="31.5" spans="1:10">
      <c r="A391" s="273" t="s">
        <v>554</v>
      </c>
      <c r="B391" s="273" t="s">
        <v>555</v>
      </c>
      <c r="C391" s="274">
        <v>39700</v>
      </c>
      <c r="D391" s="273" t="s">
        <v>560</v>
      </c>
      <c r="E391" s="273" t="s">
        <v>561</v>
      </c>
      <c r="F391" s="273" t="s">
        <v>562</v>
      </c>
      <c r="G391" s="273" t="s">
        <v>563</v>
      </c>
      <c r="H391" s="275">
        <v>397</v>
      </c>
      <c r="I391" s="275" t="s">
        <v>65</v>
      </c>
      <c r="J391" s="270" t="s">
        <v>564</v>
      </c>
    </row>
    <row r="392" ht="63" spans="1:10">
      <c r="A392" s="273" t="s">
        <v>554</v>
      </c>
      <c r="B392" s="273" t="s">
        <v>555</v>
      </c>
      <c r="C392" s="274">
        <v>98800</v>
      </c>
      <c r="D392" s="273" t="s">
        <v>565</v>
      </c>
      <c r="E392" s="273" t="s">
        <v>566</v>
      </c>
      <c r="F392" s="273" t="s">
        <v>562</v>
      </c>
      <c r="G392" s="273" t="s">
        <v>563</v>
      </c>
      <c r="H392" s="275">
        <v>988</v>
      </c>
      <c r="I392" s="275" t="s">
        <v>65</v>
      </c>
      <c r="J392" s="270" t="s">
        <v>567</v>
      </c>
    </row>
    <row r="393" ht="42" spans="1:10">
      <c r="A393" s="273" t="s">
        <v>554</v>
      </c>
      <c r="B393" s="273" t="s">
        <v>555</v>
      </c>
      <c r="C393" s="274">
        <v>117690</v>
      </c>
      <c r="D393" s="273" t="s">
        <v>568</v>
      </c>
      <c r="E393" s="273" t="s">
        <v>159</v>
      </c>
      <c r="F393" s="273" t="s">
        <v>155</v>
      </c>
      <c r="G393" s="273" t="s">
        <v>563</v>
      </c>
      <c r="H393" s="275">
        <v>1313</v>
      </c>
      <c r="I393" s="275"/>
      <c r="J393" s="281" t="s">
        <v>569</v>
      </c>
    </row>
    <row r="394" ht="63" spans="1:10">
      <c r="A394" s="273" t="s">
        <v>554</v>
      </c>
      <c r="B394" s="273" t="s">
        <v>555</v>
      </c>
      <c r="C394" s="274">
        <v>117700</v>
      </c>
      <c r="D394" s="273" t="s">
        <v>570</v>
      </c>
      <c r="E394" s="273" t="s">
        <v>571</v>
      </c>
      <c r="F394" s="273" t="s">
        <v>155</v>
      </c>
      <c r="G394" s="273" t="s">
        <v>563</v>
      </c>
      <c r="H394" s="275">
        <v>1290</v>
      </c>
      <c r="I394" s="275"/>
      <c r="J394" s="282" t="s">
        <v>572</v>
      </c>
    </row>
    <row r="395" ht="31.5" spans="1:10">
      <c r="A395" s="273" t="s">
        <v>554</v>
      </c>
      <c r="B395" s="273" t="s">
        <v>555</v>
      </c>
      <c r="C395" s="274">
        <v>116600</v>
      </c>
      <c r="D395" s="273" t="s">
        <v>573</v>
      </c>
      <c r="E395" s="273" t="s">
        <v>574</v>
      </c>
      <c r="F395" s="273" t="s">
        <v>155</v>
      </c>
      <c r="G395" s="273" t="s">
        <v>563</v>
      </c>
      <c r="H395" s="275">
        <v>1279</v>
      </c>
      <c r="I395" s="275"/>
      <c r="J395" s="281" t="s">
        <v>575</v>
      </c>
    </row>
    <row r="396" ht="21" spans="1:10">
      <c r="A396" s="273" t="s">
        <v>554</v>
      </c>
      <c r="B396" s="273" t="s">
        <v>555</v>
      </c>
      <c r="C396" s="274">
        <v>116700</v>
      </c>
      <c r="D396" s="273" t="s">
        <v>576</v>
      </c>
      <c r="E396" s="273" t="s">
        <v>577</v>
      </c>
      <c r="F396" s="273" t="s">
        <v>155</v>
      </c>
      <c r="G396" s="273" t="s">
        <v>563</v>
      </c>
      <c r="H396" s="275">
        <v>1280</v>
      </c>
      <c r="I396" s="275"/>
      <c r="J396" s="270" t="s">
        <v>578</v>
      </c>
    </row>
    <row r="397" ht="21" spans="1:10">
      <c r="A397" s="273" t="s">
        <v>554</v>
      </c>
      <c r="B397" s="273" t="s">
        <v>555</v>
      </c>
      <c r="C397" s="274">
        <v>116800</v>
      </c>
      <c r="D397" s="273" t="s">
        <v>579</v>
      </c>
      <c r="E397" s="273" t="s">
        <v>580</v>
      </c>
      <c r="F397" s="273" t="s">
        <v>155</v>
      </c>
      <c r="G397" s="273" t="s">
        <v>563</v>
      </c>
      <c r="H397" s="275">
        <v>1281</v>
      </c>
      <c r="I397" s="275"/>
      <c r="J397" s="270" t="s">
        <v>581</v>
      </c>
    </row>
    <row r="398" spans="1:10">
      <c r="A398" s="273" t="s">
        <v>554</v>
      </c>
      <c r="B398" s="273" t="s">
        <v>555</v>
      </c>
      <c r="C398" s="274">
        <v>117800</v>
      </c>
      <c r="D398" s="273" t="s">
        <v>582</v>
      </c>
      <c r="E398" s="273" t="s">
        <v>583</v>
      </c>
      <c r="F398" s="273" t="s">
        <v>81</v>
      </c>
      <c r="G398" s="273" t="s">
        <v>82</v>
      </c>
      <c r="H398" s="275">
        <v>1291</v>
      </c>
      <c r="I398" s="275"/>
      <c r="J398" s="281" t="s">
        <v>584</v>
      </c>
    </row>
    <row r="399" spans="1:10">
      <c r="A399" s="273" t="s">
        <v>554</v>
      </c>
      <c r="B399" s="273" t="s">
        <v>555</v>
      </c>
      <c r="C399" s="274">
        <v>117900</v>
      </c>
      <c r="D399" s="273" t="s">
        <v>585</v>
      </c>
      <c r="E399" s="273" t="s">
        <v>586</v>
      </c>
      <c r="F399" s="273" t="s">
        <v>81</v>
      </c>
      <c r="G399" s="273" t="s">
        <v>82</v>
      </c>
      <c r="H399" s="275">
        <v>1292</v>
      </c>
      <c r="I399" s="275"/>
      <c r="J399" s="281" t="s">
        <v>587</v>
      </c>
    </row>
    <row r="400" ht="21" spans="1:10">
      <c r="A400" s="273" t="s">
        <v>554</v>
      </c>
      <c r="B400" s="273" t="s">
        <v>555</v>
      </c>
      <c r="C400" s="274">
        <v>118000</v>
      </c>
      <c r="D400" s="273" t="s">
        <v>588</v>
      </c>
      <c r="E400" s="273" t="s">
        <v>589</v>
      </c>
      <c r="F400" s="273" t="s">
        <v>81</v>
      </c>
      <c r="G400" s="273" t="s">
        <v>82</v>
      </c>
      <c r="H400" s="275">
        <v>1293</v>
      </c>
      <c r="I400" s="275"/>
      <c r="J400" s="281" t="s">
        <v>590</v>
      </c>
    </row>
    <row r="401" spans="1:10">
      <c r="A401" s="273" t="s">
        <v>554</v>
      </c>
      <c r="B401" s="273" t="s">
        <v>555</v>
      </c>
      <c r="C401" s="274">
        <v>118100</v>
      </c>
      <c r="D401" s="273" t="s">
        <v>591</v>
      </c>
      <c r="E401" s="273" t="s">
        <v>592</v>
      </c>
      <c r="F401" s="273" t="s">
        <v>81</v>
      </c>
      <c r="G401" s="273" t="s">
        <v>82</v>
      </c>
      <c r="H401" s="275">
        <v>1294</v>
      </c>
      <c r="I401" s="275"/>
      <c r="J401" s="281" t="s">
        <v>593</v>
      </c>
    </row>
    <row r="402" spans="1:10">
      <c r="A402" s="273" t="s">
        <v>554</v>
      </c>
      <c r="B402" s="273" t="s">
        <v>555</v>
      </c>
      <c r="C402" s="274">
        <v>118200</v>
      </c>
      <c r="D402" s="273" t="s">
        <v>594</v>
      </c>
      <c r="E402" s="273" t="s">
        <v>595</v>
      </c>
      <c r="F402" s="273" t="s">
        <v>81</v>
      </c>
      <c r="G402" s="273" t="s">
        <v>82</v>
      </c>
      <c r="H402" s="275">
        <v>1295</v>
      </c>
      <c r="I402" s="275"/>
      <c r="J402" s="281" t="s">
        <v>596</v>
      </c>
    </row>
    <row r="403" spans="1:10">
      <c r="A403" s="273" t="s">
        <v>554</v>
      </c>
      <c r="B403" s="273" t="s">
        <v>555</v>
      </c>
      <c r="C403" s="274">
        <v>118300</v>
      </c>
      <c r="D403" s="273" t="s">
        <v>597</v>
      </c>
      <c r="E403" s="273" t="s">
        <v>598</v>
      </c>
      <c r="F403" s="273" t="s">
        <v>81</v>
      </c>
      <c r="G403" s="273" t="s">
        <v>82</v>
      </c>
      <c r="H403" s="275">
        <v>1296</v>
      </c>
      <c r="I403" s="275"/>
      <c r="J403" s="281" t="s">
        <v>599</v>
      </c>
    </row>
    <row r="404" ht="21" spans="1:10">
      <c r="A404" s="273" t="s">
        <v>554</v>
      </c>
      <c r="B404" s="273" t="s">
        <v>555</v>
      </c>
      <c r="C404" s="274">
        <v>118400</v>
      </c>
      <c r="D404" s="273" t="s">
        <v>600</v>
      </c>
      <c r="E404" s="273" t="s">
        <v>601</v>
      </c>
      <c r="F404" s="273" t="s">
        <v>81</v>
      </c>
      <c r="G404" s="273" t="s">
        <v>82</v>
      </c>
      <c r="H404" s="275">
        <v>1297</v>
      </c>
      <c r="I404" s="275"/>
      <c r="J404" s="281" t="s">
        <v>602</v>
      </c>
    </row>
    <row r="405" ht="63" spans="1:10">
      <c r="A405" s="273" t="s">
        <v>554</v>
      </c>
      <c r="B405" s="273" t="s">
        <v>555</v>
      </c>
      <c r="C405" s="274">
        <v>39800</v>
      </c>
      <c r="D405" s="273" t="s">
        <v>191</v>
      </c>
      <c r="E405" s="273" t="s">
        <v>192</v>
      </c>
      <c r="F405" s="273" t="s">
        <v>112</v>
      </c>
      <c r="G405" s="273" t="s">
        <v>113</v>
      </c>
      <c r="H405" s="275">
        <v>398</v>
      </c>
      <c r="I405" s="275" t="s">
        <v>65</v>
      </c>
      <c r="J405" s="270" t="s">
        <v>193</v>
      </c>
    </row>
    <row r="406" spans="1:10">
      <c r="A406" s="273" t="s">
        <v>554</v>
      </c>
      <c r="B406" s="273" t="s">
        <v>555</v>
      </c>
      <c r="C406" s="274">
        <v>116900</v>
      </c>
      <c r="D406" s="273" t="s">
        <v>603</v>
      </c>
      <c r="E406" s="273" t="s">
        <v>604</v>
      </c>
      <c r="F406" s="273" t="s">
        <v>81</v>
      </c>
      <c r="G406" s="273" t="s">
        <v>563</v>
      </c>
      <c r="H406" s="275">
        <v>1282</v>
      </c>
      <c r="I406" s="275"/>
      <c r="J406" s="281" t="s">
        <v>605</v>
      </c>
    </row>
    <row r="407" spans="1:10">
      <c r="A407" s="273" t="s">
        <v>554</v>
      </c>
      <c r="B407" s="273" t="s">
        <v>555</v>
      </c>
      <c r="C407" s="274">
        <v>39900</v>
      </c>
      <c r="D407" s="273" t="s">
        <v>194</v>
      </c>
      <c r="E407" s="273" t="s">
        <v>195</v>
      </c>
      <c r="F407" s="273" t="s">
        <v>125</v>
      </c>
      <c r="G407" s="273" t="s">
        <v>126</v>
      </c>
      <c r="H407" s="275">
        <v>399</v>
      </c>
      <c r="I407" s="275"/>
      <c r="J407" s="270" t="s">
        <v>196</v>
      </c>
    </row>
    <row r="408" ht="21" spans="1:10">
      <c r="A408" s="273" t="s">
        <v>554</v>
      </c>
      <c r="B408" s="273" t="s">
        <v>555</v>
      </c>
      <c r="C408" s="274">
        <v>99000</v>
      </c>
      <c r="D408" s="273" t="s">
        <v>606</v>
      </c>
      <c r="E408" s="273" t="s">
        <v>607</v>
      </c>
      <c r="F408" s="273" t="s">
        <v>81</v>
      </c>
      <c r="G408" s="273" t="s">
        <v>82</v>
      </c>
      <c r="H408" s="275">
        <v>990</v>
      </c>
      <c r="I408" s="275" t="s">
        <v>65</v>
      </c>
      <c r="J408" s="270" t="s">
        <v>608</v>
      </c>
    </row>
    <row r="409" spans="1:10">
      <c r="A409" s="273" t="s">
        <v>554</v>
      </c>
      <c r="B409" s="273" t="s">
        <v>555</v>
      </c>
      <c r="C409" s="274">
        <v>112700</v>
      </c>
      <c r="D409" s="273" t="s">
        <v>609</v>
      </c>
      <c r="E409" s="273" t="s">
        <v>610</v>
      </c>
      <c r="F409" s="273" t="s">
        <v>81</v>
      </c>
      <c r="G409" s="273" t="s">
        <v>82</v>
      </c>
      <c r="H409" s="275">
        <v>1440</v>
      </c>
      <c r="I409" s="275"/>
      <c r="J409" s="270" t="s">
        <v>611</v>
      </c>
    </row>
    <row r="410" ht="52.5" spans="1:10">
      <c r="A410" s="273" t="s">
        <v>554</v>
      </c>
      <c r="B410" s="273" t="s">
        <v>555</v>
      </c>
      <c r="C410" s="274">
        <v>40300</v>
      </c>
      <c r="D410" s="273" t="s">
        <v>215</v>
      </c>
      <c r="E410" s="273" t="s">
        <v>216</v>
      </c>
      <c r="F410" s="273" t="s">
        <v>112</v>
      </c>
      <c r="G410" s="273" t="s">
        <v>113</v>
      </c>
      <c r="H410" s="275">
        <v>403</v>
      </c>
      <c r="I410" s="275" t="s">
        <v>65</v>
      </c>
      <c r="J410" s="270" t="s">
        <v>217</v>
      </c>
    </row>
    <row r="411" ht="21" spans="1:10">
      <c r="A411" s="273" t="s">
        <v>554</v>
      </c>
      <c r="B411" s="273" t="s">
        <v>555</v>
      </c>
      <c r="C411" s="274">
        <v>40400</v>
      </c>
      <c r="D411" s="273" t="s">
        <v>612</v>
      </c>
      <c r="E411" s="273" t="s">
        <v>613</v>
      </c>
      <c r="F411" s="273" t="s">
        <v>58</v>
      </c>
      <c r="G411" s="273" t="s">
        <v>220</v>
      </c>
      <c r="H411" s="275">
        <v>404</v>
      </c>
      <c r="I411" s="275"/>
      <c r="J411" s="270" t="s">
        <v>221</v>
      </c>
    </row>
    <row r="412" ht="21" spans="1:10">
      <c r="A412" s="273" t="s">
        <v>554</v>
      </c>
      <c r="B412" s="273" t="s">
        <v>555</v>
      </c>
      <c r="C412" s="274">
        <v>40500</v>
      </c>
      <c r="D412" s="273" t="s">
        <v>614</v>
      </c>
      <c r="E412" s="273" t="s">
        <v>615</v>
      </c>
      <c r="F412" s="273" t="s">
        <v>58</v>
      </c>
      <c r="G412" s="273" t="s">
        <v>220</v>
      </c>
      <c r="H412" s="275">
        <v>405</v>
      </c>
      <c r="I412" s="275"/>
      <c r="J412" s="270" t="s">
        <v>221</v>
      </c>
    </row>
    <row r="413" ht="21" spans="1:10">
      <c r="A413" s="273" t="s">
        <v>554</v>
      </c>
      <c r="B413" s="273" t="s">
        <v>555</v>
      </c>
      <c r="C413" s="274">
        <v>98900</v>
      </c>
      <c r="D413" s="273" t="s">
        <v>616</v>
      </c>
      <c r="E413" s="273" t="s">
        <v>617</v>
      </c>
      <c r="F413" s="273" t="s">
        <v>58</v>
      </c>
      <c r="G413" s="273" t="s">
        <v>220</v>
      </c>
      <c r="H413" s="275">
        <v>989</v>
      </c>
      <c r="I413" s="275"/>
      <c r="J413" s="270" t="s">
        <v>221</v>
      </c>
    </row>
    <row r="414" ht="21" spans="1:10">
      <c r="A414" s="273" t="s">
        <v>554</v>
      </c>
      <c r="B414" s="273" t="s">
        <v>555</v>
      </c>
      <c r="C414" s="274">
        <v>118490</v>
      </c>
      <c r="D414" s="273" t="s">
        <v>618</v>
      </c>
      <c r="E414" s="273" t="s">
        <v>619</v>
      </c>
      <c r="F414" s="273" t="s">
        <v>58</v>
      </c>
      <c r="G414" s="273" t="s">
        <v>220</v>
      </c>
      <c r="H414" s="275">
        <v>1314</v>
      </c>
      <c r="I414" s="275"/>
      <c r="J414" s="270" t="s">
        <v>221</v>
      </c>
    </row>
    <row r="415" ht="21" spans="1:10">
      <c r="A415" s="273" t="s">
        <v>554</v>
      </c>
      <c r="B415" s="273" t="s">
        <v>555</v>
      </c>
      <c r="C415" s="274">
        <v>118500</v>
      </c>
      <c r="D415" s="273" t="s">
        <v>620</v>
      </c>
      <c r="E415" s="273" t="s">
        <v>621</v>
      </c>
      <c r="F415" s="273" t="s">
        <v>58</v>
      </c>
      <c r="G415" s="273" t="s">
        <v>220</v>
      </c>
      <c r="H415" s="275">
        <v>1299</v>
      </c>
      <c r="I415" s="275"/>
      <c r="J415" s="270" t="s">
        <v>221</v>
      </c>
    </row>
    <row r="416" ht="21" spans="1:10">
      <c r="A416" s="273" t="s">
        <v>554</v>
      </c>
      <c r="B416" s="273" t="s">
        <v>555</v>
      </c>
      <c r="C416" s="274">
        <v>118600</v>
      </c>
      <c r="D416" s="273" t="s">
        <v>622</v>
      </c>
      <c r="E416" s="273" t="s">
        <v>623</v>
      </c>
      <c r="F416" s="273" t="s">
        <v>58</v>
      </c>
      <c r="G416" s="273" t="s">
        <v>220</v>
      </c>
      <c r="H416" s="275">
        <v>1300</v>
      </c>
      <c r="I416" s="275"/>
      <c r="J416" s="270" t="s">
        <v>221</v>
      </c>
    </row>
    <row r="417" ht="21" spans="1:10">
      <c r="A417" s="273" t="s">
        <v>554</v>
      </c>
      <c r="B417" s="273" t="s">
        <v>555</v>
      </c>
      <c r="C417" s="274">
        <v>118700</v>
      </c>
      <c r="D417" s="273" t="s">
        <v>624</v>
      </c>
      <c r="E417" s="273" t="s">
        <v>625</v>
      </c>
      <c r="F417" s="273" t="s">
        <v>58</v>
      </c>
      <c r="G417" s="273" t="s">
        <v>220</v>
      </c>
      <c r="H417" s="275">
        <v>1301</v>
      </c>
      <c r="I417" s="275"/>
      <c r="J417" s="270" t="s">
        <v>221</v>
      </c>
    </row>
    <row r="418" ht="21" spans="1:10">
      <c r="A418" s="273" t="s">
        <v>554</v>
      </c>
      <c r="B418" s="273" t="s">
        <v>555</v>
      </c>
      <c r="C418" s="274">
        <v>118800</v>
      </c>
      <c r="D418" s="273" t="s">
        <v>626</v>
      </c>
      <c r="E418" s="273" t="s">
        <v>627</v>
      </c>
      <c r="F418" s="273" t="s">
        <v>58</v>
      </c>
      <c r="G418" s="273" t="s">
        <v>220</v>
      </c>
      <c r="H418" s="275">
        <v>1302</v>
      </c>
      <c r="I418" s="275"/>
      <c r="J418" s="270" t="s">
        <v>221</v>
      </c>
    </row>
    <row r="419" spans="1:10">
      <c r="A419" s="273" t="s">
        <v>554</v>
      </c>
      <c r="B419" s="273" t="s">
        <v>555</v>
      </c>
      <c r="C419" s="274">
        <v>40600</v>
      </c>
      <c r="D419" s="273" t="s">
        <v>238</v>
      </c>
      <c r="E419" s="273" t="s">
        <v>239</v>
      </c>
      <c r="F419" s="273" t="s">
        <v>240</v>
      </c>
      <c r="G419" s="273" t="s">
        <v>241</v>
      </c>
      <c r="H419" s="275">
        <v>406</v>
      </c>
      <c r="I419" s="275"/>
      <c r="J419" s="270" t="s">
        <v>4</v>
      </c>
    </row>
    <row r="420" s="267" customFormat="1" ht="21" hidden="1" spans="1:10">
      <c r="A420" s="278" t="s">
        <v>628</v>
      </c>
      <c r="B420" s="278" t="s">
        <v>629</v>
      </c>
      <c r="C420" s="279">
        <v>40900</v>
      </c>
      <c r="D420" s="278" t="s">
        <v>56</v>
      </c>
      <c r="E420" s="278" t="s">
        <v>57</v>
      </c>
      <c r="F420" s="278" t="s">
        <v>58</v>
      </c>
      <c r="G420" s="278" t="s">
        <v>59</v>
      </c>
      <c r="H420" s="280">
        <v>409</v>
      </c>
      <c r="I420" s="283"/>
      <c r="J420" s="284" t="s">
        <v>630</v>
      </c>
    </row>
    <row r="421" s="267" customFormat="1" ht="31.5" hidden="1" spans="1:10">
      <c r="A421" s="278" t="s">
        <v>628</v>
      </c>
      <c r="B421" s="278" t="s">
        <v>629</v>
      </c>
      <c r="C421" s="279">
        <v>41100</v>
      </c>
      <c r="D421" s="278" t="s">
        <v>631</v>
      </c>
      <c r="E421" s="278" t="s">
        <v>632</v>
      </c>
      <c r="F421" s="278" t="s">
        <v>63</v>
      </c>
      <c r="G421" s="278" t="s">
        <v>141</v>
      </c>
      <c r="H421" s="280">
        <v>411</v>
      </c>
      <c r="I421" s="283"/>
      <c r="J421" s="284" t="s">
        <v>633</v>
      </c>
    </row>
    <row r="422" s="267" customFormat="1" ht="10.5" hidden="1" spans="1:10">
      <c r="A422" s="278" t="s">
        <v>628</v>
      </c>
      <c r="B422" s="278" t="s">
        <v>629</v>
      </c>
      <c r="C422" s="279">
        <v>41200</v>
      </c>
      <c r="D422" s="278" t="s">
        <v>634</v>
      </c>
      <c r="E422" s="278" t="s">
        <v>635</v>
      </c>
      <c r="F422" s="278" t="s">
        <v>112</v>
      </c>
      <c r="G422" s="278" t="s">
        <v>113</v>
      </c>
      <c r="H422" s="280">
        <v>412</v>
      </c>
      <c r="I422" s="283"/>
      <c r="J422" s="284" t="s">
        <v>636</v>
      </c>
    </row>
    <row r="423" s="267" customFormat="1" ht="21" hidden="1" spans="1:10">
      <c r="A423" s="278" t="s">
        <v>628</v>
      </c>
      <c r="B423" s="278" t="s">
        <v>629</v>
      </c>
      <c r="C423" s="279">
        <v>41300</v>
      </c>
      <c r="D423" s="278" t="s">
        <v>136</v>
      </c>
      <c r="E423" s="278" t="s">
        <v>137</v>
      </c>
      <c r="F423" s="278" t="s">
        <v>112</v>
      </c>
      <c r="G423" s="278" t="s">
        <v>113</v>
      </c>
      <c r="H423" s="280">
        <v>413</v>
      </c>
      <c r="I423" s="283" t="s">
        <v>65</v>
      </c>
      <c r="J423" s="284" t="str">
        <f>+$J$22</f>
        <v>Indicare se l'utilizzo previsto per l'opera di presa è: CONTINUO (sempre funzionante), PERIODICO (per es. stagionale), OCCASIONALE (per es. in casi di emergenza).</v>
      </c>
    </row>
    <row r="424" s="267" customFormat="1" ht="10.5" hidden="1" spans="1:10">
      <c r="A424" s="278" t="s">
        <v>628</v>
      </c>
      <c r="B424" s="278" t="s">
        <v>629</v>
      </c>
      <c r="C424" s="279">
        <v>41400</v>
      </c>
      <c r="D424" s="278" t="s">
        <v>401</v>
      </c>
      <c r="E424" s="278" t="s">
        <v>401</v>
      </c>
      <c r="F424" s="278" t="s">
        <v>303</v>
      </c>
      <c r="G424" s="278" t="s">
        <v>637</v>
      </c>
      <c r="H424" s="280">
        <v>414</v>
      </c>
      <c r="I424" s="283"/>
      <c r="J424" s="284" t="s">
        <v>638</v>
      </c>
    </row>
    <row r="425" s="267" customFormat="1" ht="115.5" hidden="1" spans="1:10">
      <c r="A425" s="278" t="s">
        <v>628</v>
      </c>
      <c r="B425" s="278" t="s">
        <v>629</v>
      </c>
      <c r="C425" s="279">
        <v>41500</v>
      </c>
      <c r="D425" s="278" t="s">
        <v>130</v>
      </c>
      <c r="E425" s="278" t="s">
        <v>639</v>
      </c>
      <c r="F425" s="278" t="s">
        <v>130</v>
      </c>
      <c r="G425" s="278" t="s">
        <v>131</v>
      </c>
      <c r="H425" s="280">
        <v>415</v>
      </c>
      <c r="I425" s="283"/>
      <c r="J425" s="284" t="s">
        <v>640</v>
      </c>
    </row>
    <row r="426" s="267" customFormat="1" ht="10.5" hidden="1" spans="1:10">
      <c r="A426" s="278" t="s">
        <v>628</v>
      </c>
      <c r="B426" s="278" t="s">
        <v>629</v>
      </c>
      <c r="C426" s="279">
        <v>41600</v>
      </c>
      <c r="D426" s="278" t="s">
        <v>641</v>
      </c>
      <c r="E426" s="278" t="s">
        <v>642</v>
      </c>
      <c r="F426" s="278" t="s">
        <v>125</v>
      </c>
      <c r="G426" s="278" t="s">
        <v>126</v>
      </c>
      <c r="H426" s="280">
        <v>416</v>
      </c>
      <c r="I426" s="283"/>
      <c r="J426" s="284" t="s">
        <v>643</v>
      </c>
    </row>
    <row r="427" s="267" customFormat="1" ht="42" hidden="1" spans="1:10">
      <c r="A427" s="278" t="s">
        <v>628</v>
      </c>
      <c r="B427" s="278" t="s">
        <v>629</v>
      </c>
      <c r="C427" s="279">
        <v>41700</v>
      </c>
      <c r="D427" s="278" t="s">
        <v>399</v>
      </c>
      <c r="E427" s="278" t="s">
        <v>399</v>
      </c>
      <c r="F427" s="278" t="s">
        <v>562</v>
      </c>
      <c r="G427" s="278" t="s">
        <v>563</v>
      </c>
      <c r="H427" s="280">
        <v>417</v>
      </c>
      <c r="I427" s="283"/>
      <c r="J427" s="284" t="s">
        <v>644</v>
      </c>
    </row>
    <row r="428" s="267" customFormat="1" ht="21" hidden="1" spans="1:10">
      <c r="A428" s="278" t="s">
        <v>628</v>
      </c>
      <c r="B428" s="278" t="s">
        <v>629</v>
      </c>
      <c r="C428" s="279">
        <v>41800</v>
      </c>
      <c r="D428" s="278" t="s">
        <v>645</v>
      </c>
      <c r="E428" s="278" t="s">
        <v>646</v>
      </c>
      <c r="F428" s="278" t="s">
        <v>58</v>
      </c>
      <c r="G428" s="278" t="s">
        <v>220</v>
      </c>
      <c r="H428" s="280">
        <v>418</v>
      </c>
      <c r="I428" s="283"/>
      <c r="J428" s="284" t="str">
        <f>+$J$47</f>
        <v>Indice di confidenza del dato: indica il grado di affidabilità della specifica informazione secondo la scala di qualità del dato definita in tabella. VEDI TABELLA</v>
      </c>
    </row>
    <row r="429" s="267" customFormat="1" ht="21" hidden="1" spans="1:10">
      <c r="A429" s="278" t="s">
        <v>628</v>
      </c>
      <c r="B429" s="278" t="s">
        <v>629</v>
      </c>
      <c r="C429" s="279">
        <v>41900</v>
      </c>
      <c r="D429" s="278" t="s">
        <v>647</v>
      </c>
      <c r="E429" s="278" t="s">
        <v>648</v>
      </c>
      <c r="F429" s="278" t="s">
        <v>58</v>
      </c>
      <c r="G429" s="278" t="s">
        <v>220</v>
      </c>
      <c r="H429" s="280">
        <v>419</v>
      </c>
      <c r="I429" s="283"/>
      <c r="J429" s="284" t="str">
        <f>+$J$47</f>
        <v>Indice di confidenza del dato: indica il grado di affidabilità della specifica informazione secondo la scala di qualità del dato definita in tabella. VEDI TABELLA</v>
      </c>
    </row>
    <row r="430" s="267" customFormat="1" ht="21" hidden="1" spans="1:10">
      <c r="A430" s="278" t="s">
        <v>628</v>
      </c>
      <c r="B430" s="278" t="s">
        <v>629</v>
      </c>
      <c r="C430" s="279">
        <v>42000</v>
      </c>
      <c r="D430" s="278" t="s">
        <v>649</v>
      </c>
      <c r="E430" s="278" t="s">
        <v>650</v>
      </c>
      <c r="F430" s="278" t="s">
        <v>58</v>
      </c>
      <c r="G430" s="278" t="s">
        <v>220</v>
      </c>
      <c r="H430" s="280">
        <v>420</v>
      </c>
      <c r="I430" s="283"/>
      <c r="J430" s="284" t="str">
        <f>+$J$47</f>
        <v>Indice di confidenza del dato: indica il grado di affidabilità della specifica informazione secondo la scala di qualità del dato definita in tabella. VEDI TABELLA</v>
      </c>
    </row>
    <row r="431" s="267" customFormat="1" ht="21" hidden="1" spans="1:10">
      <c r="A431" s="278" t="s">
        <v>628</v>
      </c>
      <c r="B431" s="278" t="s">
        <v>629</v>
      </c>
      <c r="C431" s="279">
        <v>42100</v>
      </c>
      <c r="D431" s="278" t="s">
        <v>651</v>
      </c>
      <c r="E431" s="278" t="s">
        <v>652</v>
      </c>
      <c r="F431" s="278" t="s">
        <v>58</v>
      </c>
      <c r="G431" s="278" t="s">
        <v>220</v>
      </c>
      <c r="H431" s="280">
        <v>421</v>
      </c>
      <c r="I431" s="283"/>
      <c r="J431" s="284" t="str">
        <f>+$J$47</f>
        <v>Indice di confidenza del dato: indica il grado di affidabilità della specifica informazione secondo la scala di qualità del dato definita in tabella. VEDI TABELLA</v>
      </c>
    </row>
    <row r="432" ht="21" hidden="1" spans="1:10">
      <c r="A432" s="273" t="s">
        <v>653</v>
      </c>
      <c r="B432" s="273" t="s">
        <v>654</v>
      </c>
      <c r="C432" s="274">
        <v>42400</v>
      </c>
      <c r="D432" s="273" t="s">
        <v>56</v>
      </c>
      <c r="E432" s="273" t="s">
        <v>57</v>
      </c>
      <c r="F432" s="273" t="s">
        <v>58</v>
      </c>
      <c r="G432" s="273" t="s">
        <v>59</v>
      </c>
      <c r="H432" s="275">
        <v>424</v>
      </c>
      <c r="I432" s="275"/>
      <c r="J432" s="270" t="s">
        <v>655</v>
      </c>
    </row>
    <row r="433" ht="21" hidden="1" spans="1:10">
      <c r="A433" s="273" t="s">
        <v>653</v>
      </c>
      <c r="B433" s="273" t="s">
        <v>654</v>
      </c>
      <c r="C433" s="274">
        <v>42600</v>
      </c>
      <c r="D433" s="273" t="s">
        <v>99</v>
      </c>
      <c r="E433" s="273" t="s">
        <v>100</v>
      </c>
      <c r="F433" s="273" t="s">
        <v>101</v>
      </c>
      <c r="G433" s="273" t="s">
        <v>102</v>
      </c>
      <c r="H433" s="275">
        <v>426</v>
      </c>
      <c r="I433" s="275"/>
      <c r="J433" s="270" t="s">
        <v>656</v>
      </c>
    </row>
    <row r="434" ht="63" hidden="1" spans="1:10">
      <c r="A434" s="273" t="s">
        <v>657</v>
      </c>
      <c r="B434" s="273" t="s">
        <v>658</v>
      </c>
      <c r="C434" s="274">
        <v>42900</v>
      </c>
      <c r="D434" s="273" t="s">
        <v>56</v>
      </c>
      <c r="E434" s="273" t="s">
        <v>57</v>
      </c>
      <c r="F434" s="273" t="s">
        <v>58</v>
      </c>
      <c r="G434" s="273" t="s">
        <v>59</v>
      </c>
      <c r="H434" s="275">
        <v>429</v>
      </c>
      <c r="I434" s="275" t="s">
        <v>65</v>
      </c>
      <c r="J434" s="270" t="s">
        <v>659</v>
      </c>
    </row>
    <row r="435" ht="42" hidden="1" spans="1:10">
      <c r="A435" s="273" t="s">
        <v>657</v>
      </c>
      <c r="B435" s="273" t="s">
        <v>658</v>
      </c>
      <c r="C435" s="274">
        <v>43100</v>
      </c>
      <c r="D435" s="273" t="s">
        <v>254</v>
      </c>
      <c r="E435" s="273" t="s">
        <v>255</v>
      </c>
      <c r="F435" s="273" t="s">
        <v>58</v>
      </c>
      <c r="G435" s="273" t="s">
        <v>59</v>
      </c>
      <c r="H435" s="275">
        <v>431</v>
      </c>
      <c r="I435" s="275" t="s">
        <v>65</v>
      </c>
      <c r="J435" s="270" t="s">
        <v>660</v>
      </c>
    </row>
    <row r="436" ht="31.5" hidden="1" spans="1:10">
      <c r="A436" s="273" t="s">
        <v>657</v>
      </c>
      <c r="B436" s="273" t="s">
        <v>658</v>
      </c>
      <c r="C436" s="274">
        <v>43200</v>
      </c>
      <c r="D436" s="273" t="s">
        <v>257</v>
      </c>
      <c r="E436" s="273" t="s">
        <v>258</v>
      </c>
      <c r="F436" s="273" t="s">
        <v>112</v>
      </c>
      <c r="G436" s="273" t="s">
        <v>113</v>
      </c>
      <c r="H436" s="275">
        <v>432</v>
      </c>
      <c r="I436" s="275" t="s">
        <v>65</v>
      </c>
      <c r="J436" s="270" t="s">
        <v>661</v>
      </c>
    </row>
    <row r="437" ht="21" hidden="1" spans="1:10">
      <c r="A437" s="273" t="s">
        <v>662</v>
      </c>
      <c r="B437" s="273" t="s">
        <v>663</v>
      </c>
      <c r="C437" s="274">
        <v>43500</v>
      </c>
      <c r="D437" s="273" t="s">
        <v>56</v>
      </c>
      <c r="E437" s="273" t="s">
        <v>57</v>
      </c>
      <c r="F437" s="273" t="s">
        <v>58</v>
      </c>
      <c r="G437" s="273" t="s">
        <v>59</v>
      </c>
      <c r="H437" s="275">
        <v>435</v>
      </c>
      <c r="I437" s="275"/>
      <c r="J437" s="270" t="s">
        <v>60</v>
      </c>
    </row>
    <row r="438" ht="52.5" hidden="1" spans="1:10">
      <c r="A438" s="273" t="s">
        <v>662</v>
      </c>
      <c r="B438" s="273" t="s">
        <v>663</v>
      </c>
      <c r="C438" s="274">
        <v>43700</v>
      </c>
      <c r="D438" s="273" t="s">
        <v>61</v>
      </c>
      <c r="E438" s="273" t="s">
        <v>62</v>
      </c>
      <c r="F438" s="273" t="s">
        <v>63</v>
      </c>
      <c r="G438" s="273" t="s">
        <v>64</v>
      </c>
      <c r="H438" s="275">
        <v>437</v>
      </c>
      <c r="I438" s="275" t="s">
        <v>65</v>
      </c>
      <c r="J438" s="270" t="s">
        <v>66</v>
      </c>
    </row>
    <row r="439" ht="21" hidden="1" spans="1:10">
      <c r="A439" s="273" t="s">
        <v>662</v>
      </c>
      <c r="B439" s="273" t="s">
        <v>663</v>
      </c>
      <c r="C439" s="274">
        <v>43800</v>
      </c>
      <c r="D439" s="273" t="s">
        <v>67</v>
      </c>
      <c r="E439" s="273" t="s">
        <v>68</v>
      </c>
      <c r="F439" s="273" t="s">
        <v>63</v>
      </c>
      <c r="G439" s="273" t="s">
        <v>69</v>
      </c>
      <c r="H439" s="275">
        <v>438</v>
      </c>
      <c r="I439" s="275"/>
      <c r="J439" s="270" t="s">
        <v>70</v>
      </c>
    </row>
    <row r="440" hidden="1" spans="1:10">
      <c r="A440" s="273" t="s">
        <v>662</v>
      </c>
      <c r="B440" s="273" t="s">
        <v>663</v>
      </c>
      <c r="C440" s="274">
        <v>43900</v>
      </c>
      <c r="D440" s="273" t="s">
        <v>71</v>
      </c>
      <c r="E440" s="273" t="s">
        <v>72</v>
      </c>
      <c r="F440" s="273" t="s">
        <v>73</v>
      </c>
      <c r="G440" s="273" t="s">
        <v>74</v>
      </c>
      <c r="H440" s="275">
        <v>439</v>
      </c>
      <c r="I440" s="275" t="s">
        <v>65</v>
      </c>
      <c r="J440" s="270" t="s">
        <v>75</v>
      </c>
    </row>
    <row r="441" hidden="1" spans="1:10">
      <c r="A441" s="273" t="s">
        <v>662</v>
      </c>
      <c r="B441" s="273" t="s">
        <v>663</v>
      </c>
      <c r="C441" s="274">
        <v>44000</v>
      </c>
      <c r="D441" s="273" t="s">
        <v>76</v>
      </c>
      <c r="E441" s="273" t="s">
        <v>77</v>
      </c>
      <c r="F441" s="273" t="s">
        <v>73</v>
      </c>
      <c r="G441" s="273" t="s">
        <v>74</v>
      </c>
      <c r="H441" s="275">
        <v>440</v>
      </c>
      <c r="I441" s="275" t="s">
        <v>65</v>
      </c>
      <c r="J441" s="270" t="s">
        <v>78</v>
      </c>
    </row>
    <row r="442" ht="21" hidden="1" spans="1:10">
      <c r="A442" s="273" t="s">
        <v>662</v>
      </c>
      <c r="B442" s="273" t="s">
        <v>663</v>
      </c>
      <c r="C442" s="274">
        <v>44100</v>
      </c>
      <c r="D442" s="273" t="s">
        <v>79</v>
      </c>
      <c r="E442" s="273" t="s">
        <v>80</v>
      </c>
      <c r="F442" s="273" t="s">
        <v>81</v>
      </c>
      <c r="G442" s="273" t="s">
        <v>82</v>
      </c>
      <c r="H442" s="275">
        <v>441</v>
      </c>
      <c r="I442" s="275" t="s">
        <v>65</v>
      </c>
      <c r="J442" s="270" t="s">
        <v>83</v>
      </c>
    </row>
    <row r="443" ht="21" hidden="1" spans="1:10">
      <c r="A443" s="273" t="s">
        <v>662</v>
      </c>
      <c r="B443" s="273" t="s">
        <v>663</v>
      </c>
      <c r="C443" s="274">
        <v>112800</v>
      </c>
      <c r="D443" s="273" t="s">
        <v>84</v>
      </c>
      <c r="E443" s="273" t="s">
        <v>85</v>
      </c>
      <c r="F443" s="273" t="s">
        <v>58</v>
      </c>
      <c r="G443" s="273" t="s">
        <v>86</v>
      </c>
      <c r="H443" s="275">
        <v>1441</v>
      </c>
      <c r="I443" s="275"/>
      <c r="J443" s="270" t="s">
        <v>87</v>
      </c>
    </row>
    <row r="444" ht="21" hidden="1" spans="1:10">
      <c r="A444" s="273" t="s">
        <v>662</v>
      </c>
      <c r="B444" s="273" t="s">
        <v>663</v>
      </c>
      <c r="C444" s="274">
        <v>112900</v>
      </c>
      <c r="D444" s="273" t="s">
        <v>88</v>
      </c>
      <c r="E444" s="273" t="s">
        <v>89</v>
      </c>
      <c r="F444" s="273" t="s">
        <v>63</v>
      </c>
      <c r="G444" s="273" t="s">
        <v>90</v>
      </c>
      <c r="H444" s="275">
        <v>1442</v>
      </c>
      <c r="I444" s="275"/>
      <c r="J444" s="270" t="s">
        <v>91</v>
      </c>
    </row>
    <row r="445" hidden="1" spans="1:10">
      <c r="A445" s="273" t="s">
        <v>662</v>
      </c>
      <c r="B445" s="273" t="s">
        <v>663</v>
      </c>
      <c r="C445" s="274">
        <v>44200</v>
      </c>
      <c r="D445" s="273" t="s">
        <v>92</v>
      </c>
      <c r="E445" s="273" t="s">
        <v>93</v>
      </c>
      <c r="F445" s="273" t="s">
        <v>73</v>
      </c>
      <c r="G445" s="273" t="s">
        <v>94</v>
      </c>
      <c r="H445" s="275">
        <v>442</v>
      </c>
      <c r="I445" s="275"/>
      <c r="J445" s="270" t="s">
        <v>95</v>
      </c>
    </row>
    <row r="446" hidden="1" spans="1:10">
      <c r="A446" s="273" t="s">
        <v>662</v>
      </c>
      <c r="B446" s="273" t="s">
        <v>663</v>
      </c>
      <c r="C446" s="274">
        <v>44300</v>
      </c>
      <c r="D446" s="273" t="s">
        <v>96</v>
      </c>
      <c r="E446" s="273" t="s">
        <v>97</v>
      </c>
      <c r="F446" s="273" t="s">
        <v>63</v>
      </c>
      <c r="G446" s="273" t="s">
        <v>69</v>
      </c>
      <c r="H446" s="275">
        <v>443</v>
      </c>
      <c r="I446" s="275"/>
      <c r="J446" s="270" t="s">
        <v>98</v>
      </c>
    </row>
    <row r="447" hidden="1" spans="1:10">
      <c r="A447" s="273" t="s">
        <v>662</v>
      </c>
      <c r="B447" s="273" t="s">
        <v>663</v>
      </c>
      <c r="C447" s="274">
        <v>44400</v>
      </c>
      <c r="D447" s="273" t="s">
        <v>99</v>
      </c>
      <c r="E447" s="273" t="s">
        <v>100</v>
      </c>
      <c r="F447" s="273" t="s">
        <v>101</v>
      </c>
      <c r="G447" s="273" t="s">
        <v>102</v>
      </c>
      <c r="H447" s="275">
        <v>444</v>
      </c>
      <c r="I447" s="275" t="s">
        <v>65</v>
      </c>
      <c r="J447" s="270" t="s">
        <v>103</v>
      </c>
    </row>
    <row r="448" ht="63" hidden="1" spans="1:10">
      <c r="A448" s="273" t="s">
        <v>662</v>
      </c>
      <c r="B448" s="273" t="s">
        <v>663</v>
      </c>
      <c r="C448" s="274">
        <v>44500</v>
      </c>
      <c r="D448" s="273" t="s">
        <v>128</v>
      </c>
      <c r="E448" s="273" t="s">
        <v>129</v>
      </c>
      <c r="F448" s="273" t="s">
        <v>130</v>
      </c>
      <c r="G448" s="273" t="s">
        <v>131</v>
      </c>
      <c r="H448" s="275">
        <v>445</v>
      </c>
      <c r="I448" s="275"/>
      <c r="J448" s="270" t="s">
        <v>132</v>
      </c>
    </row>
    <row r="449" ht="52.5" hidden="1" spans="1:10">
      <c r="A449" s="273" t="s">
        <v>662</v>
      </c>
      <c r="B449" s="273" t="s">
        <v>663</v>
      </c>
      <c r="C449" s="274">
        <v>44600</v>
      </c>
      <c r="D449" s="273" t="s">
        <v>133</v>
      </c>
      <c r="E449" s="273" t="s">
        <v>134</v>
      </c>
      <c r="F449" s="273" t="s">
        <v>130</v>
      </c>
      <c r="G449" s="273" t="s">
        <v>131</v>
      </c>
      <c r="H449" s="275">
        <v>446</v>
      </c>
      <c r="I449" s="275" t="s">
        <v>65</v>
      </c>
      <c r="J449" s="270" t="s">
        <v>135</v>
      </c>
    </row>
    <row r="450" ht="21" hidden="1" spans="1:10">
      <c r="A450" s="273" t="s">
        <v>662</v>
      </c>
      <c r="B450" s="273" t="s">
        <v>663</v>
      </c>
      <c r="C450" s="274">
        <v>44700</v>
      </c>
      <c r="D450" s="273" t="s">
        <v>136</v>
      </c>
      <c r="E450" s="273" t="s">
        <v>137</v>
      </c>
      <c r="F450" s="273" t="s">
        <v>112</v>
      </c>
      <c r="G450" s="273" t="s">
        <v>113</v>
      </c>
      <c r="H450" s="275">
        <v>447</v>
      </c>
      <c r="I450" s="275" t="s">
        <v>65</v>
      </c>
      <c r="J450" s="270" t="s">
        <v>138</v>
      </c>
    </row>
    <row r="451" ht="21" hidden="1" spans="1:10">
      <c r="A451" s="273" t="s">
        <v>662</v>
      </c>
      <c r="B451" s="273" t="s">
        <v>663</v>
      </c>
      <c r="C451" s="274">
        <v>44800</v>
      </c>
      <c r="D451" s="273" t="s">
        <v>664</v>
      </c>
      <c r="E451" s="273" t="s">
        <v>665</v>
      </c>
      <c r="F451" s="273" t="s">
        <v>112</v>
      </c>
      <c r="G451" s="273" t="s">
        <v>113</v>
      </c>
      <c r="H451" s="275">
        <v>448</v>
      </c>
      <c r="I451" s="275"/>
      <c r="J451" s="270" t="s">
        <v>666</v>
      </c>
    </row>
    <row r="452" hidden="1" spans="1:10">
      <c r="A452" s="273" t="s">
        <v>662</v>
      </c>
      <c r="B452" s="273" t="s">
        <v>663</v>
      </c>
      <c r="C452" s="274">
        <v>44900</v>
      </c>
      <c r="D452" s="273" t="s">
        <v>634</v>
      </c>
      <c r="E452" s="273" t="s">
        <v>635</v>
      </c>
      <c r="F452" s="273" t="s">
        <v>112</v>
      </c>
      <c r="G452" s="273" t="s">
        <v>113</v>
      </c>
      <c r="H452" s="275">
        <v>449</v>
      </c>
      <c r="I452" s="275"/>
      <c r="J452" s="270" t="s">
        <v>636</v>
      </c>
    </row>
    <row r="453" hidden="1" spans="1:10">
      <c r="A453" s="273" t="s">
        <v>662</v>
      </c>
      <c r="B453" s="273" t="s">
        <v>663</v>
      </c>
      <c r="C453" s="274">
        <v>45000</v>
      </c>
      <c r="D453" s="273" t="s">
        <v>667</v>
      </c>
      <c r="E453" s="273" t="s">
        <v>668</v>
      </c>
      <c r="F453" s="273" t="s">
        <v>268</v>
      </c>
      <c r="G453" s="273" t="s">
        <v>269</v>
      </c>
      <c r="H453" s="275">
        <v>450</v>
      </c>
      <c r="I453" s="275" t="s">
        <v>65</v>
      </c>
      <c r="J453" s="270" t="s">
        <v>669</v>
      </c>
    </row>
    <row r="454" ht="21" hidden="1" spans="1:10">
      <c r="A454" s="273" t="s">
        <v>662</v>
      </c>
      <c r="B454" s="273" t="s">
        <v>663</v>
      </c>
      <c r="C454" s="274">
        <v>45100</v>
      </c>
      <c r="D454" s="273" t="s">
        <v>670</v>
      </c>
      <c r="E454" s="273" t="s">
        <v>671</v>
      </c>
      <c r="F454" s="273" t="s">
        <v>73</v>
      </c>
      <c r="G454" s="273" t="s">
        <v>74</v>
      </c>
      <c r="H454" s="275">
        <v>451</v>
      </c>
      <c r="I454" s="275"/>
      <c r="J454" s="270" t="s">
        <v>672</v>
      </c>
    </row>
    <row r="455" ht="63" hidden="1" spans="1:10">
      <c r="A455" s="273" t="s">
        <v>662</v>
      </c>
      <c r="B455" s="273" t="s">
        <v>663</v>
      </c>
      <c r="C455" s="274">
        <v>45200</v>
      </c>
      <c r="D455" s="273" t="s">
        <v>191</v>
      </c>
      <c r="E455" s="273" t="s">
        <v>192</v>
      </c>
      <c r="F455" s="273" t="s">
        <v>112</v>
      </c>
      <c r="G455" s="273" t="s">
        <v>113</v>
      </c>
      <c r="H455" s="275">
        <v>452</v>
      </c>
      <c r="I455" s="275" t="s">
        <v>65</v>
      </c>
      <c r="J455" s="270" t="s">
        <v>193</v>
      </c>
    </row>
    <row r="456" hidden="1" spans="1:10">
      <c r="A456" s="273" t="s">
        <v>662</v>
      </c>
      <c r="B456" s="273" t="s">
        <v>663</v>
      </c>
      <c r="C456" s="274">
        <v>45300</v>
      </c>
      <c r="D456" s="273" t="s">
        <v>673</v>
      </c>
      <c r="E456" s="273" t="s">
        <v>674</v>
      </c>
      <c r="F456" s="273" t="s">
        <v>125</v>
      </c>
      <c r="G456" s="273" t="s">
        <v>126</v>
      </c>
      <c r="H456" s="275">
        <v>453</v>
      </c>
      <c r="I456" s="275"/>
      <c r="J456" s="270" t="s">
        <v>675</v>
      </c>
    </row>
    <row r="457" hidden="1" spans="1:10">
      <c r="A457" s="273" t="s">
        <v>662</v>
      </c>
      <c r="B457" s="273" t="s">
        <v>663</v>
      </c>
      <c r="C457" s="274">
        <v>45400</v>
      </c>
      <c r="D457" s="273" t="s">
        <v>194</v>
      </c>
      <c r="E457" s="273" t="s">
        <v>195</v>
      </c>
      <c r="F457" s="273" t="s">
        <v>125</v>
      </c>
      <c r="G457" s="273" t="s">
        <v>126</v>
      </c>
      <c r="H457" s="275">
        <v>454</v>
      </c>
      <c r="I457" s="275"/>
      <c r="J457" s="270" t="s">
        <v>196</v>
      </c>
    </row>
    <row r="458" ht="52.5" hidden="1" spans="1:10">
      <c r="A458" s="273" t="s">
        <v>662</v>
      </c>
      <c r="B458" s="273" t="s">
        <v>663</v>
      </c>
      <c r="C458" s="274">
        <v>45500</v>
      </c>
      <c r="D458" s="273" t="s">
        <v>206</v>
      </c>
      <c r="E458" s="273" t="s">
        <v>207</v>
      </c>
      <c r="F458" s="273" t="s">
        <v>112</v>
      </c>
      <c r="G458" s="273" t="s">
        <v>113</v>
      </c>
      <c r="H458" s="275">
        <v>455</v>
      </c>
      <c r="I458" s="275"/>
      <c r="J458" s="270" t="s">
        <v>676</v>
      </c>
    </row>
    <row r="459" ht="84" hidden="1" spans="1:10">
      <c r="A459" s="273" t="s">
        <v>662</v>
      </c>
      <c r="B459" s="273" t="s">
        <v>663</v>
      </c>
      <c r="C459" s="274">
        <v>45600</v>
      </c>
      <c r="D459" s="273" t="s">
        <v>209</v>
      </c>
      <c r="E459" s="273" t="s">
        <v>210</v>
      </c>
      <c r="F459" s="273" t="s">
        <v>130</v>
      </c>
      <c r="G459" s="273" t="s">
        <v>131</v>
      </c>
      <c r="H459" s="275">
        <v>456</v>
      </c>
      <c r="I459" s="275"/>
      <c r="J459" s="270" t="s">
        <v>211</v>
      </c>
    </row>
    <row r="460" ht="73.5" hidden="1" spans="1:10">
      <c r="A460" s="273" t="s">
        <v>662</v>
      </c>
      <c r="B460" s="273" t="s">
        <v>663</v>
      </c>
      <c r="C460" s="274">
        <v>45700</v>
      </c>
      <c r="D460" s="273" t="s">
        <v>212</v>
      </c>
      <c r="E460" s="273" t="s">
        <v>213</v>
      </c>
      <c r="F460" s="273" t="s">
        <v>130</v>
      </c>
      <c r="G460" s="273" t="s">
        <v>131</v>
      </c>
      <c r="H460" s="275">
        <v>457</v>
      </c>
      <c r="I460" s="275" t="s">
        <v>65</v>
      </c>
      <c r="J460" s="270" t="s">
        <v>214</v>
      </c>
    </row>
    <row r="461" ht="52.5" hidden="1" spans="1:10">
      <c r="A461" s="273" t="s">
        <v>662</v>
      </c>
      <c r="B461" s="273" t="s">
        <v>663</v>
      </c>
      <c r="C461" s="274">
        <v>45800</v>
      </c>
      <c r="D461" s="273" t="s">
        <v>215</v>
      </c>
      <c r="E461" s="273" t="s">
        <v>216</v>
      </c>
      <c r="F461" s="273" t="s">
        <v>112</v>
      </c>
      <c r="G461" s="273" t="s">
        <v>113</v>
      </c>
      <c r="H461" s="275">
        <v>458</v>
      </c>
      <c r="I461" s="275" t="s">
        <v>65</v>
      </c>
      <c r="J461" s="270" t="s">
        <v>217</v>
      </c>
    </row>
    <row r="462" ht="21" hidden="1" spans="1:10">
      <c r="A462" s="273" t="s">
        <v>662</v>
      </c>
      <c r="B462" s="273" t="s">
        <v>663</v>
      </c>
      <c r="C462" s="274">
        <v>45900</v>
      </c>
      <c r="D462" s="273" t="s">
        <v>222</v>
      </c>
      <c r="E462" s="273" t="s">
        <v>223</v>
      </c>
      <c r="F462" s="273" t="s">
        <v>58</v>
      </c>
      <c r="G462" s="273" t="s">
        <v>220</v>
      </c>
      <c r="H462" s="275">
        <v>459</v>
      </c>
      <c r="I462" s="275"/>
      <c r="J462" s="270" t="s">
        <v>221</v>
      </c>
    </row>
    <row r="463" ht="21" hidden="1" spans="1:10">
      <c r="A463" s="273" t="s">
        <v>662</v>
      </c>
      <c r="B463" s="273" t="s">
        <v>663</v>
      </c>
      <c r="C463" s="274">
        <v>46000</v>
      </c>
      <c r="D463" s="273" t="s">
        <v>224</v>
      </c>
      <c r="E463" s="273" t="s">
        <v>225</v>
      </c>
      <c r="F463" s="273" t="s">
        <v>58</v>
      </c>
      <c r="G463" s="273" t="s">
        <v>220</v>
      </c>
      <c r="H463" s="275">
        <v>460</v>
      </c>
      <c r="I463" s="275"/>
      <c r="J463" s="270" t="s">
        <v>221</v>
      </c>
    </row>
    <row r="464" ht="21" hidden="1" spans="1:10">
      <c r="A464" s="273" t="s">
        <v>662</v>
      </c>
      <c r="B464" s="273" t="s">
        <v>663</v>
      </c>
      <c r="C464" s="274">
        <v>46100</v>
      </c>
      <c r="D464" s="273" t="s">
        <v>677</v>
      </c>
      <c r="E464" s="273" t="s">
        <v>678</v>
      </c>
      <c r="F464" s="273" t="s">
        <v>58</v>
      </c>
      <c r="G464" s="273" t="s">
        <v>220</v>
      </c>
      <c r="H464" s="275">
        <v>461</v>
      </c>
      <c r="I464" s="275"/>
      <c r="J464" s="270" t="s">
        <v>221</v>
      </c>
    </row>
    <row r="465" hidden="1" spans="1:10">
      <c r="A465" s="273" t="s">
        <v>662</v>
      </c>
      <c r="B465" s="273" t="s">
        <v>663</v>
      </c>
      <c r="C465" s="274">
        <v>46200</v>
      </c>
      <c r="D465" s="273" t="s">
        <v>238</v>
      </c>
      <c r="E465" s="273" t="s">
        <v>239</v>
      </c>
      <c r="F465" s="273" t="s">
        <v>240</v>
      </c>
      <c r="G465" s="273" t="s">
        <v>241</v>
      </c>
      <c r="H465" s="275">
        <v>462</v>
      </c>
      <c r="I465" s="275"/>
      <c r="J465" s="270" t="s">
        <v>4</v>
      </c>
    </row>
    <row r="466" ht="42" hidden="1" spans="1:10">
      <c r="A466" s="273" t="s">
        <v>679</v>
      </c>
      <c r="B466" s="273" t="s">
        <v>680</v>
      </c>
      <c r="C466" s="274">
        <v>46500</v>
      </c>
      <c r="D466" s="273" t="s">
        <v>56</v>
      </c>
      <c r="E466" s="273" t="s">
        <v>57</v>
      </c>
      <c r="F466" s="273" t="s">
        <v>58</v>
      </c>
      <c r="G466" s="273" t="s">
        <v>59</v>
      </c>
      <c r="H466" s="275">
        <v>465</v>
      </c>
      <c r="I466" s="275" t="s">
        <v>65</v>
      </c>
      <c r="J466" s="270" t="s">
        <v>681</v>
      </c>
    </row>
    <row r="467" ht="31.5" hidden="1" spans="1:10">
      <c r="A467" s="273" t="s">
        <v>679</v>
      </c>
      <c r="B467" s="273" t="s">
        <v>680</v>
      </c>
      <c r="C467" s="274">
        <v>46700</v>
      </c>
      <c r="D467" s="273" t="s">
        <v>682</v>
      </c>
      <c r="E467" s="273" t="s">
        <v>683</v>
      </c>
      <c r="F467" s="273" t="s">
        <v>58</v>
      </c>
      <c r="G467" s="273" t="s">
        <v>59</v>
      </c>
      <c r="H467" s="275">
        <v>467</v>
      </c>
      <c r="I467" s="275" t="s">
        <v>65</v>
      </c>
      <c r="J467" s="270" t="s">
        <v>684</v>
      </c>
    </row>
    <row r="468" ht="31.5" hidden="1" spans="1:10">
      <c r="A468" s="273" t="s">
        <v>679</v>
      </c>
      <c r="B468" s="273" t="s">
        <v>680</v>
      </c>
      <c r="C468" s="274">
        <v>46800</v>
      </c>
      <c r="D468" s="273" t="s">
        <v>685</v>
      </c>
      <c r="E468" s="273" t="s">
        <v>686</v>
      </c>
      <c r="F468" s="273" t="s">
        <v>112</v>
      </c>
      <c r="G468" s="273" t="s">
        <v>113</v>
      </c>
      <c r="H468" s="275">
        <v>468</v>
      </c>
      <c r="I468" s="275" t="s">
        <v>65</v>
      </c>
      <c r="J468" s="270" t="s">
        <v>687</v>
      </c>
    </row>
    <row r="469" ht="63" hidden="1" spans="1:10">
      <c r="A469" s="273" t="s">
        <v>688</v>
      </c>
      <c r="B469" s="273" t="s">
        <v>689</v>
      </c>
      <c r="C469" s="274">
        <v>47100</v>
      </c>
      <c r="D469" s="273" t="s">
        <v>56</v>
      </c>
      <c r="E469" s="273" t="s">
        <v>57</v>
      </c>
      <c r="F469" s="273" t="s">
        <v>58</v>
      </c>
      <c r="G469" s="273" t="s">
        <v>59</v>
      </c>
      <c r="H469" s="275">
        <v>471</v>
      </c>
      <c r="I469" s="275" t="s">
        <v>65</v>
      </c>
      <c r="J469" s="270" t="s">
        <v>690</v>
      </c>
    </row>
    <row r="470" ht="31.5" hidden="1" spans="1:10">
      <c r="A470" s="273" t="s">
        <v>688</v>
      </c>
      <c r="B470" s="273" t="s">
        <v>689</v>
      </c>
      <c r="C470" s="274">
        <v>47300</v>
      </c>
      <c r="D470" s="273" t="s">
        <v>254</v>
      </c>
      <c r="E470" s="273" t="s">
        <v>255</v>
      </c>
      <c r="F470" s="273" t="s">
        <v>58</v>
      </c>
      <c r="G470" s="273" t="s">
        <v>59</v>
      </c>
      <c r="H470" s="275">
        <v>473</v>
      </c>
      <c r="I470" s="275" t="s">
        <v>65</v>
      </c>
      <c r="J470" s="270" t="s">
        <v>691</v>
      </c>
    </row>
    <row r="471" ht="21" hidden="1" spans="1:10">
      <c r="A471" s="273" t="s">
        <v>688</v>
      </c>
      <c r="B471" s="273" t="s">
        <v>689</v>
      </c>
      <c r="C471" s="274">
        <v>47400</v>
      </c>
      <c r="D471" s="273" t="s">
        <v>257</v>
      </c>
      <c r="E471" s="273" t="s">
        <v>258</v>
      </c>
      <c r="F471" s="273" t="s">
        <v>112</v>
      </c>
      <c r="G471" s="273" t="s">
        <v>113</v>
      </c>
      <c r="H471" s="275">
        <v>474</v>
      </c>
      <c r="I471" s="275" t="s">
        <v>65</v>
      </c>
      <c r="J471" s="270" t="s">
        <v>692</v>
      </c>
    </row>
    <row r="472" ht="21" hidden="1" spans="1:10">
      <c r="A472" s="273" t="s">
        <v>693</v>
      </c>
      <c r="B472" s="273" t="s">
        <v>694</v>
      </c>
      <c r="C472" s="274">
        <v>47700</v>
      </c>
      <c r="D472" s="273" t="s">
        <v>56</v>
      </c>
      <c r="E472" s="273" t="s">
        <v>57</v>
      </c>
      <c r="F472" s="273" t="s">
        <v>58</v>
      </c>
      <c r="G472" s="273" t="s">
        <v>59</v>
      </c>
      <c r="H472" s="275">
        <v>477</v>
      </c>
      <c r="I472" s="275"/>
      <c r="J472" s="270" t="s">
        <v>60</v>
      </c>
    </row>
    <row r="473" ht="84" hidden="1" spans="1:10">
      <c r="A473" s="273" t="s">
        <v>693</v>
      </c>
      <c r="B473" s="273" t="s">
        <v>694</v>
      </c>
      <c r="C473" s="274">
        <v>47900</v>
      </c>
      <c r="D473" s="273" t="s">
        <v>61</v>
      </c>
      <c r="E473" s="273" t="s">
        <v>62</v>
      </c>
      <c r="F473" s="273" t="s">
        <v>63</v>
      </c>
      <c r="G473" s="273" t="s">
        <v>64</v>
      </c>
      <c r="H473" s="275">
        <v>479</v>
      </c>
      <c r="I473" s="275" t="s">
        <v>65</v>
      </c>
      <c r="J473" s="270" t="s">
        <v>695</v>
      </c>
    </row>
    <row r="474" ht="21" hidden="1" spans="1:10">
      <c r="A474" s="273" t="s">
        <v>693</v>
      </c>
      <c r="B474" s="273" t="s">
        <v>694</v>
      </c>
      <c r="C474" s="274">
        <v>48000</v>
      </c>
      <c r="D474" s="273" t="s">
        <v>67</v>
      </c>
      <c r="E474" s="273" t="s">
        <v>68</v>
      </c>
      <c r="F474" s="273" t="s">
        <v>63</v>
      </c>
      <c r="G474" s="273" t="s">
        <v>69</v>
      </c>
      <c r="H474" s="275">
        <v>480</v>
      </c>
      <c r="I474" s="275"/>
      <c r="J474" s="270" t="s">
        <v>70</v>
      </c>
    </row>
    <row r="475" hidden="1" spans="1:10">
      <c r="A475" s="273" t="s">
        <v>693</v>
      </c>
      <c r="B475" s="273" t="s">
        <v>694</v>
      </c>
      <c r="C475" s="274">
        <v>48100</v>
      </c>
      <c r="D475" s="273" t="s">
        <v>71</v>
      </c>
      <c r="E475" s="273" t="s">
        <v>72</v>
      </c>
      <c r="F475" s="273" t="s">
        <v>73</v>
      </c>
      <c r="G475" s="273" t="s">
        <v>74</v>
      </c>
      <c r="H475" s="275">
        <v>481</v>
      </c>
      <c r="I475" s="275" t="s">
        <v>65</v>
      </c>
      <c r="J475" s="270" t="s">
        <v>75</v>
      </c>
    </row>
    <row r="476" hidden="1" spans="1:10">
      <c r="A476" s="273" t="s">
        <v>693</v>
      </c>
      <c r="B476" s="273" t="s">
        <v>694</v>
      </c>
      <c r="C476" s="274">
        <v>48200</v>
      </c>
      <c r="D476" s="273" t="s">
        <v>76</v>
      </c>
      <c r="E476" s="273" t="s">
        <v>77</v>
      </c>
      <c r="F476" s="273" t="s">
        <v>73</v>
      </c>
      <c r="G476" s="273" t="s">
        <v>74</v>
      </c>
      <c r="H476" s="275">
        <v>482</v>
      </c>
      <c r="I476" s="275" t="s">
        <v>65</v>
      </c>
      <c r="J476" s="270" t="s">
        <v>78</v>
      </c>
    </row>
    <row r="477" ht="21" hidden="1" spans="1:10">
      <c r="A477" s="273" t="s">
        <v>693</v>
      </c>
      <c r="B477" s="273" t="s">
        <v>694</v>
      </c>
      <c r="C477" s="274">
        <v>48300</v>
      </c>
      <c r="D477" s="273" t="s">
        <v>79</v>
      </c>
      <c r="E477" s="273" t="s">
        <v>80</v>
      </c>
      <c r="F477" s="273" t="s">
        <v>81</v>
      </c>
      <c r="G477" s="273" t="s">
        <v>82</v>
      </c>
      <c r="H477" s="275">
        <v>483</v>
      </c>
      <c r="I477" s="275" t="s">
        <v>65</v>
      </c>
      <c r="J477" s="270" t="s">
        <v>83</v>
      </c>
    </row>
    <row r="478" ht="21" hidden="1" spans="1:10">
      <c r="A478" s="273" t="s">
        <v>693</v>
      </c>
      <c r="B478" s="273" t="s">
        <v>694</v>
      </c>
      <c r="C478" s="274">
        <v>113000</v>
      </c>
      <c r="D478" s="273" t="s">
        <v>84</v>
      </c>
      <c r="E478" s="273" t="s">
        <v>85</v>
      </c>
      <c r="F478" s="273" t="s">
        <v>58</v>
      </c>
      <c r="G478" s="273" t="s">
        <v>86</v>
      </c>
      <c r="H478" s="275">
        <v>1443</v>
      </c>
      <c r="I478" s="275"/>
      <c r="J478" s="270" t="s">
        <v>87</v>
      </c>
    </row>
    <row r="479" ht="21" hidden="1" spans="1:10">
      <c r="A479" s="273" t="s">
        <v>693</v>
      </c>
      <c r="B479" s="273" t="s">
        <v>694</v>
      </c>
      <c r="C479" s="274">
        <v>113100</v>
      </c>
      <c r="D479" s="273" t="s">
        <v>88</v>
      </c>
      <c r="E479" s="273" t="s">
        <v>89</v>
      </c>
      <c r="F479" s="273" t="s">
        <v>63</v>
      </c>
      <c r="G479" s="273" t="s">
        <v>90</v>
      </c>
      <c r="H479" s="275">
        <v>1444</v>
      </c>
      <c r="I479" s="275"/>
      <c r="J479" s="270" t="s">
        <v>91</v>
      </c>
    </row>
    <row r="480" hidden="1" spans="1:10">
      <c r="A480" s="273" t="s">
        <v>693</v>
      </c>
      <c r="B480" s="273" t="s">
        <v>694</v>
      </c>
      <c r="C480" s="274">
        <v>48400</v>
      </c>
      <c r="D480" s="273" t="s">
        <v>92</v>
      </c>
      <c r="E480" s="273" t="s">
        <v>93</v>
      </c>
      <c r="F480" s="273" t="s">
        <v>73</v>
      </c>
      <c r="G480" s="273" t="s">
        <v>94</v>
      </c>
      <c r="H480" s="275">
        <v>484</v>
      </c>
      <c r="I480" s="275"/>
      <c r="J480" s="270" t="s">
        <v>95</v>
      </c>
    </row>
    <row r="481" hidden="1" spans="1:10">
      <c r="A481" s="273" t="s">
        <v>693</v>
      </c>
      <c r="B481" s="273" t="s">
        <v>694</v>
      </c>
      <c r="C481" s="274">
        <v>48500</v>
      </c>
      <c r="D481" s="273" t="s">
        <v>96</v>
      </c>
      <c r="E481" s="273" t="s">
        <v>97</v>
      </c>
      <c r="F481" s="273" t="s">
        <v>63</v>
      </c>
      <c r="G481" s="273" t="s">
        <v>69</v>
      </c>
      <c r="H481" s="275">
        <v>485</v>
      </c>
      <c r="I481" s="275"/>
      <c r="J481" s="270" t="s">
        <v>98</v>
      </c>
    </row>
    <row r="482" hidden="1" spans="1:10">
      <c r="A482" s="273" t="s">
        <v>693</v>
      </c>
      <c r="B482" s="273" t="s">
        <v>694</v>
      </c>
      <c r="C482" s="274">
        <v>48600</v>
      </c>
      <c r="D482" s="273" t="s">
        <v>99</v>
      </c>
      <c r="E482" s="273" t="s">
        <v>100</v>
      </c>
      <c r="F482" s="273" t="s">
        <v>101</v>
      </c>
      <c r="G482" s="273" t="s">
        <v>102</v>
      </c>
      <c r="H482" s="275">
        <v>486</v>
      </c>
      <c r="I482" s="275" t="s">
        <v>65</v>
      </c>
      <c r="J482" s="270" t="s">
        <v>103</v>
      </c>
    </row>
    <row r="483" ht="63" hidden="1" spans="1:10">
      <c r="A483" s="273" t="s">
        <v>693</v>
      </c>
      <c r="B483" s="273" t="s">
        <v>694</v>
      </c>
      <c r="C483" s="274">
        <v>48700</v>
      </c>
      <c r="D483" s="273" t="s">
        <v>128</v>
      </c>
      <c r="E483" s="273" t="s">
        <v>129</v>
      </c>
      <c r="F483" s="273" t="s">
        <v>130</v>
      </c>
      <c r="G483" s="273" t="s">
        <v>131</v>
      </c>
      <c r="H483" s="275">
        <v>487</v>
      </c>
      <c r="I483" s="275"/>
      <c r="J483" s="270" t="s">
        <v>132</v>
      </c>
    </row>
    <row r="484" ht="52.5" hidden="1" spans="1:10">
      <c r="A484" s="273" t="s">
        <v>693</v>
      </c>
      <c r="B484" s="273" t="s">
        <v>694</v>
      </c>
      <c r="C484" s="274">
        <v>48800</v>
      </c>
      <c r="D484" s="273" t="s">
        <v>416</v>
      </c>
      <c r="E484" s="273" t="s">
        <v>696</v>
      </c>
      <c r="F484" s="273" t="s">
        <v>130</v>
      </c>
      <c r="G484" s="273" t="s">
        <v>131</v>
      </c>
      <c r="H484" s="275">
        <v>488</v>
      </c>
      <c r="I484" s="275" t="s">
        <v>65</v>
      </c>
      <c r="J484" s="270" t="s">
        <v>417</v>
      </c>
    </row>
    <row r="485" ht="21" hidden="1" spans="1:10">
      <c r="A485" s="273" t="s">
        <v>693</v>
      </c>
      <c r="B485" s="273" t="s">
        <v>694</v>
      </c>
      <c r="C485" s="274">
        <v>48900</v>
      </c>
      <c r="D485" s="273" t="s">
        <v>418</v>
      </c>
      <c r="E485" s="273" t="s">
        <v>419</v>
      </c>
      <c r="F485" s="273" t="s">
        <v>112</v>
      </c>
      <c r="G485" s="273" t="s">
        <v>113</v>
      </c>
      <c r="H485" s="275">
        <v>489</v>
      </c>
      <c r="I485" s="275" t="s">
        <v>65</v>
      </c>
      <c r="J485" s="270" t="s">
        <v>138</v>
      </c>
    </row>
    <row r="486" ht="52.5" hidden="1" spans="1:10">
      <c r="A486" s="273" t="s">
        <v>693</v>
      </c>
      <c r="B486" s="273" t="s">
        <v>694</v>
      </c>
      <c r="C486" s="274">
        <v>49000</v>
      </c>
      <c r="D486" s="273" t="s">
        <v>420</v>
      </c>
      <c r="E486" s="273" t="s">
        <v>421</v>
      </c>
      <c r="F486" s="273" t="s">
        <v>130</v>
      </c>
      <c r="G486" s="273" t="s">
        <v>131</v>
      </c>
      <c r="H486" s="275">
        <v>490</v>
      </c>
      <c r="I486" s="275" t="s">
        <v>65</v>
      </c>
      <c r="J486" s="270" t="s">
        <v>422</v>
      </c>
    </row>
    <row r="487" ht="21" hidden="1" spans="1:10">
      <c r="A487" s="273" t="s">
        <v>693</v>
      </c>
      <c r="B487" s="273" t="s">
        <v>694</v>
      </c>
      <c r="C487" s="274">
        <v>49100</v>
      </c>
      <c r="D487" s="273" t="s">
        <v>423</v>
      </c>
      <c r="E487" s="273" t="s">
        <v>697</v>
      </c>
      <c r="F487" s="273" t="s">
        <v>112</v>
      </c>
      <c r="G487" s="273" t="s">
        <v>113</v>
      </c>
      <c r="H487" s="275">
        <v>491</v>
      </c>
      <c r="I487" s="275" t="s">
        <v>65</v>
      </c>
      <c r="J487" s="270" t="s">
        <v>138</v>
      </c>
    </row>
    <row r="488" ht="94.5" hidden="1" spans="1:10">
      <c r="A488" s="273" t="s">
        <v>693</v>
      </c>
      <c r="B488" s="273" t="s">
        <v>694</v>
      </c>
      <c r="C488" s="274">
        <v>49200</v>
      </c>
      <c r="D488" s="273" t="s">
        <v>306</v>
      </c>
      <c r="E488" s="273" t="s">
        <v>307</v>
      </c>
      <c r="F488" s="273" t="s">
        <v>308</v>
      </c>
      <c r="G488" s="273" t="s">
        <v>309</v>
      </c>
      <c r="H488" s="275">
        <v>492</v>
      </c>
      <c r="I488" s="275" t="s">
        <v>65</v>
      </c>
      <c r="J488" s="270" t="s">
        <v>310</v>
      </c>
    </row>
    <row r="489" ht="42" hidden="1" spans="1:10">
      <c r="A489" s="273" t="s">
        <v>693</v>
      </c>
      <c r="B489" s="273" t="s">
        <v>694</v>
      </c>
      <c r="C489" s="274">
        <v>49300</v>
      </c>
      <c r="D489" s="273" t="s">
        <v>311</v>
      </c>
      <c r="E489" s="273" t="s">
        <v>312</v>
      </c>
      <c r="F489" s="273" t="s">
        <v>313</v>
      </c>
      <c r="G489" s="273" t="s">
        <v>314</v>
      </c>
      <c r="H489" s="275">
        <v>493</v>
      </c>
      <c r="I489" s="275"/>
      <c r="J489" s="270" t="s">
        <v>315</v>
      </c>
    </row>
    <row r="490" ht="63" hidden="1" spans="1:10">
      <c r="A490" s="273" t="s">
        <v>693</v>
      </c>
      <c r="B490" s="273" t="s">
        <v>694</v>
      </c>
      <c r="C490" s="274">
        <v>49400</v>
      </c>
      <c r="D490" s="273" t="s">
        <v>191</v>
      </c>
      <c r="E490" s="273" t="s">
        <v>192</v>
      </c>
      <c r="F490" s="273" t="s">
        <v>112</v>
      </c>
      <c r="G490" s="273" t="s">
        <v>113</v>
      </c>
      <c r="H490" s="275">
        <v>494</v>
      </c>
      <c r="I490" s="275" t="s">
        <v>65</v>
      </c>
      <c r="J490" s="270" t="s">
        <v>193</v>
      </c>
    </row>
    <row r="491" hidden="1" spans="1:10">
      <c r="A491" s="273" t="s">
        <v>693</v>
      </c>
      <c r="B491" s="273" t="s">
        <v>694</v>
      </c>
      <c r="C491" s="274">
        <v>49500</v>
      </c>
      <c r="D491" s="273" t="s">
        <v>320</v>
      </c>
      <c r="E491" s="273" t="s">
        <v>321</v>
      </c>
      <c r="F491" s="273" t="s">
        <v>125</v>
      </c>
      <c r="G491" s="273" t="s">
        <v>126</v>
      </c>
      <c r="H491" s="275">
        <v>495</v>
      </c>
      <c r="I491" s="275"/>
      <c r="J491" s="270" t="s">
        <v>322</v>
      </c>
    </row>
    <row r="492" hidden="1" spans="1:10">
      <c r="A492" s="273" t="s">
        <v>693</v>
      </c>
      <c r="B492" s="273" t="s">
        <v>694</v>
      </c>
      <c r="C492" s="274">
        <v>49600</v>
      </c>
      <c r="D492" s="273" t="s">
        <v>194</v>
      </c>
      <c r="E492" s="273" t="s">
        <v>195</v>
      </c>
      <c r="F492" s="273" t="s">
        <v>125</v>
      </c>
      <c r="G492" s="273" t="s">
        <v>126</v>
      </c>
      <c r="H492" s="275">
        <v>496</v>
      </c>
      <c r="I492" s="275"/>
      <c r="J492" s="270" t="s">
        <v>196</v>
      </c>
    </row>
    <row r="493" ht="52.5" hidden="1" spans="1:10">
      <c r="A493" s="273" t="s">
        <v>693</v>
      </c>
      <c r="B493" s="273" t="s">
        <v>694</v>
      </c>
      <c r="C493" s="274">
        <v>113200</v>
      </c>
      <c r="D493" s="273" t="s">
        <v>206</v>
      </c>
      <c r="E493" s="273" t="s">
        <v>207</v>
      </c>
      <c r="F493" s="273" t="s">
        <v>112</v>
      </c>
      <c r="G493" s="273" t="s">
        <v>113</v>
      </c>
      <c r="H493" s="275">
        <v>1445</v>
      </c>
      <c r="I493" s="275"/>
      <c r="J493" s="270" t="s">
        <v>676</v>
      </c>
    </row>
    <row r="494" hidden="1" spans="1:10">
      <c r="A494" s="273" t="s">
        <v>693</v>
      </c>
      <c r="B494" s="273" t="s">
        <v>694</v>
      </c>
      <c r="C494" s="274">
        <v>113300</v>
      </c>
      <c r="D494" s="273" t="s">
        <v>209</v>
      </c>
      <c r="E494" s="273" t="s">
        <v>210</v>
      </c>
      <c r="F494" s="273" t="s">
        <v>130</v>
      </c>
      <c r="G494" s="273" t="s">
        <v>131</v>
      </c>
      <c r="H494" s="275">
        <v>1446</v>
      </c>
      <c r="I494" s="275"/>
      <c r="J494" s="270" t="s">
        <v>698</v>
      </c>
    </row>
    <row r="495" hidden="1" spans="1:10">
      <c r="A495" s="273" t="s">
        <v>693</v>
      </c>
      <c r="B495" s="273" t="s">
        <v>694</v>
      </c>
      <c r="C495" s="274">
        <v>113400</v>
      </c>
      <c r="D495" s="273" t="s">
        <v>212</v>
      </c>
      <c r="E495" s="273" t="s">
        <v>213</v>
      </c>
      <c r="F495" s="273" t="s">
        <v>130</v>
      </c>
      <c r="G495" s="273" t="s">
        <v>131</v>
      </c>
      <c r="H495" s="275">
        <v>1447</v>
      </c>
      <c r="I495" s="275"/>
      <c r="J495" s="270" t="s">
        <v>699</v>
      </c>
    </row>
    <row r="496" ht="52.5" hidden="1" spans="1:10">
      <c r="A496" s="273" t="s">
        <v>693</v>
      </c>
      <c r="B496" s="273" t="s">
        <v>694</v>
      </c>
      <c r="C496" s="274">
        <v>49700</v>
      </c>
      <c r="D496" s="273" t="s">
        <v>215</v>
      </c>
      <c r="E496" s="273" t="s">
        <v>216</v>
      </c>
      <c r="F496" s="273" t="s">
        <v>112</v>
      </c>
      <c r="G496" s="273" t="s">
        <v>113</v>
      </c>
      <c r="H496" s="275">
        <v>497</v>
      </c>
      <c r="I496" s="275" t="s">
        <v>65</v>
      </c>
      <c r="J496" s="270" t="s">
        <v>217</v>
      </c>
    </row>
    <row r="497" ht="21" hidden="1" spans="1:10">
      <c r="A497" s="273" t="s">
        <v>693</v>
      </c>
      <c r="B497" s="273" t="s">
        <v>694</v>
      </c>
      <c r="C497" s="274">
        <v>49800</v>
      </c>
      <c r="D497" s="273" t="s">
        <v>222</v>
      </c>
      <c r="E497" s="273" t="s">
        <v>223</v>
      </c>
      <c r="F497" s="273" t="s">
        <v>58</v>
      </c>
      <c r="G497" s="273" t="s">
        <v>220</v>
      </c>
      <c r="H497" s="275">
        <v>498</v>
      </c>
      <c r="I497" s="275"/>
      <c r="J497" s="270" t="s">
        <v>221</v>
      </c>
    </row>
    <row r="498" ht="21" hidden="1" spans="1:10">
      <c r="A498" s="273" t="s">
        <v>693</v>
      </c>
      <c r="B498" s="273" t="s">
        <v>694</v>
      </c>
      <c r="C498" s="274">
        <v>49900</v>
      </c>
      <c r="D498" s="273" t="s">
        <v>528</v>
      </c>
      <c r="E498" s="273" t="s">
        <v>529</v>
      </c>
      <c r="F498" s="273" t="s">
        <v>58</v>
      </c>
      <c r="G498" s="273" t="s">
        <v>220</v>
      </c>
      <c r="H498" s="275">
        <v>499</v>
      </c>
      <c r="I498" s="275"/>
      <c r="J498" s="270" t="s">
        <v>221</v>
      </c>
    </row>
    <row r="499" ht="21" hidden="1" spans="1:10">
      <c r="A499" s="273" t="s">
        <v>693</v>
      </c>
      <c r="B499" s="273" t="s">
        <v>694</v>
      </c>
      <c r="C499" s="274">
        <v>50000</v>
      </c>
      <c r="D499" s="273" t="s">
        <v>530</v>
      </c>
      <c r="E499" s="273" t="s">
        <v>531</v>
      </c>
      <c r="F499" s="273" t="s">
        <v>58</v>
      </c>
      <c r="G499" s="273" t="s">
        <v>220</v>
      </c>
      <c r="H499" s="275">
        <v>500</v>
      </c>
      <c r="I499" s="275"/>
      <c r="J499" s="270" t="s">
        <v>221</v>
      </c>
    </row>
    <row r="500" ht="21" hidden="1" spans="1:10">
      <c r="A500" s="273" t="s">
        <v>693</v>
      </c>
      <c r="B500" s="273" t="s">
        <v>694</v>
      </c>
      <c r="C500" s="274">
        <v>50100</v>
      </c>
      <c r="D500" s="273" t="s">
        <v>328</v>
      </c>
      <c r="E500" s="273" t="s">
        <v>329</v>
      </c>
      <c r="F500" s="273" t="s">
        <v>58</v>
      </c>
      <c r="G500" s="273" t="s">
        <v>220</v>
      </c>
      <c r="H500" s="275">
        <v>501</v>
      </c>
      <c r="I500" s="275"/>
      <c r="J500" s="270" t="s">
        <v>221</v>
      </c>
    </row>
    <row r="501" hidden="1" spans="1:10">
      <c r="A501" s="273" t="s">
        <v>693</v>
      </c>
      <c r="B501" s="273" t="s">
        <v>694</v>
      </c>
      <c r="C501" s="274">
        <v>50200</v>
      </c>
      <c r="D501" s="273" t="s">
        <v>238</v>
      </c>
      <c r="E501" s="273" t="s">
        <v>239</v>
      </c>
      <c r="F501" s="273" t="s">
        <v>240</v>
      </c>
      <c r="G501" s="273" t="s">
        <v>241</v>
      </c>
      <c r="H501" s="275">
        <v>502</v>
      </c>
      <c r="I501" s="275"/>
      <c r="J501" s="270" t="s">
        <v>4</v>
      </c>
    </row>
    <row r="502" ht="21" hidden="1" spans="1:10">
      <c r="A502" s="273" t="s">
        <v>700</v>
      </c>
      <c r="B502" s="273" t="s">
        <v>701</v>
      </c>
      <c r="C502" s="274">
        <v>50500</v>
      </c>
      <c r="D502" s="273" t="s">
        <v>56</v>
      </c>
      <c r="E502" s="273" t="s">
        <v>57</v>
      </c>
      <c r="F502" s="273" t="s">
        <v>58</v>
      </c>
      <c r="G502" s="273" t="s">
        <v>59</v>
      </c>
      <c r="H502" s="275">
        <v>505</v>
      </c>
      <c r="I502" s="275"/>
      <c r="J502" s="270" t="s">
        <v>702</v>
      </c>
    </row>
    <row r="503" ht="21" hidden="1" spans="1:10">
      <c r="A503" s="273" t="s">
        <v>700</v>
      </c>
      <c r="B503" s="273" t="s">
        <v>701</v>
      </c>
      <c r="C503" s="274">
        <v>50700</v>
      </c>
      <c r="D503" s="273" t="s">
        <v>136</v>
      </c>
      <c r="E503" s="273" t="s">
        <v>137</v>
      </c>
      <c r="F503" s="273" t="s">
        <v>112</v>
      </c>
      <c r="G503" s="273" t="s">
        <v>113</v>
      </c>
      <c r="H503" s="275">
        <v>507</v>
      </c>
      <c r="I503" s="275"/>
      <c r="J503" s="270" t="s">
        <v>138</v>
      </c>
    </row>
    <row r="504" ht="52.5" hidden="1" spans="1:10">
      <c r="A504" s="273" t="s">
        <v>700</v>
      </c>
      <c r="B504" s="273" t="s">
        <v>701</v>
      </c>
      <c r="C504" s="274">
        <v>50800</v>
      </c>
      <c r="D504" s="273" t="s">
        <v>337</v>
      </c>
      <c r="E504" s="273" t="s">
        <v>338</v>
      </c>
      <c r="F504" s="273" t="s">
        <v>130</v>
      </c>
      <c r="G504" s="273" t="s">
        <v>131</v>
      </c>
      <c r="H504" s="275">
        <v>508</v>
      </c>
      <c r="I504" s="275"/>
      <c r="J504" s="270" t="s">
        <v>339</v>
      </c>
    </row>
    <row r="505" ht="73.5" hidden="1" spans="1:10">
      <c r="A505" s="273" t="s">
        <v>700</v>
      </c>
      <c r="B505" s="273" t="s">
        <v>701</v>
      </c>
      <c r="C505" s="274">
        <v>50900</v>
      </c>
      <c r="D505" s="273" t="s">
        <v>133</v>
      </c>
      <c r="E505" s="273" t="s">
        <v>134</v>
      </c>
      <c r="F505" s="273" t="s">
        <v>130</v>
      </c>
      <c r="G505" s="273" t="s">
        <v>131</v>
      </c>
      <c r="H505" s="275">
        <v>509</v>
      </c>
      <c r="I505" s="275"/>
      <c r="J505" s="270" t="s">
        <v>340</v>
      </c>
    </row>
    <row r="506" hidden="1" spans="1:10">
      <c r="A506" s="273" t="s">
        <v>700</v>
      </c>
      <c r="B506" s="273" t="s">
        <v>701</v>
      </c>
      <c r="C506" s="274">
        <v>51000</v>
      </c>
      <c r="D506" s="273" t="s">
        <v>341</v>
      </c>
      <c r="E506" s="273" t="s">
        <v>341</v>
      </c>
      <c r="F506" s="273" t="s">
        <v>308</v>
      </c>
      <c r="G506" s="273" t="s">
        <v>309</v>
      </c>
      <c r="H506" s="275">
        <v>510</v>
      </c>
      <c r="I506" s="275"/>
      <c r="J506" s="270" t="s">
        <v>342</v>
      </c>
    </row>
    <row r="507" hidden="1" spans="1:10">
      <c r="A507" s="273" t="s">
        <v>700</v>
      </c>
      <c r="B507" s="273" t="s">
        <v>701</v>
      </c>
      <c r="C507" s="274">
        <v>51100</v>
      </c>
      <c r="D507" s="273" t="s">
        <v>343</v>
      </c>
      <c r="E507" s="273" t="s">
        <v>343</v>
      </c>
      <c r="F507" s="273" t="s">
        <v>120</v>
      </c>
      <c r="G507" s="273" t="s">
        <v>121</v>
      </c>
      <c r="H507" s="275">
        <v>511</v>
      </c>
      <c r="I507" s="275"/>
      <c r="J507" s="270" t="s">
        <v>344</v>
      </c>
    </row>
    <row r="508" hidden="1" spans="1:10">
      <c r="A508" s="273" t="s">
        <v>700</v>
      </c>
      <c r="B508" s="273" t="s">
        <v>701</v>
      </c>
      <c r="C508" s="274">
        <v>51200</v>
      </c>
      <c r="D508" s="273" t="s">
        <v>345</v>
      </c>
      <c r="E508" s="273" t="s">
        <v>345</v>
      </c>
      <c r="F508" s="273" t="s">
        <v>346</v>
      </c>
      <c r="G508" s="273" t="s">
        <v>347</v>
      </c>
      <c r="H508" s="275">
        <v>512</v>
      </c>
      <c r="I508" s="275"/>
      <c r="J508" s="270" t="s">
        <v>348</v>
      </c>
    </row>
    <row r="509" hidden="1" spans="1:10">
      <c r="A509" s="273" t="s">
        <v>700</v>
      </c>
      <c r="B509" s="273" t="s">
        <v>701</v>
      </c>
      <c r="C509" s="274">
        <v>51300</v>
      </c>
      <c r="D509" s="273" t="s">
        <v>349</v>
      </c>
      <c r="E509" s="273" t="s">
        <v>350</v>
      </c>
      <c r="F509" s="273" t="s">
        <v>125</v>
      </c>
      <c r="G509" s="273" t="s">
        <v>126</v>
      </c>
      <c r="H509" s="275">
        <v>513</v>
      </c>
      <c r="I509" s="275"/>
      <c r="J509" s="270" t="s">
        <v>351</v>
      </c>
    </row>
    <row r="510" ht="21" hidden="1" spans="1:10">
      <c r="A510" s="273" t="s">
        <v>700</v>
      </c>
      <c r="B510" s="273" t="s">
        <v>701</v>
      </c>
      <c r="C510" s="274">
        <v>51400</v>
      </c>
      <c r="D510" s="273" t="s">
        <v>352</v>
      </c>
      <c r="E510" s="273" t="s">
        <v>353</v>
      </c>
      <c r="F510" s="273" t="s">
        <v>58</v>
      </c>
      <c r="G510" s="273" t="s">
        <v>220</v>
      </c>
      <c r="H510" s="275">
        <v>514</v>
      </c>
      <c r="I510" s="275"/>
      <c r="J510" s="270" t="s">
        <v>221</v>
      </c>
    </row>
    <row r="511" ht="21" hidden="1" spans="1:10">
      <c r="A511" s="273" t="s">
        <v>700</v>
      </c>
      <c r="B511" s="273" t="s">
        <v>701</v>
      </c>
      <c r="C511" s="274">
        <v>51500</v>
      </c>
      <c r="D511" s="273" t="s">
        <v>224</v>
      </c>
      <c r="E511" s="273" t="s">
        <v>225</v>
      </c>
      <c r="F511" s="273" t="s">
        <v>58</v>
      </c>
      <c r="G511" s="273" t="s">
        <v>220</v>
      </c>
      <c r="H511" s="275">
        <v>515</v>
      </c>
      <c r="I511" s="275"/>
      <c r="J511" s="270" t="s">
        <v>221</v>
      </c>
    </row>
    <row r="512" ht="21" hidden="1" spans="1:10">
      <c r="A512" s="273" t="s">
        <v>700</v>
      </c>
      <c r="B512" s="273" t="s">
        <v>701</v>
      </c>
      <c r="C512" s="274">
        <v>51600</v>
      </c>
      <c r="D512" s="273" t="s">
        <v>354</v>
      </c>
      <c r="E512" s="273" t="s">
        <v>355</v>
      </c>
      <c r="F512" s="273" t="s">
        <v>58</v>
      </c>
      <c r="G512" s="273" t="s">
        <v>220</v>
      </c>
      <c r="H512" s="275">
        <v>516</v>
      </c>
      <c r="I512" s="275"/>
      <c r="J512" s="270" t="s">
        <v>221</v>
      </c>
    </row>
    <row r="513" ht="21" hidden="1" spans="1:10">
      <c r="A513" s="273" t="s">
        <v>700</v>
      </c>
      <c r="B513" s="273" t="s">
        <v>701</v>
      </c>
      <c r="C513" s="274">
        <v>51700</v>
      </c>
      <c r="D513" s="273" t="s">
        <v>356</v>
      </c>
      <c r="E513" s="273" t="s">
        <v>357</v>
      </c>
      <c r="F513" s="273" t="s">
        <v>58</v>
      </c>
      <c r="G513" s="273" t="s">
        <v>220</v>
      </c>
      <c r="H513" s="275">
        <v>517</v>
      </c>
      <c r="I513" s="275"/>
      <c r="J513" s="270" t="s">
        <v>221</v>
      </c>
    </row>
    <row r="514" ht="21" hidden="1" spans="1:10">
      <c r="A514" s="273" t="s">
        <v>700</v>
      </c>
      <c r="B514" s="273" t="s">
        <v>701</v>
      </c>
      <c r="C514" s="274">
        <v>51800</v>
      </c>
      <c r="D514" s="273" t="s">
        <v>358</v>
      </c>
      <c r="E514" s="273" t="s">
        <v>359</v>
      </c>
      <c r="F514" s="273" t="s">
        <v>58</v>
      </c>
      <c r="G514" s="273" t="s">
        <v>220</v>
      </c>
      <c r="H514" s="275">
        <v>518</v>
      </c>
      <c r="I514" s="275"/>
      <c r="J514" s="270" t="s">
        <v>221</v>
      </c>
    </row>
    <row r="515" ht="52.5" hidden="1" spans="1:10">
      <c r="A515" s="273" t="s">
        <v>703</v>
      </c>
      <c r="B515" s="273" t="s">
        <v>704</v>
      </c>
      <c r="C515" s="274">
        <v>52100</v>
      </c>
      <c r="D515" s="273" t="s">
        <v>56</v>
      </c>
      <c r="E515" s="273" t="s">
        <v>57</v>
      </c>
      <c r="F515" s="273" t="s">
        <v>58</v>
      </c>
      <c r="G515" s="273" t="s">
        <v>59</v>
      </c>
      <c r="H515" s="275">
        <v>521</v>
      </c>
      <c r="I515" s="275" t="s">
        <v>65</v>
      </c>
      <c r="J515" s="270" t="s">
        <v>705</v>
      </c>
    </row>
    <row r="516" ht="31.5" hidden="1" spans="1:10">
      <c r="A516" s="273" t="s">
        <v>703</v>
      </c>
      <c r="B516" s="273" t="s">
        <v>704</v>
      </c>
      <c r="C516" s="274">
        <v>52300</v>
      </c>
      <c r="D516" s="273" t="s">
        <v>245</v>
      </c>
      <c r="E516" s="273" t="s">
        <v>246</v>
      </c>
      <c r="F516" s="273" t="s">
        <v>58</v>
      </c>
      <c r="G516" s="273" t="s">
        <v>59</v>
      </c>
      <c r="H516" s="275">
        <v>523</v>
      </c>
      <c r="I516" s="275" t="s">
        <v>65</v>
      </c>
      <c r="J516" s="270" t="s">
        <v>706</v>
      </c>
    </row>
    <row r="517" ht="31.5" hidden="1" spans="1:10">
      <c r="A517" s="273" t="s">
        <v>703</v>
      </c>
      <c r="B517" s="273" t="s">
        <v>704</v>
      </c>
      <c r="C517" s="274">
        <v>52400</v>
      </c>
      <c r="D517" s="273" t="s">
        <v>248</v>
      </c>
      <c r="E517" s="273" t="s">
        <v>249</v>
      </c>
      <c r="F517" s="273" t="s">
        <v>112</v>
      </c>
      <c r="G517" s="273" t="s">
        <v>113</v>
      </c>
      <c r="H517" s="275">
        <v>524</v>
      </c>
      <c r="I517" s="275" t="s">
        <v>65</v>
      </c>
      <c r="J517" s="270" t="s">
        <v>707</v>
      </c>
    </row>
    <row r="518" ht="52.5" hidden="1" spans="1:10">
      <c r="A518" s="273" t="s">
        <v>708</v>
      </c>
      <c r="B518" s="273" t="s">
        <v>709</v>
      </c>
      <c r="C518" s="274">
        <v>52700</v>
      </c>
      <c r="D518" s="273" t="s">
        <v>56</v>
      </c>
      <c r="E518" s="273" t="s">
        <v>57</v>
      </c>
      <c r="F518" s="273" t="s">
        <v>58</v>
      </c>
      <c r="G518" s="273" t="s">
        <v>59</v>
      </c>
      <c r="H518" s="275">
        <v>527</v>
      </c>
      <c r="I518" s="275" t="s">
        <v>65</v>
      </c>
      <c r="J518" s="270" t="s">
        <v>710</v>
      </c>
    </row>
    <row r="519" ht="31.5" hidden="1" spans="1:10">
      <c r="A519" s="273" t="s">
        <v>708</v>
      </c>
      <c r="B519" s="273" t="s">
        <v>709</v>
      </c>
      <c r="C519" s="274">
        <v>52900</v>
      </c>
      <c r="D519" s="273" t="s">
        <v>711</v>
      </c>
      <c r="E519" s="273" t="s">
        <v>712</v>
      </c>
      <c r="F519" s="273" t="s">
        <v>58</v>
      </c>
      <c r="G519" s="273" t="s">
        <v>59</v>
      </c>
      <c r="H519" s="275">
        <v>529</v>
      </c>
      <c r="I519" s="275" t="s">
        <v>65</v>
      </c>
      <c r="J519" s="270" t="s">
        <v>713</v>
      </c>
    </row>
    <row r="520" ht="21" hidden="1" spans="1:10">
      <c r="A520" s="273" t="s">
        <v>708</v>
      </c>
      <c r="B520" s="273" t="s">
        <v>709</v>
      </c>
      <c r="C520" s="274">
        <v>53000</v>
      </c>
      <c r="D520" s="273" t="s">
        <v>714</v>
      </c>
      <c r="E520" s="273" t="s">
        <v>715</v>
      </c>
      <c r="F520" s="273" t="s">
        <v>112</v>
      </c>
      <c r="G520" s="273" t="s">
        <v>113</v>
      </c>
      <c r="H520" s="275">
        <v>530</v>
      </c>
      <c r="I520" s="275" t="s">
        <v>65</v>
      </c>
      <c r="J520" s="270" t="s">
        <v>716</v>
      </c>
    </row>
    <row r="521" ht="21" hidden="1" spans="1:10">
      <c r="A521" s="273" t="s">
        <v>717</v>
      </c>
      <c r="B521" s="273" t="s">
        <v>718</v>
      </c>
      <c r="C521" s="274">
        <v>53300</v>
      </c>
      <c r="D521" s="273" t="s">
        <v>56</v>
      </c>
      <c r="E521" s="273" t="s">
        <v>57</v>
      </c>
      <c r="F521" s="273" t="s">
        <v>58</v>
      </c>
      <c r="G521" s="273" t="s">
        <v>59</v>
      </c>
      <c r="H521" s="275">
        <v>533</v>
      </c>
      <c r="I521" s="275"/>
      <c r="J521" s="270" t="s">
        <v>60</v>
      </c>
    </row>
    <row r="522" ht="52.5" hidden="1" spans="1:10">
      <c r="A522" s="273" t="s">
        <v>717</v>
      </c>
      <c r="B522" s="273" t="s">
        <v>718</v>
      </c>
      <c r="C522" s="274">
        <v>53500</v>
      </c>
      <c r="D522" s="273" t="s">
        <v>61</v>
      </c>
      <c r="E522" s="273" t="s">
        <v>62</v>
      </c>
      <c r="F522" s="273" t="s">
        <v>63</v>
      </c>
      <c r="G522" s="273" t="s">
        <v>64</v>
      </c>
      <c r="H522" s="275">
        <v>535</v>
      </c>
      <c r="I522" s="275" t="s">
        <v>65</v>
      </c>
      <c r="J522" s="270" t="s">
        <v>66</v>
      </c>
    </row>
    <row r="523" ht="21" hidden="1" spans="1:10">
      <c r="A523" s="273" t="s">
        <v>717</v>
      </c>
      <c r="B523" s="273" t="s">
        <v>718</v>
      </c>
      <c r="C523" s="274">
        <v>53600</v>
      </c>
      <c r="D523" s="273" t="s">
        <v>67</v>
      </c>
      <c r="E523" s="273" t="s">
        <v>719</v>
      </c>
      <c r="F523" s="273" t="s">
        <v>63</v>
      </c>
      <c r="G523" s="273" t="s">
        <v>69</v>
      </c>
      <c r="H523" s="275">
        <v>536</v>
      </c>
      <c r="I523" s="275"/>
      <c r="J523" s="270" t="s">
        <v>70</v>
      </c>
    </row>
    <row r="524" ht="21" hidden="1" spans="1:10">
      <c r="A524" s="273" t="s">
        <v>717</v>
      </c>
      <c r="B524" s="273" t="s">
        <v>718</v>
      </c>
      <c r="C524" s="274">
        <v>113500</v>
      </c>
      <c r="D524" s="273" t="s">
        <v>84</v>
      </c>
      <c r="E524" s="273" t="s">
        <v>85</v>
      </c>
      <c r="F524" s="273" t="s">
        <v>58</v>
      </c>
      <c r="G524" s="273" t="s">
        <v>86</v>
      </c>
      <c r="H524" s="275">
        <v>1448</v>
      </c>
      <c r="I524" s="275"/>
      <c r="J524" s="270" t="s">
        <v>87</v>
      </c>
    </row>
    <row r="525" ht="21" hidden="1" spans="1:10">
      <c r="A525" s="273" t="s">
        <v>717</v>
      </c>
      <c r="B525" s="273" t="s">
        <v>718</v>
      </c>
      <c r="C525" s="274">
        <v>113600</v>
      </c>
      <c r="D525" s="273" t="s">
        <v>88</v>
      </c>
      <c r="E525" s="273" t="s">
        <v>89</v>
      </c>
      <c r="F525" s="273" t="s">
        <v>63</v>
      </c>
      <c r="G525" s="273" t="s">
        <v>90</v>
      </c>
      <c r="H525" s="275">
        <v>1449</v>
      </c>
      <c r="I525" s="275"/>
      <c r="J525" s="270" t="s">
        <v>91</v>
      </c>
    </row>
    <row r="526" ht="31.5" hidden="1" spans="1:10">
      <c r="A526" s="273" t="s">
        <v>717</v>
      </c>
      <c r="B526" s="273" t="s">
        <v>718</v>
      </c>
      <c r="C526" s="274">
        <v>53700</v>
      </c>
      <c r="D526" s="273" t="s">
        <v>560</v>
      </c>
      <c r="E526" s="273" t="s">
        <v>561</v>
      </c>
      <c r="F526" s="273" t="s">
        <v>562</v>
      </c>
      <c r="G526" s="273" t="s">
        <v>563</v>
      </c>
      <c r="H526" s="275">
        <v>537</v>
      </c>
      <c r="I526" s="275" t="s">
        <v>65</v>
      </c>
      <c r="J526" s="270" t="s">
        <v>564</v>
      </c>
    </row>
    <row r="527" ht="63" hidden="1" spans="1:10">
      <c r="A527" s="273" t="s">
        <v>717</v>
      </c>
      <c r="B527" s="273" t="s">
        <v>718</v>
      </c>
      <c r="C527" s="274">
        <v>99400</v>
      </c>
      <c r="D527" s="273" t="s">
        <v>565</v>
      </c>
      <c r="E527" s="273" t="s">
        <v>566</v>
      </c>
      <c r="F527" s="273" t="s">
        <v>562</v>
      </c>
      <c r="G527" s="273" t="s">
        <v>563</v>
      </c>
      <c r="H527" s="275">
        <v>994</v>
      </c>
      <c r="I527" s="275" t="s">
        <v>65</v>
      </c>
      <c r="J527" s="270" t="s">
        <v>567</v>
      </c>
    </row>
    <row r="528" hidden="1" spans="1:10">
      <c r="A528" s="273" t="s">
        <v>717</v>
      </c>
      <c r="B528" s="273" t="s">
        <v>718</v>
      </c>
      <c r="C528" s="274">
        <v>118900</v>
      </c>
      <c r="D528" s="273" t="s">
        <v>720</v>
      </c>
      <c r="E528" s="273" t="s">
        <v>721</v>
      </c>
      <c r="F528" s="273" t="s">
        <v>562</v>
      </c>
      <c r="G528" s="273" t="s">
        <v>563</v>
      </c>
      <c r="H528" s="275">
        <v>1303</v>
      </c>
      <c r="I528" s="275"/>
      <c r="J528" s="270" t="s">
        <v>722</v>
      </c>
    </row>
    <row r="529" hidden="1" spans="1:10">
      <c r="A529" s="273" t="s">
        <v>717</v>
      </c>
      <c r="B529" s="273" t="s">
        <v>718</v>
      </c>
      <c r="C529" s="274">
        <v>113700</v>
      </c>
      <c r="D529" s="273" t="s">
        <v>582</v>
      </c>
      <c r="E529" s="273" t="s">
        <v>583</v>
      </c>
      <c r="F529" s="273" t="s">
        <v>81</v>
      </c>
      <c r="G529" s="273" t="s">
        <v>82</v>
      </c>
      <c r="H529" s="275">
        <v>1450</v>
      </c>
      <c r="I529" s="275"/>
      <c r="J529" s="281" t="s">
        <v>584</v>
      </c>
    </row>
    <row r="530" hidden="1" spans="1:10">
      <c r="A530" s="273" t="s">
        <v>717</v>
      </c>
      <c r="B530" s="273" t="s">
        <v>718</v>
      </c>
      <c r="C530" s="274">
        <v>113800</v>
      </c>
      <c r="D530" s="273" t="s">
        <v>585</v>
      </c>
      <c r="E530" s="273" t="s">
        <v>586</v>
      </c>
      <c r="F530" s="273" t="s">
        <v>81</v>
      </c>
      <c r="G530" s="273" t="s">
        <v>82</v>
      </c>
      <c r="H530" s="275">
        <v>1251</v>
      </c>
      <c r="I530" s="275"/>
      <c r="J530" s="270" t="s">
        <v>723</v>
      </c>
    </row>
    <row r="531" ht="21" hidden="1" spans="1:10">
      <c r="A531" s="273" t="s">
        <v>717</v>
      </c>
      <c r="B531" s="273" t="s">
        <v>718</v>
      </c>
      <c r="C531" s="274">
        <v>113900</v>
      </c>
      <c r="D531" s="273" t="s">
        <v>588</v>
      </c>
      <c r="E531" s="273" t="s">
        <v>589</v>
      </c>
      <c r="F531" s="273" t="s">
        <v>81</v>
      </c>
      <c r="G531" s="273" t="s">
        <v>82</v>
      </c>
      <c r="H531" s="275">
        <v>1252</v>
      </c>
      <c r="I531" s="275"/>
      <c r="J531" s="270" t="s">
        <v>724</v>
      </c>
    </row>
    <row r="532" hidden="1" spans="1:10">
      <c r="A532" s="273" t="s">
        <v>717</v>
      </c>
      <c r="B532" s="273" t="s">
        <v>718</v>
      </c>
      <c r="C532" s="274">
        <v>114000</v>
      </c>
      <c r="D532" s="273" t="s">
        <v>591</v>
      </c>
      <c r="E532" s="273" t="s">
        <v>592</v>
      </c>
      <c r="F532" s="273" t="s">
        <v>81</v>
      </c>
      <c r="G532" s="273" t="s">
        <v>82</v>
      </c>
      <c r="H532" s="275">
        <v>1253</v>
      </c>
      <c r="I532" s="275"/>
      <c r="J532" s="270" t="s">
        <v>725</v>
      </c>
    </row>
    <row r="533" hidden="1" spans="1:10">
      <c r="A533" s="273" t="s">
        <v>717</v>
      </c>
      <c r="B533" s="273" t="s">
        <v>718</v>
      </c>
      <c r="C533" s="274">
        <v>114100</v>
      </c>
      <c r="D533" s="273" t="s">
        <v>594</v>
      </c>
      <c r="E533" s="273" t="s">
        <v>595</v>
      </c>
      <c r="F533" s="273" t="s">
        <v>81</v>
      </c>
      <c r="G533" s="273" t="s">
        <v>82</v>
      </c>
      <c r="H533" s="275">
        <v>1254</v>
      </c>
      <c r="I533" s="275"/>
      <c r="J533" s="270" t="s">
        <v>726</v>
      </c>
    </row>
    <row r="534" hidden="1" spans="1:10">
      <c r="A534" s="273" t="s">
        <v>717</v>
      </c>
      <c r="B534" s="273" t="s">
        <v>718</v>
      </c>
      <c r="C534" s="274">
        <v>114200</v>
      </c>
      <c r="D534" s="273" t="s">
        <v>597</v>
      </c>
      <c r="E534" s="273" t="s">
        <v>598</v>
      </c>
      <c r="F534" s="273" t="s">
        <v>81</v>
      </c>
      <c r="G534" s="273" t="s">
        <v>82</v>
      </c>
      <c r="H534" s="275">
        <v>1255</v>
      </c>
      <c r="I534" s="275"/>
      <c r="J534" s="270" t="s">
        <v>727</v>
      </c>
    </row>
    <row r="535" ht="21" hidden="1" spans="1:10">
      <c r="A535" s="273" t="s">
        <v>717</v>
      </c>
      <c r="B535" s="273" t="s">
        <v>718</v>
      </c>
      <c r="C535" s="274">
        <v>114300</v>
      </c>
      <c r="D535" s="273" t="s">
        <v>600</v>
      </c>
      <c r="E535" s="273" t="s">
        <v>601</v>
      </c>
      <c r="F535" s="273" t="s">
        <v>81</v>
      </c>
      <c r="G535" s="273" t="s">
        <v>82</v>
      </c>
      <c r="H535" s="275">
        <v>1256</v>
      </c>
      <c r="I535" s="275"/>
      <c r="J535" s="270" t="s">
        <v>728</v>
      </c>
    </row>
    <row r="536" hidden="1" spans="1:10">
      <c r="A536" s="273" t="s">
        <v>717</v>
      </c>
      <c r="B536" s="273" t="s">
        <v>718</v>
      </c>
      <c r="C536" s="274">
        <v>99100</v>
      </c>
      <c r="D536" s="273" t="s">
        <v>729</v>
      </c>
      <c r="E536" s="273" t="s">
        <v>730</v>
      </c>
      <c r="F536" s="273" t="s">
        <v>81</v>
      </c>
      <c r="G536" s="273" t="s">
        <v>82</v>
      </c>
      <c r="H536" s="275">
        <v>991</v>
      </c>
      <c r="I536" s="275" t="s">
        <v>65</v>
      </c>
      <c r="J536" s="270" t="s">
        <v>731</v>
      </c>
    </row>
    <row r="537" ht="21" hidden="1" spans="1:10">
      <c r="A537" s="273" t="s">
        <v>717</v>
      </c>
      <c r="B537" s="273" t="s">
        <v>718</v>
      </c>
      <c r="C537" s="274">
        <v>100400</v>
      </c>
      <c r="D537" s="273" t="s">
        <v>732</v>
      </c>
      <c r="E537" s="273" t="s">
        <v>604</v>
      </c>
      <c r="F537" s="273" t="s">
        <v>81</v>
      </c>
      <c r="G537" s="273" t="s">
        <v>82</v>
      </c>
      <c r="H537" s="275">
        <v>1004</v>
      </c>
      <c r="I537" s="275" t="s">
        <v>65</v>
      </c>
      <c r="J537" s="270" t="s">
        <v>733</v>
      </c>
    </row>
    <row r="538" ht="42" hidden="1" spans="1:10">
      <c r="A538" s="273" t="s">
        <v>717</v>
      </c>
      <c r="B538" s="273" t="s">
        <v>718</v>
      </c>
      <c r="C538" s="274">
        <v>54500</v>
      </c>
      <c r="D538" s="273" t="s">
        <v>568</v>
      </c>
      <c r="E538" s="273" t="s">
        <v>159</v>
      </c>
      <c r="F538" s="273" t="s">
        <v>155</v>
      </c>
      <c r="G538" s="273" t="s">
        <v>156</v>
      </c>
      <c r="H538" s="275">
        <v>545</v>
      </c>
      <c r="I538" s="275" t="s">
        <v>65</v>
      </c>
      <c r="J538" s="281" t="s">
        <v>734</v>
      </c>
    </row>
    <row r="539" ht="63" hidden="1" spans="1:10">
      <c r="A539" s="273" t="s">
        <v>717</v>
      </c>
      <c r="B539" s="273" t="s">
        <v>718</v>
      </c>
      <c r="C539" s="274">
        <v>54600</v>
      </c>
      <c r="D539" s="273" t="s">
        <v>570</v>
      </c>
      <c r="E539" s="273" t="s">
        <v>571</v>
      </c>
      <c r="F539" s="273" t="s">
        <v>155</v>
      </c>
      <c r="G539" s="273" t="s">
        <v>156</v>
      </c>
      <c r="H539" s="275">
        <v>546</v>
      </c>
      <c r="I539" s="275"/>
      <c r="J539" s="282" t="s">
        <v>735</v>
      </c>
    </row>
    <row r="540" ht="52.5" hidden="1" spans="1:10">
      <c r="A540" s="273" t="s">
        <v>717</v>
      </c>
      <c r="B540" s="273" t="s">
        <v>718</v>
      </c>
      <c r="C540" s="274">
        <v>54700</v>
      </c>
      <c r="D540" s="273" t="s">
        <v>573</v>
      </c>
      <c r="E540" s="273" t="s">
        <v>574</v>
      </c>
      <c r="F540" s="273" t="s">
        <v>155</v>
      </c>
      <c r="G540" s="273" t="s">
        <v>156</v>
      </c>
      <c r="H540" s="275">
        <v>547</v>
      </c>
      <c r="I540" s="275" t="s">
        <v>65</v>
      </c>
      <c r="J540" s="281" t="s">
        <v>736</v>
      </c>
    </row>
    <row r="541" ht="42" hidden="1" spans="1:10">
      <c r="A541" s="273" t="s">
        <v>717</v>
      </c>
      <c r="B541" s="273" t="s">
        <v>718</v>
      </c>
      <c r="C541" s="274">
        <v>54800</v>
      </c>
      <c r="D541" s="273" t="s">
        <v>737</v>
      </c>
      <c r="E541" s="273" t="s">
        <v>577</v>
      </c>
      <c r="F541" s="273" t="s">
        <v>155</v>
      </c>
      <c r="G541" s="273" t="s">
        <v>156</v>
      </c>
      <c r="H541" s="275">
        <v>548</v>
      </c>
      <c r="I541" s="275" t="s">
        <v>65</v>
      </c>
      <c r="J541" s="270" t="s">
        <v>738</v>
      </c>
    </row>
    <row r="542" ht="21" hidden="1" spans="1:10">
      <c r="A542" s="273" t="s">
        <v>717</v>
      </c>
      <c r="B542" s="273" t="s">
        <v>718</v>
      </c>
      <c r="C542" s="274">
        <v>54900</v>
      </c>
      <c r="D542" s="273" t="s">
        <v>739</v>
      </c>
      <c r="E542" s="273" t="s">
        <v>580</v>
      </c>
      <c r="F542" s="273" t="s">
        <v>155</v>
      </c>
      <c r="G542" s="273" t="s">
        <v>156</v>
      </c>
      <c r="H542" s="275">
        <v>549</v>
      </c>
      <c r="I542" s="275" t="s">
        <v>65</v>
      </c>
      <c r="J542" s="270" t="s">
        <v>740</v>
      </c>
    </row>
    <row r="543" hidden="1" spans="1:10">
      <c r="A543" s="273" t="s">
        <v>717</v>
      </c>
      <c r="B543" s="273" t="s">
        <v>718</v>
      </c>
      <c r="C543" s="274">
        <v>55000</v>
      </c>
      <c r="D543" s="273" t="s">
        <v>320</v>
      </c>
      <c r="E543" s="273" t="s">
        <v>321</v>
      </c>
      <c r="F543" s="273" t="s">
        <v>125</v>
      </c>
      <c r="G543" s="273" t="s">
        <v>126</v>
      </c>
      <c r="H543" s="275">
        <v>550</v>
      </c>
      <c r="I543" s="275"/>
      <c r="J543" s="270" t="s">
        <v>322</v>
      </c>
    </row>
    <row r="544" hidden="1" spans="1:10">
      <c r="A544" s="273" t="s">
        <v>717</v>
      </c>
      <c r="B544" s="273" t="s">
        <v>718</v>
      </c>
      <c r="C544" s="274">
        <v>55100</v>
      </c>
      <c r="D544" s="273" t="s">
        <v>194</v>
      </c>
      <c r="E544" s="273" t="s">
        <v>195</v>
      </c>
      <c r="F544" s="273" t="s">
        <v>125</v>
      </c>
      <c r="G544" s="273" t="s">
        <v>126</v>
      </c>
      <c r="H544" s="275">
        <v>551</v>
      </c>
      <c r="I544" s="275"/>
      <c r="J544" s="270" t="s">
        <v>196</v>
      </c>
    </row>
    <row r="545" hidden="1" spans="1:10">
      <c r="A545" s="273" t="s">
        <v>717</v>
      </c>
      <c r="B545" s="273" t="s">
        <v>718</v>
      </c>
      <c r="C545" s="274">
        <v>114600</v>
      </c>
      <c r="D545" s="273" t="s">
        <v>609</v>
      </c>
      <c r="E545" s="273" t="s">
        <v>610</v>
      </c>
      <c r="F545" s="273" t="s">
        <v>81</v>
      </c>
      <c r="G545" s="273" t="s">
        <v>82</v>
      </c>
      <c r="H545" s="275">
        <v>1259</v>
      </c>
      <c r="I545" s="275"/>
      <c r="J545" s="270" t="s">
        <v>741</v>
      </c>
    </row>
    <row r="546" ht="21" hidden="1" spans="1:10">
      <c r="A546" s="273" t="s">
        <v>717</v>
      </c>
      <c r="B546" s="273" t="s">
        <v>718</v>
      </c>
      <c r="C546" s="274">
        <v>99200</v>
      </c>
      <c r="D546" s="273" t="s">
        <v>742</v>
      </c>
      <c r="E546" s="273" t="s">
        <v>743</v>
      </c>
      <c r="F546" s="273" t="s">
        <v>125</v>
      </c>
      <c r="G546" s="273" t="s">
        <v>126</v>
      </c>
      <c r="H546" s="275">
        <v>992</v>
      </c>
      <c r="I546" s="275" t="s">
        <v>65</v>
      </c>
      <c r="J546" s="270" t="s">
        <v>744</v>
      </c>
    </row>
    <row r="547" ht="31.5" hidden="1" spans="1:10">
      <c r="A547" s="273" t="s">
        <v>717</v>
      </c>
      <c r="B547" s="273" t="s">
        <v>718</v>
      </c>
      <c r="C547" s="274">
        <v>100200</v>
      </c>
      <c r="D547" s="273" t="s">
        <v>745</v>
      </c>
      <c r="E547" s="273" t="s">
        <v>746</v>
      </c>
      <c r="F547" s="273" t="s">
        <v>81</v>
      </c>
      <c r="G547" s="273" t="s">
        <v>82</v>
      </c>
      <c r="H547" s="275">
        <v>1002</v>
      </c>
      <c r="I547" s="275" t="s">
        <v>65</v>
      </c>
      <c r="J547" s="270" t="s">
        <v>747</v>
      </c>
    </row>
    <row r="548" ht="21" hidden="1" spans="1:10">
      <c r="A548" s="273" t="s">
        <v>717</v>
      </c>
      <c r="B548" s="273" t="s">
        <v>718</v>
      </c>
      <c r="C548" s="274">
        <v>100300</v>
      </c>
      <c r="D548" s="273" t="s">
        <v>748</v>
      </c>
      <c r="E548" s="273" t="s">
        <v>749</v>
      </c>
      <c r="F548" s="273" t="s">
        <v>81</v>
      </c>
      <c r="G548" s="273" t="s">
        <v>82</v>
      </c>
      <c r="H548" s="275">
        <v>1003</v>
      </c>
      <c r="I548" s="275" t="s">
        <v>65</v>
      </c>
      <c r="J548" s="270" t="s">
        <v>750</v>
      </c>
    </row>
    <row r="549" ht="63" hidden="1" spans="1:10">
      <c r="A549" s="273" t="s">
        <v>717</v>
      </c>
      <c r="B549" s="273" t="s">
        <v>718</v>
      </c>
      <c r="C549" s="274">
        <v>55200</v>
      </c>
      <c r="D549" s="273" t="s">
        <v>191</v>
      </c>
      <c r="E549" s="273" t="s">
        <v>192</v>
      </c>
      <c r="F549" s="273" t="s">
        <v>112</v>
      </c>
      <c r="G549" s="273" t="s">
        <v>113</v>
      </c>
      <c r="H549" s="275">
        <v>552</v>
      </c>
      <c r="I549" s="275" t="s">
        <v>65</v>
      </c>
      <c r="J549" s="270" t="s">
        <v>193</v>
      </c>
    </row>
    <row r="550" ht="52.5" hidden="1" spans="1:10">
      <c r="A550" s="273" t="s">
        <v>717</v>
      </c>
      <c r="B550" s="273" t="s">
        <v>718</v>
      </c>
      <c r="C550" s="274">
        <v>55300</v>
      </c>
      <c r="D550" s="273" t="s">
        <v>215</v>
      </c>
      <c r="E550" s="273" t="s">
        <v>216</v>
      </c>
      <c r="F550" s="273" t="s">
        <v>112</v>
      </c>
      <c r="G550" s="273" t="s">
        <v>113</v>
      </c>
      <c r="H550" s="275">
        <v>553</v>
      </c>
      <c r="I550" s="275" t="s">
        <v>65</v>
      </c>
      <c r="J550" s="270" t="s">
        <v>217</v>
      </c>
    </row>
    <row r="551" ht="21" hidden="1" spans="1:10">
      <c r="A551" s="273" t="s">
        <v>717</v>
      </c>
      <c r="B551" s="273" t="s">
        <v>718</v>
      </c>
      <c r="C551" s="274">
        <v>99600</v>
      </c>
      <c r="D551" s="273" t="s">
        <v>751</v>
      </c>
      <c r="E551" s="273" t="s">
        <v>752</v>
      </c>
      <c r="F551" s="273" t="s">
        <v>346</v>
      </c>
      <c r="G551" s="273" t="s">
        <v>347</v>
      </c>
      <c r="H551" s="275">
        <v>996</v>
      </c>
      <c r="I551" s="275" t="s">
        <v>65</v>
      </c>
      <c r="J551" s="270" t="s">
        <v>753</v>
      </c>
    </row>
    <row r="552" ht="21" hidden="1" spans="1:10">
      <c r="A552" s="273" t="s">
        <v>717</v>
      </c>
      <c r="B552" s="273" t="s">
        <v>718</v>
      </c>
      <c r="C552" s="274">
        <v>99800</v>
      </c>
      <c r="D552" s="273" t="s">
        <v>754</v>
      </c>
      <c r="E552" s="273" t="s">
        <v>755</v>
      </c>
      <c r="F552" s="273" t="s">
        <v>346</v>
      </c>
      <c r="G552" s="273" t="s">
        <v>347</v>
      </c>
      <c r="H552" s="275">
        <v>998</v>
      </c>
      <c r="I552" s="275" t="s">
        <v>65</v>
      </c>
      <c r="J552" s="270" t="s">
        <v>756</v>
      </c>
    </row>
    <row r="553" ht="21" hidden="1" spans="1:10">
      <c r="A553" s="273" t="s">
        <v>717</v>
      </c>
      <c r="B553" s="273" t="s">
        <v>718</v>
      </c>
      <c r="C553" s="274">
        <v>100000</v>
      </c>
      <c r="D553" s="273" t="s">
        <v>757</v>
      </c>
      <c r="E553" s="273" t="s">
        <v>758</v>
      </c>
      <c r="F553" s="273" t="s">
        <v>346</v>
      </c>
      <c r="G553" s="273" t="s">
        <v>347</v>
      </c>
      <c r="H553" s="275">
        <v>1000</v>
      </c>
      <c r="I553" s="275" t="s">
        <v>65</v>
      </c>
      <c r="J553" s="270" t="s">
        <v>759</v>
      </c>
    </row>
    <row r="554" ht="21" hidden="1" spans="1:10">
      <c r="A554" s="273" t="s">
        <v>717</v>
      </c>
      <c r="B554" s="273" t="s">
        <v>718</v>
      </c>
      <c r="C554" s="274">
        <v>55400</v>
      </c>
      <c r="D554" s="273" t="s">
        <v>614</v>
      </c>
      <c r="E554" s="273" t="s">
        <v>615</v>
      </c>
      <c r="F554" s="273" t="s">
        <v>58</v>
      </c>
      <c r="G554" s="273" t="s">
        <v>220</v>
      </c>
      <c r="H554" s="275">
        <v>554</v>
      </c>
      <c r="I554" s="275"/>
      <c r="J554" s="270" t="s">
        <v>221</v>
      </c>
    </row>
    <row r="555" ht="21" hidden="1" spans="1:10">
      <c r="A555" s="273" t="s">
        <v>717</v>
      </c>
      <c r="B555" s="273" t="s">
        <v>718</v>
      </c>
      <c r="C555" s="274">
        <v>55500</v>
      </c>
      <c r="D555" s="273" t="s">
        <v>618</v>
      </c>
      <c r="E555" s="273" t="s">
        <v>760</v>
      </c>
      <c r="F555" s="273" t="s">
        <v>58</v>
      </c>
      <c r="G555" s="273" t="s">
        <v>220</v>
      </c>
      <c r="H555" s="275">
        <v>555</v>
      </c>
      <c r="I555" s="275"/>
      <c r="J555" s="270" t="s">
        <v>221</v>
      </c>
    </row>
    <row r="556" ht="21" hidden="1" spans="1:10">
      <c r="A556" s="273" t="s">
        <v>717</v>
      </c>
      <c r="B556" s="273" t="s">
        <v>718</v>
      </c>
      <c r="C556" s="274">
        <v>55600</v>
      </c>
      <c r="D556" s="273" t="s">
        <v>620</v>
      </c>
      <c r="E556" s="273" t="s">
        <v>621</v>
      </c>
      <c r="F556" s="273" t="s">
        <v>58</v>
      </c>
      <c r="G556" s="273" t="s">
        <v>220</v>
      </c>
      <c r="H556" s="275">
        <v>556</v>
      </c>
      <c r="I556" s="275"/>
      <c r="J556" s="270" t="s">
        <v>221</v>
      </c>
    </row>
    <row r="557" ht="21" hidden="1" spans="1:10">
      <c r="A557" s="273" t="s">
        <v>717</v>
      </c>
      <c r="B557" s="273" t="s">
        <v>718</v>
      </c>
      <c r="C557" s="274">
        <v>55700</v>
      </c>
      <c r="D557" s="273" t="s">
        <v>622</v>
      </c>
      <c r="E557" s="273" t="s">
        <v>623</v>
      </c>
      <c r="F557" s="273" t="s">
        <v>58</v>
      </c>
      <c r="G557" s="273" t="s">
        <v>220</v>
      </c>
      <c r="H557" s="275">
        <v>557</v>
      </c>
      <c r="I557" s="275"/>
      <c r="J557" s="270" t="s">
        <v>221</v>
      </c>
    </row>
    <row r="558" ht="21" hidden="1" spans="1:10">
      <c r="A558" s="273" t="s">
        <v>717</v>
      </c>
      <c r="B558" s="273" t="s">
        <v>718</v>
      </c>
      <c r="C558" s="274">
        <v>55800</v>
      </c>
      <c r="D558" s="273" t="s">
        <v>761</v>
      </c>
      <c r="E558" s="273" t="s">
        <v>762</v>
      </c>
      <c r="F558" s="273" t="s">
        <v>58</v>
      </c>
      <c r="G558" s="273" t="s">
        <v>220</v>
      </c>
      <c r="H558" s="275">
        <v>558</v>
      </c>
      <c r="I558" s="275"/>
      <c r="J558" s="270" t="s">
        <v>221</v>
      </c>
    </row>
    <row r="559" ht="21" hidden="1" spans="1:10">
      <c r="A559" s="273" t="s">
        <v>717</v>
      </c>
      <c r="B559" s="273" t="s">
        <v>718</v>
      </c>
      <c r="C559" s="274">
        <v>55900</v>
      </c>
      <c r="D559" s="273" t="s">
        <v>763</v>
      </c>
      <c r="E559" s="273" t="s">
        <v>764</v>
      </c>
      <c r="F559" s="273" t="s">
        <v>58</v>
      </c>
      <c r="G559" s="273" t="s">
        <v>220</v>
      </c>
      <c r="H559" s="275">
        <v>559</v>
      </c>
      <c r="I559" s="275"/>
      <c r="J559" s="270" t="s">
        <v>221</v>
      </c>
    </row>
    <row r="560" ht="21" hidden="1" spans="1:10">
      <c r="A560" s="273" t="s">
        <v>717</v>
      </c>
      <c r="B560" s="273" t="s">
        <v>718</v>
      </c>
      <c r="C560" s="274">
        <v>119000</v>
      </c>
      <c r="D560" s="273" t="s">
        <v>765</v>
      </c>
      <c r="E560" s="273" t="s">
        <v>766</v>
      </c>
      <c r="F560" s="273" t="s">
        <v>58</v>
      </c>
      <c r="G560" s="273" t="s">
        <v>220</v>
      </c>
      <c r="H560" s="275">
        <v>1304</v>
      </c>
      <c r="I560" s="275"/>
      <c r="J560" s="270" t="s">
        <v>221</v>
      </c>
    </row>
    <row r="561" ht="21" hidden="1" spans="1:10">
      <c r="A561" s="273" t="s">
        <v>717</v>
      </c>
      <c r="B561" s="273" t="s">
        <v>718</v>
      </c>
      <c r="C561" s="274">
        <v>99300</v>
      </c>
      <c r="D561" s="273" t="s">
        <v>767</v>
      </c>
      <c r="E561" s="273" t="s">
        <v>768</v>
      </c>
      <c r="F561" s="273" t="s">
        <v>58</v>
      </c>
      <c r="G561" s="273" t="s">
        <v>220</v>
      </c>
      <c r="H561" s="275">
        <v>993</v>
      </c>
      <c r="I561" s="275"/>
      <c r="J561" s="270" t="s">
        <v>221</v>
      </c>
    </row>
    <row r="562" ht="21" hidden="1" spans="1:10">
      <c r="A562" s="273" t="s">
        <v>717</v>
      </c>
      <c r="B562" s="273" t="s">
        <v>718</v>
      </c>
      <c r="C562" s="274">
        <v>99500</v>
      </c>
      <c r="D562" s="273" t="s">
        <v>616</v>
      </c>
      <c r="E562" s="273" t="s">
        <v>617</v>
      </c>
      <c r="F562" s="273" t="s">
        <v>58</v>
      </c>
      <c r="G562" s="273" t="s">
        <v>220</v>
      </c>
      <c r="H562" s="275">
        <v>995</v>
      </c>
      <c r="I562" s="275"/>
      <c r="J562" s="270" t="s">
        <v>221</v>
      </c>
    </row>
    <row r="563" ht="21" hidden="1" spans="1:10">
      <c r="A563" s="273" t="s">
        <v>717</v>
      </c>
      <c r="B563" s="273" t="s">
        <v>718</v>
      </c>
      <c r="C563" s="274">
        <v>99700</v>
      </c>
      <c r="D563" s="273" t="s">
        <v>769</v>
      </c>
      <c r="E563" s="273" t="s">
        <v>770</v>
      </c>
      <c r="F563" s="273" t="s">
        <v>58</v>
      </c>
      <c r="G563" s="273" t="s">
        <v>220</v>
      </c>
      <c r="H563" s="275">
        <v>997</v>
      </c>
      <c r="I563" s="275"/>
      <c r="J563" s="270" t="s">
        <v>221</v>
      </c>
    </row>
    <row r="564" ht="21" hidden="1" spans="1:10">
      <c r="A564" s="273" t="s">
        <v>717</v>
      </c>
      <c r="B564" s="273" t="s">
        <v>718</v>
      </c>
      <c r="C564" s="274">
        <v>99900</v>
      </c>
      <c r="D564" s="273" t="s">
        <v>771</v>
      </c>
      <c r="E564" s="273" t="s">
        <v>772</v>
      </c>
      <c r="F564" s="273" t="s">
        <v>58</v>
      </c>
      <c r="G564" s="273" t="s">
        <v>220</v>
      </c>
      <c r="H564" s="275">
        <v>999</v>
      </c>
      <c r="I564" s="275"/>
      <c r="J564" s="270" t="s">
        <v>221</v>
      </c>
    </row>
    <row r="565" ht="21" hidden="1" spans="1:10">
      <c r="A565" s="273" t="s">
        <v>717</v>
      </c>
      <c r="B565" s="273" t="s">
        <v>718</v>
      </c>
      <c r="C565" s="274">
        <v>100100</v>
      </c>
      <c r="D565" s="273" t="s">
        <v>773</v>
      </c>
      <c r="E565" s="273" t="s">
        <v>774</v>
      </c>
      <c r="F565" s="273" t="s">
        <v>58</v>
      </c>
      <c r="G565" s="273" t="s">
        <v>220</v>
      </c>
      <c r="H565" s="275">
        <v>1001</v>
      </c>
      <c r="I565" s="275"/>
      <c r="J565" s="270" t="s">
        <v>221</v>
      </c>
    </row>
    <row r="566" hidden="1" spans="1:10">
      <c r="A566" s="273" t="s">
        <v>717</v>
      </c>
      <c r="B566" s="273" t="s">
        <v>718</v>
      </c>
      <c r="C566" s="274">
        <v>56000</v>
      </c>
      <c r="D566" s="273" t="s">
        <v>238</v>
      </c>
      <c r="E566" s="273" t="s">
        <v>239</v>
      </c>
      <c r="F566" s="273" t="s">
        <v>240</v>
      </c>
      <c r="G566" s="273" t="s">
        <v>241</v>
      </c>
      <c r="H566" s="275">
        <v>560</v>
      </c>
      <c r="I566" s="275"/>
      <c r="J566" s="270" t="s">
        <v>4</v>
      </c>
    </row>
    <row r="567" s="267" customFormat="1" ht="10.5" hidden="1" spans="1:10">
      <c r="A567" s="278" t="s">
        <v>775</v>
      </c>
      <c r="B567" s="278" t="s">
        <v>776</v>
      </c>
      <c r="C567" s="279">
        <v>56300</v>
      </c>
      <c r="D567" s="278" t="s">
        <v>56</v>
      </c>
      <c r="E567" s="278" t="s">
        <v>57</v>
      </c>
      <c r="F567" s="278" t="s">
        <v>58</v>
      </c>
      <c r="G567" s="278" t="s">
        <v>59</v>
      </c>
      <c r="H567" s="280">
        <v>563</v>
      </c>
      <c r="I567" s="283"/>
      <c r="J567" s="284" t="str">
        <f>+$J$353</f>
        <v>Indicare se l'impianto di potabilizzazione è dotato di sistema di rimozione dei metalli pesanti.</v>
      </c>
    </row>
    <row r="568" s="267" customFormat="1" ht="10.5" hidden="1" spans="1:10">
      <c r="A568" s="278" t="s">
        <v>775</v>
      </c>
      <c r="B568" s="278" t="s">
        <v>776</v>
      </c>
      <c r="C568" s="279">
        <v>56500</v>
      </c>
      <c r="D568" s="278" t="s">
        <v>631</v>
      </c>
      <c r="E568" s="278" t="s">
        <v>632</v>
      </c>
      <c r="F568" s="278" t="s">
        <v>63</v>
      </c>
      <c r="G568" s="278" t="s">
        <v>141</v>
      </c>
      <c r="H568" s="280">
        <v>565</v>
      </c>
      <c r="I568" s="283"/>
      <c r="J568" s="284" t="str">
        <f>+$J$354</f>
        <v>Indicare se l'impianto di potabilizzazione è dotato di sistema di rimozione dei trialometani.</v>
      </c>
    </row>
    <row r="569" s="267" customFormat="1" ht="10.5" hidden="1" spans="1:10">
      <c r="A569" s="278" t="s">
        <v>775</v>
      </c>
      <c r="B569" s="278" t="s">
        <v>776</v>
      </c>
      <c r="C569" s="279">
        <v>56600</v>
      </c>
      <c r="D569" s="278" t="s">
        <v>634</v>
      </c>
      <c r="E569" s="278" t="s">
        <v>635</v>
      </c>
      <c r="F569" s="278" t="s">
        <v>112</v>
      </c>
      <c r="G569" s="278" t="s">
        <v>113</v>
      </c>
      <c r="H569" s="280">
        <v>566</v>
      </c>
      <c r="I569" s="283"/>
      <c r="J569" s="284" t="str">
        <f>+$J$355</f>
        <v>Indicare se l'impianto di potabilizzazione è dotato di sistema di rimozione degli organoalogenati.</v>
      </c>
    </row>
    <row r="570" s="267" customFormat="1" ht="21" hidden="1" spans="1:10">
      <c r="A570" s="278" t="s">
        <v>775</v>
      </c>
      <c r="B570" s="278" t="s">
        <v>776</v>
      </c>
      <c r="C570" s="279">
        <v>56700</v>
      </c>
      <c r="D570" s="278" t="s">
        <v>136</v>
      </c>
      <c r="E570" s="278" t="s">
        <v>137</v>
      </c>
      <c r="F570" s="278" t="s">
        <v>112</v>
      </c>
      <c r="G570" s="278" t="s">
        <v>113</v>
      </c>
      <c r="H570" s="280">
        <v>567</v>
      </c>
      <c r="I570" s="283" t="s">
        <v>65</v>
      </c>
      <c r="J570" s="284" t="str">
        <f>+$J$22</f>
        <v>Indicare se l'utilizzo previsto per l'opera di presa è: CONTINUO (sempre funzionante), PERIODICO (per es. stagionale), OCCASIONALE (per es. in casi di emergenza).</v>
      </c>
    </row>
    <row r="571" s="267" customFormat="1" ht="52.5" hidden="1" spans="1:10">
      <c r="A571" s="278" t="s">
        <v>775</v>
      </c>
      <c r="B571" s="278" t="s">
        <v>776</v>
      </c>
      <c r="C571" s="279">
        <v>56800</v>
      </c>
      <c r="D571" s="278" t="s">
        <v>401</v>
      </c>
      <c r="E571" s="278" t="s">
        <v>401</v>
      </c>
      <c r="F571" s="278" t="s">
        <v>303</v>
      </c>
      <c r="G571" s="278" t="s">
        <v>637</v>
      </c>
      <c r="H571" s="280">
        <v>568</v>
      </c>
      <c r="I571" s="283"/>
      <c r="J571" s="284"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572" s="267" customFormat="1" ht="21" hidden="1" spans="1:10">
      <c r="A572" s="278" t="s">
        <v>775</v>
      </c>
      <c r="B572" s="278" t="s">
        <v>776</v>
      </c>
      <c r="C572" s="279">
        <v>56900</v>
      </c>
      <c r="D572" s="278" t="s">
        <v>130</v>
      </c>
      <c r="E572" s="278" t="s">
        <v>639</v>
      </c>
      <c r="F572" s="278" t="s">
        <v>130</v>
      </c>
      <c r="G572" s="278" t="s">
        <v>131</v>
      </c>
      <c r="H572" s="280">
        <v>569</v>
      </c>
      <c r="I572" s="283"/>
      <c r="J572" s="284" t="str">
        <f>+$J$358</f>
        <v>Indice di confidenza del dato: indica il grado di affidabilità della specifica informazione secondo la scala di qualità del dato definita in tabella. VEDI TABELLA</v>
      </c>
    </row>
    <row r="573" s="267" customFormat="1" ht="21" hidden="1" spans="1:10">
      <c r="A573" s="278" t="s">
        <v>775</v>
      </c>
      <c r="B573" s="278" t="s">
        <v>776</v>
      </c>
      <c r="C573" s="279">
        <v>57000</v>
      </c>
      <c r="D573" s="278" t="s">
        <v>399</v>
      </c>
      <c r="E573" s="278" t="s">
        <v>399</v>
      </c>
      <c r="F573" s="278" t="s">
        <v>562</v>
      </c>
      <c r="G573" s="278" t="s">
        <v>563</v>
      </c>
      <c r="H573" s="280">
        <v>570</v>
      </c>
      <c r="I573" s="283"/>
      <c r="J573" s="284" t="str">
        <f>+$J$360</f>
        <v>Indice di confidenza del dato: indica il grado di affidabilità della specifica informazione secondo la scala di qualità del dato definita in tabella. VEDI TABELLA</v>
      </c>
    </row>
    <row r="574" s="267" customFormat="1" ht="21" hidden="1" spans="1:10">
      <c r="A574" s="278" t="s">
        <v>775</v>
      </c>
      <c r="B574" s="278" t="s">
        <v>776</v>
      </c>
      <c r="C574" s="279">
        <v>57100</v>
      </c>
      <c r="D574" s="278" t="s">
        <v>645</v>
      </c>
      <c r="E574" s="278" t="s">
        <v>646</v>
      </c>
      <c r="F574" s="278" t="s">
        <v>58</v>
      </c>
      <c r="G574" s="278" t="s">
        <v>220</v>
      </c>
      <c r="H574" s="280">
        <v>571</v>
      </c>
      <c r="I574" s="283"/>
      <c r="J574" s="284" t="str">
        <f>+$J$47</f>
        <v>Indice di confidenza del dato: indica il grado di affidabilità della specifica informazione secondo la scala di qualità del dato definita in tabella. VEDI TABELLA</v>
      </c>
    </row>
    <row r="575" s="267" customFormat="1" ht="21" hidden="1" spans="1:10">
      <c r="A575" s="278" t="s">
        <v>775</v>
      </c>
      <c r="B575" s="278" t="s">
        <v>776</v>
      </c>
      <c r="C575" s="279">
        <v>57200</v>
      </c>
      <c r="D575" s="278" t="s">
        <v>647</v>
      </c>
      <c r="E575" s="278" t="s">
        <v>648</v>
      </c>
      <c r="F575" s="278" t="s">
        <v>58</v>
      </c>
      <c r="G575" s="278" t="s">
        <v>220</v>
      </c>
      <c r="H575" s="280">
        <v>572</v>
      </c>
      <c r="I575" s="283"/>
      <c r="J575" s="284" t="str">
        <f>+$J$47</f>
        <v>Indice di confidenza del dato: indica il grado di affidabilità della specifica informazione secondo la scala di qualità del dato definita in tabella. VEDI TABELLA</v>
      </c>
    </row>
    <row r="576" s="267" customFormat="1" ht="21" hidden="1" spans="1:10">
      <c r="A576" s="278" t="s">
        <v>775</v>
      </c>
      <c r="B576" s="278" t="s">
        <v>776</v>
      </c>
      <c r="C576" s="279">
        <v>57300</v>
      </c>
      <c r="D576" s="278" t="s">
        <v>649</v>
      </c>
      <c r="E576" s="278" t="s">
        <v>650</v>
      </c>
      <c r="F576" s="278" t="s">
        <v>58</v>
      </c>
      <c r="G576" s="278" t="s">
        <v>220</v>
      </c>
      <c r="H576" s="280">
        <v>573</v>
      </c>
      <c r="I576" s="283"/>
      <c r="J576" s="284" t="str">
        <f>+$J$47</f>
        <v>Indice di confidenza del dato: indica il grado di affidabilità della specifica informazione secondo la scala di qualità del dato definita in tabella. VEDI TABELLA</v>
      </c>
    </row>
    <row r="577" s="267" customFormat="1" ht="21" hidden="1" spans="1:10">
      <c r="A577" s="278" t="s">
        <v>775</v>
      </c>
      <c r="B577" s="278" t="s">
        <v>776</v>
      </c>
      <c r="C577" s="279">
        <v>57400</v>
      </c>
      <c r="D577" s="278" t="s">
        <v>651</v>
      </c>
      <c r="E577" s="278" t="s">
        <v>652</v>
      </c>
      <c r="F577" s="278" t="s">
        <v>58</v>
      </c>
      <c r="G577" s="278" t="s">
        <v>220</v>
      </c>
      <c r="H577" s="280">
        <v>574</v>
      </c>
      <c r="I577" s="283"/>
      <c r="J577" s="284" t="str">
        <f>+$J$47</f>
        <v>Indice di confidenza del dato: indica il grado di affidabilità della specifica informazione secondo la scala di qualità del dato definita in tabella. VEDI TABELLA</v>
      </c>
    </row>
    <row r="578" s="267" customFormat="1" ht="21" hidden="1" spans="1:10">
      <c r="A578" s="278" t="s">
        <v>775</v>
      </c>
      <c r="B578" s="278" t="s">
        <v>776</v>
      </c>
      <c r="C578" s="285">
        <v>101000</v>
      </c>
      <c r="D578" s="283" t="s">
        <v>777</v>
      </c>
      <c r="E578" s="283" t="s">
        <v>778</v>
      </c>
      <c r="F578" s="286" t="s">
        <v>125</v>
      </c>
      <c r="G578" s="286" t="s">
        <v>126</v>
      </c>
      <c r="H578" s="280">
        <v>1010</v>
      </c>
      <c r="I578" s="283" t="s">
        <v>65</v>
      </c>
      <c r="J578" s="284" t="s">
        <v>779</v>
      </c>
    </row>
    <row r="579" ht="21" hidden="1" spans="1:10">
      <c r="A579" s="273" t="s">
        <v>780</v>
      </c>
      <c r="B579" s="273" t="s">
        <v>781</v>
      </c>
      <c r="C579" s="274">
        <v>57700</v>
      </c>
      <c r="D579" s="273" t="s">
        <v>56</v>
      </c>
      <c r="E579" s="273" t="s">
        <v>57</v>
      </c>
      <c r="F579" s="273" t="s">
        <v>58</v>
      </c>
      <c r="G579" s="273" t="s">
        <v>59</v>
      </c>
      <c r="H579" s="275">
        <v>577</v>
      </c>
      <c r="I579" s="275"/>
      <c r="J579" s="270" t="s">
        <v>655</v>
      </c>
    </row>
    <row r="580" ht="21" hidden="1" spans="1:10">
      <c r="A580" s="273" t="s">
        <v>780</v>
      </c>
      <c r="B580" s="273" t="s">
        <v>781</v>
      </c>
      <c r="C580" s="274">
        <v>57900</v>
      </c>
      <c r="D580" s="273" t="s">
        <v>99</v>
      </c>
      <c r="E580" s="273" t="s">
        <v>100</v>
      </c>
      <c r="F580" s="273" t="s">
        <v>101</v>
      </c>
      <c r="G580" s="273" t="s">
        <v>102</v>
      </c>
      <c r="H580" s="275">
        <v>579</v>
      </c>
      <c r="I580" s="275" t="s">
        <v>65</v>
      </c>
      <c r="J580" s="270" t="s">
        <v>656</v>
      </c>
    </row>
    <row r="581" hidden="1" spans="1:10">
      <c r="A581" s="273" t="s">
        <v>780</v>
      </c>
      <c r="B581" s="273" t="s">
        <v>781</v>
      </c>
      <c r="C581" s="274">
        <v>58000</v>
      </c>
      <c r="D581" s="273" t="s">
        <v>782</v>
      </c>
      <c r="E581" s="273" t="s">
        <v>783</v>
      </c>
      <c r="F581" s="273" t="s">
        <v>145</v>
      </c>
      <c r="G581" s="273" t="s">
        <v>146</v>
      </c>
      <c r="H581" s="275">
        <v>580</v>
      </c>
      <c r="I581" s="275" t="s">
        <v>65</v>
      </c>
      <c r="J581" s="270" t="s">
        <v>784</v>
      </c>
    </row>
    <row r="582" ht="21" hidden="1" spans="1:10">
      <c r="A582" s="273" t="s">
        <v>785</v>
      </c>
      <c r="B582" s="273" t="s">
        <v>786</v>
      </c>
      <c r="C582" s="274">
        <v>102700</v>
      </c>
      <c r="D582" s="273" t="s">
        <v>56</v>
      </c>
      <c r="E582" s="273" t="s">
        <v>57</v>
      </c>
      <c r="F582" s="273" t="s">
        <v>58</v>
      </c>
      <c r="G582" s="273" t="s">
        <v>59</v>
      </c>
      <c r="H582" s="275">
        <v>1028</v>
      </c>
      <c r="I582" s="275"/>
      <c r="J582" s="270" t="s">
        <v>655</v>
      </c>
    </row>
    <row r="583" ht="21" hidden="1" spans="1:10">
      <c r="A583" s="273" t="s">
        <v>785</v>
      </c>
      <c r="B583" s="273" t="s">
        <v>786</v>
      </c>
      <c r="C583" s="274">
        <v>102900</v>
      </c>
      <c r="D583" s="273" t="s">
        <v>787</v>
      </c>
      <c r="E583" s="273" t="s">
        <v>97</v>
      </c>
      <c r="F583" s="273" t="s">
        <v>58</v>
      </c>
      <c r="G583" s="273" t="s">
        <v>59</v>
      </c>
      <c r="H583" s="275">
        <v>1030</v>
      </c>
      <c r="I583" s="275"/>
      <c r="J583" s="270" t="s">
        <v>788</v>
      </c>
    </row>
    <row r="584" hidden="1" spans="1:10">
      <c r="A584" s="273" t="s">
        <v>785</v>
      </c>
      <c r="B584" s="273" t="s">
        <v>786</v>
      </c>
      <c r="C584" s="274">
        <v>103000</v>
      </c>
      <c r="D584" s="273" t="s">
        <v>782</v>
      </c>
      <c r="E584" s="273" t="s">
        <v>783</v>
      </c>
      <c r="F584" s="273" t="s">
        <v>145</v>
      </c>
      <c r="G584" s="273" t="s">
        <v>146</v>
      </c>
      <c r="H584" s="275">
        <v>1031</v>
      </c>
      <c r="I584" s="275"/>
      <c r="J584" s="270" t="s">
        <v>789</v>
      </c>
    </row>
    <row r="585" ht="21" hidden="1" spans="1:10">
      <c r="A585" s="273" t="s">
        <v>790</v>
      </c>
      <c r="B585" s="273" t="s">
        <v>791</v>
      </c>
      <c r="C585" s="274">
        <v>59300</v>
      </c>
      <c r="D585" s="273" t="s">
        <v>56</v>
      </c>
      <c r="E585" s="273" t="s">
        <v>57</v>
      </c>
      <c r="F585" s="273" t="s">
        <v>58</v>
      </c>
      <c r="G585" s="273" t="s">
        <v>59</v>
      </c>
      <c r="H585" s="275">
        <v>593</v>
      </c>
      <c r="I585" s="275"/>
      <c r="J585" s="270" t="s">
        <v>60</v>
      </c>
    </row>
    <row r="586" ht="84" hidden="1" spans="1:10">
      <c r="A586" s="273" t="s">
        <v>790</v>
      </c>
      <c r="B586" s="273" t="s">
        <v>791</v>
      </c>
      <c r="C586" s="274">
        <v>59500</v>
      </c>
      <c r="D586" s="273" t="s">
        <v>61</v>
      </c>
      <c r="E586" s="273" t="s">
        <v>62</v>
      </c>
      <c r="F586" s="273" t="s">
        <v>63</v>
      </c>
      <c r="G586" s="273" t="s">
        <v>64</v>
      </c>
      <c r="H586" s="275">
        <v>595</v>
      </c>
      <c r="I586" s="275" t="s">
        <v>65</v>
      </c>
      <c r="J586" s="270" t="s">
        <v>792</v>
      </c>
    </row>
    <row r="587" ht="21" hidden="1" spans="1:10">
      <c r="A587" s="273" t="s">
        <v>790</v>
      </c>
      <c r="B587" s="273" t="s">
        <v>791</v>
      </c>
      <c r="C587" s="274">
        <v>59600</v>
      </c>
      <c r="D587" s="273" t="s">
        <v>67</v>
      </c>
      <c r="E587" s="273" t="s">
        <v>793</v>
      </c>
      <c r="F587" s="273" t="s">
        <v>63</v>
      </c>
      <c r="G587" s="273" t="s">
        <v>69</v>
      </c>
      <c r="H587" s="275">
        <v>596</v>
      </c>
      <c r="I587" s="275"/>
      <c r="J587" s="270" t="s">
        <v>70</v>
      </c>
    </row>
    <row r="588" ht="31.5" hidden="1" spans="1:10">
      <c r="A588" s="273" t="s">
        <v>790</v>
      </c>
      <c r="B588" s="273" t="s">
        <v>791</v>
      </c>
      <c r="C588" s="274">
        <v>59700</v>
      </c>
      <c r="D588" s="273" t="s">
        <v>560</v>
      </c>
      <c r="E588" s="273" t="s">
        <v>561</v>
      </c>
      <c r="F588" s="273" t="s">
        <v>562</v>
      </c>
      <c r="G588" s="273" t="s">
        <v>563</v>
      </c>
      <c r="H588" s="275">
        <v>597</v>
      </c>
      <c r="I588" s="275" t="s">
        <v>65</v>
      </c>
      <c r="J588" s="270" t="s">
        <v>794</v>
      </c>
    </row>
    <row r="589" hidden="1" spans="1:10">
      <c r="A589" s="273" t="s">
        <v>790</v>
      </c>
      <c r="B589" s="273" t="s">
        <v>791</v>
      </c>
      <c r="C589" s="274">
        <v>101100</v>
      </c>
      <c r="D589" s="273" t="s">
        <v>795</v>
      </c>
      <c r="E589" s="273" t="s">
        <v>796</v>
      </c>
      <c r="F589" s="273" t="s">
        <v>562</v>
      </c>
      <c r="G589" s="273" t="s">
        <v>563</v>
      </c>
      <c r="H589" s="275">
        <v>1011</v>
      </c>
      <c r="I589" s="275" t="s">
        <v>65</v>
      </c>
      <c r="J589" s="270" t="s">
        <v>797</v>
      </c>
    </row>
    <row r="590" ht="31.5" hidden="1" spans="1:10">
      <c r="A590" s="273" t="s">
        <v>790</v>
      </c>
      <c r="B590" s="273" t="s">
        <v>791</v>
      </c>
      <c r="C590" s="274">
        <v>101600</v>
      </c>
      <c r="D590" s="273" t="s">
        <v>745</v>
      </c>
      <c r="E590" s="273" t="s">
        <v>746</v>
      </c>
      <c r="F590" s="273" t="s">
        <v>81</v>
      </c>
      <c r="G590" s="273" t="s">
        <v>82</v>
      </c>
      <c r="H590" s="275">
        <v>1016</v>
      </c>
      <c r="I590" s="275" t="s">
        <v>65</v>
      </c>
      <c r="J590" s="270" t="s">
        <v>747</v>
      </c>
    </row>
    <row r="591" ht="21" hidden="1" spans="1:10">
      <c r="A591" s="273" t="s">
        <v>790</v>
      </c>
      <c r="B591" s="273" t="s">
        <v>791</v>
      </c>
      <c r="C591" s="274">
        <v>117000</v>
      </c>
      <c r="D591" s="273" t="s">
        <v>798</v>
      </c>
      <c r="E591" s="273" t="s">
        <v>799</v>
      </c>
      <c r="F591" s="273" t="s">
        <v>562</v>
      </c>
      <c r="G591" s="273" t="s">
        <v>563</v>
      </c>
      <c r="H591" s="275">
        <v>1283</v>
      </c>
      <c r="I591" s="275"/>
      <c r="J591" s="270" t="s">
        <v>800</v>
      </c>
    </row>
    <row r="592" ht="21" hidden="1" spans="1:10">
      <c r="A592" s="273" t="s">
        <v>790</v>
      </c>
      <c r="B592" s="273" t="s">
        <v>791</v>
      </c>
      <c r="C592" s="274">
        <v>117100</v>
      </c>
      <c r="D592" s="273" t="s">
        <v>801</v>
      </c>
      <c r="E592" s="273" t="s">
        <v>802</v>
      </c>
      <c r="F592" s="273" t="s">
        <v>562</v>
      </c>
      <c r="G592" s="273" t="s">
        <v>563</v>
      </c>
      <c r="H592" s="275">
        <v>1284</v>
      </c>
      <c r="I592" s="275"/>
      <c r="J592" s="270" t="s">
        <v>803</v>
      </c>
    </row>
    <row r="593" hidden="1" spans="1:10">
      <c r="A593" s="273" t="s">
        <v>790</v>
      </c>
      <c r="B593" s="273" t="s">
        <v>791</v>
      </c>
      <c r="C593" s="274">
        <v>101500</v>
      </c>
      <c r="D593" s="273" t="s">
        <v>573</v>
      </c>
      <c r="E593" s="273" t="s">
        <v>574</v>
      </c>
      <c r="F593" s="273" t="s">
        <v>155</v>
      </c>
      <c r="G593" s="273" t="s">
        <v>156</v>
      </c>
      <c r="H593" s="275">
        <v>1015</v>
      </c>
      <c r="I593" s="275" t="s">
        <v>65</v>
      </c>
      <c r="J593" s="270" t="s">
        <v>804</v>
      </c>
    </row>
    <row r="594" hidden="1" spans="1:10">
      <c r="A594" s="273" t="s">
        <v>790</v>
      </c>
      <c r="B594" s="273" t="s">
        <v>791</v>
      </c>
      <c r="C594" s="274">
        <v>117200</v>
      </c>
      <c r="D594" s="273" t="s">
        <v>805</v>
      </c>
      <c r="E594" s="273" t="s">
        <v>806</v>
      </c>
      <c r="F594" s="273" t="s">
        <v>81</v>
      </c>
      <c r="G594" s="273" t="s">
        <v>82</v>
      </c>
      <c r="H594" s="275">
        <v>1285</v>
      </c>
      <c r="I594" s="275"/>
      <c r="J594" s="281" t="s">
        <v>807</v>
      </c>
    </row>
    <row r="595" ht="21" hidden="1" spans="1:10">
      <c r="A595" s="273" t="s">
        <v>790</v>
      </c>
      <c r="B595" s="273" t="s">
        <v>791</v>
      </c>
      <c r="C595" s="274">
        <v>59800</v>
      </c>
      <c r="D595" s="273" t="s">
        <v>808</v>
      </c>
      <c r="E595" s="273" t="s">
        <v>809</v>
      </c>
      <c r="F595" s="273" t="s">
        <v>81</v>
      </c>
      <c r="G595" s="273" t="s">
        <v>82</v>
      </c>
      <c r="H595" s="275">
        <v>598</v>
      </c>
      <c r="I595" s="275"/>
      <c r="J595" s="281" t="s">
        <v>810</v>
      </c>
    </row>
    <row r="596" ht="21" hidden="1" spans="1:10">
      <c r="A596" s="273" t="s">
        <v>790</v>
      </c>
      <c r="B596" s="273" t="s">
        <v>791</v>
      </c>
      <c r="C596" s="274">
        <v>59900</v>
      </c>
      <c r="D596" s="273" t="s">
        <v>811</v>
      </c>
      <c r="E596" s="273" t="s">
        <v>812</v>
      </c>
      <c r="F596" s="273" t="s">
        <v>155</v>
      </c>
      <c r="G596" s="273" t="s">
        <v>156</v>
      </c>
      <c r="H596" s="275">
        <v>599</v>
      </c>
      <c r="I596" s="275"/>
      <c r="J596" s="270" t="s">
        <v>813</v>
      </c>
    </row>
    <row r="597" hidden="1" spans="1:10">
      <c r="A597" s="273" t="s">
        <v>790</v>
      </c>
      <c r="B597" s="273" t="s">
        <v>791</v>
      </c>
      <c r="C597" s="274">
        <v>60000</v>
      </c>
      <c r="D597" s="273" t="s">
        <v>814</v>
      </c>
      <c r="E597" s="273" t="s">
        <v>815</v>
      </c>
      <c r="F597" s="273" t="s">
        <v>81</v>
      </c>
      <c r="G597" s="273" t="s">
        <v>82</v>
      </c>
      <c r="H597" s="275">
        <v>600</v>
      </c>
      <c r="I597" s="275"/>
      <c r="J597" s="270" t="s">
        <v>816</v>
      </c>
    </row>
    <row r="598" ht="21" hidden="1" spans="1:10">
      <c r="A598" s="273" t="s">
        <v>790</v>
      </c>
      <c r="B598" s="273" t="s">
        <v>791</v>
      </c>
      <c r="C598" s="274">
        <v>60100</v>
      </c>
      <c r="D598" s="273" t="s">
        <v>817</v>
      </c>
      <c r="E598" s="273" t="s">
        <v>818</v>
      </c>
      <c r="F598" s="273" t="s">
        <v>81</v>
      </c>
      <c r="G598" s="273" t="s">
        <v>82</v>
      </c>
      <c r="H598" s="275">
        <v>601</v>
      </c>
      <c r="I598" s="275"/>
      <c r="J598" s="270" t="s">
        <v>819</v>
      </c>
    </row>
    <row r="599" ht="21" hidden="1" spans="1:10">
      <c r="A599" s="273" t="s">
        <v>790</v>
      </c>
      <c r="B599" s="273" t="s">
        <v>791</v>
      </c>
      <c r="C599" s="274">
        <v>60200</v>
      </c>
      <c r="D599" s="273" t="s">
        <v>820</v>
      </c>
      <c r="E599" s="273" t="s">
        <v>821</v>
      </c>
      <c r="F599" s="273" t="s">
        <v>562</v>
      </c>
      <c r="G599" s="273" t="s">
        <v>563</v>
      </c>
      <c r="H599" s="275">
        <v>602</v>
      </c>
      <c r="I599" s="275"/>
      <c r="J599" s="270" t="s">
        <v>822</v>
      </c>
    </row>
    <row r="600" hidden="1" spans="1:10">
      <c r="A600" s="273" t="s">
        <v>790</v>
      </c>
      <c r="B600" s="273" t="s">
        <v>791</v>
      </c>
      <c r="C600" s="274">
        <v>60300</v>
      </c>
      <c r="D600" s="273" t="s">
        <v>194</v>
      </c>
      <c r="E600" s="273" t="s">
        <v>195</v>
      </c>
      <c r="F600" s="273" t="s">
        <v>125</v>
      </c>
      <c r="G600" s="273" t="s">
        <v>126</v>
      </c>
      <c r="H600" s="275">
        <v>603</v>
      </c>
      <c r="I600" s="275"/>
      <c r="J600" s="270" t="s">
        <v>196</v>
      </c>
    </row>
    <row r="601" hidden="1" spans="1:10">
      <c r="A601" s="273" t="s">
        <v>790</v>
      </c>
      <c r="B601" s="273" t="s">
        <v>791</v>
      </c>
      <c r="C601" s="274">
        <v>101300</v>
      </c>
      <c r="D601" s="273" t="s">
        <v>823</v>
      </c>
      <c r="E601" s="273" t="s">
        <v>824</v>
      </c>
      <c r="F601" s="273" t="s">
        <v>125</v>
      </c>
      <c r="G601" s="273" t="s">
        <v>126</v>
      </c>
      <c r="H601" s="275">
        <v>1013</v>
      </c>
      <c r="I601" s="275" t="s">
        <v>65</v>
      </c>
      <c r="J601" s="270" t="s">
        <v>825</v>
      </c>
    </row>
    <row r="602" ht="21" hidden="1" spans="1:10">
      <c r="A602" s="273" t="s">
        <v>790</v>
      </c>
      <c r="B602" s="273" t="s">
        <v>791</v>
      </c>
      <c r="C602" s="274">
        <v>101400</v>
      </c>
      <c r="D602" s="273" t="s">
        <v>606</v>
      </c>
      <c r="E602" s="273" t="s">
        <v>607</v>
      </c>
      <c r="F602" s="273" t="s">
        <v>81</v>
      </c>
      <c r="G602" s="273" t="s">
        <v>82</v>
      </c>
      <c r="H602" s="275">
        <v>1014</v>
      </c>
      <c r="I602" s="275" t="s">
        <v>65</v>
      </c>
      <c r="J602" s="270" t="s">
        <v>750</v>
      </c>
    </row>
    <row r="603" ht="63" hidden="1" spans="1:10">
      <c r="A603" s="273" t="s">
        <v>790</v>
      </c>
      <c r="B603" s="273" t="s">
        <v>791</v>
      </c>
      <c r="C603" s="274">
        <v>60400</v>
      </c>
      <c r="D603" s="273" t="s">
        <v>191</v>
      </c>
      <c r="E603" s="273" t="s">
        <v>192</v>
      </c>
      <c r="F603" s="273" t="s">
        <v>112</v>
      </c>
      <c r="G603" s="273" t="s">
        <v>113</v>
      </c>
      <c r="H603" s="275">
        <v>604</v>
      </c>
      <c r="I603" s="275" t="s">
        <v>65</v>
      </c>
      <c r="J603" s="270" t="s">
        <v>193</v>
      </c>
    </row>
    <row r="604" ht="52.5" hidden="1" spans="1:10">
      <c r="A604" s="273" t="s">
        <v>790</v>
      </c>
      <c r="B604" s="273" t="s">
        <v>791</v>
      </c>
      <c r="C604" s="274">
        <v>60500</v>
      </c>
      <c r="D604" s="273" t="s">
        <v>215</v>
      </c>
      <c r="E604" s="273" t="s">
        <v>216</v>
      </c>
      <c r="F604" s="273" t="s">
        <v>112</v>
      </c>
      <c r="G604" s="273" t="s">
        <v>113</v>
      </c>
      <c r="H604" s="275">
        <v>605</v>
      </c>
      <c r="I604" s="275" t="s">
        <v>65</v>
      </c>
      <c r="J604" s="270" t="s">
        <v>217</v>
      </c>
    </row>
    <row r="605" ht="21" hidden="1" spans="1:10">
      <c r="A605" s="273" t="s">
        <v>790</v>
      </c>
      <c r="B605" s="273" t="s">
        <v>791</v>
      </c>
      <c r="C605" s="274">
        <v>60600</v>
      </c>
      <c r="D605" s="273" t="s">
        <v>614</v>
      </c>
      <c r="E605" s="273" t="s">
        <v>615</v>
      </c>
      <c r="F605" s="273" t="s">
        <v>58</v>
      </c>
      <c r="G605" s="273" t="s">
        <v>220</v>
      </c>
      <c r="H605" s="275">
        <v>606</v>
      </c>
      <c r="I605" s="275"/>
      <c r="J605" s="270" t="s">
        <v>221</v>
      </c>
    </row>
    <row r="606" ht="21" hidden="1" spans="1:10">
      <c r="A606" s="273" t="s">
        <v>790</v>
      </c>
      <c r="B606" s="273" t="s">
        <v>791</v>
      </c>
      <c r="C606" s="274">
        <v>60800</v>
      </c>
      <c r="D606" s="273" t="s">
        <v>826</v>
      </c>
      <c r="E606" s="273" t="s">
        <v>827</v>
      </c>
      <c r="F606" s="273" t="s">
        <v>58</v>
      </c>
      <c r="G606" s="273" t="s">
        <v>220</v>
      </c>
      <c r="H606" s="275">
        <v>608</v>
      </c>
      <c r="I606" s="275"/>
      <c r="J606" s="270" t="s">
        <v>221</v>
      </c>
    </row>
    <row r="607" ht="21" hidden="1" spans="1:10">
      <c r="A607" s="273" t="s">
        <v>790</v>
      </c>
      <c r="B607" s="273" t="s">
        <v>791</v>
      </c>
      <c r="C607" s="274">
        <v>101200</v>
      </c>
      <c r="D607" s="273" t="s">
        <v>828</v>
      </c>
      <c r="E607" s="273" t="s">
        <v>829</v>
      </c>
      <c r="F607" s="273" t="s">
        <v>58</v>
      </c>
      <c r="G607" s="273" t="s">
        <v>220</v>
      </c>
      <c r="H607" s="275">
        <v>1012</v>
      </c>
      <c r="I607" s="275"/>
      <c r="J607" s="270" t="s">
        <v>221</v>
      </c>
    </row>
    <row r="608" ht="21" hidden="1" spans="1:10">
      <c r="A608" s="273" t="s">
        <v>790</v>
      </c>
      <c r="B608" s="273" t="s">
        <v>791</v>
      </c>
      <c r="C608" s="274">
        <v>119100</v>
      </c>
      <c r="D608" s="273" t="s">
        <v>830</v>
      </c>
      <c r="E608" s="273" t="s">
        <v>831</v>
      </c>
      <c r="F608" s="273" t="s">
        <v>58</v>
      </c>
      <c r="G608" s="273" t="s">
        <v>220</v>
      </c>
      <c r="H608" s="275">
        <v>1305</v>
      </c>
      <c r="I608" s="275"/>
      <c r="J608" s="270" t="s">
        <v>221</v>
      </c>
    </row>
    <row r="609" ht="21" hidden="1" spans="1:10">
      <c r="A609" s="273" t="s">
        <v>790</v>
      </c>
      <c r="B609" s="273" t="s">
        <v>791</v>
      </c>
      <c r="C609" s="274">
        <v>119200</v>
      </c>
      <c r="D609" s="273" t="s">
        <v>832</v>
      </c>
      <c r="E609" s="273" t="s">
        <v>833</v>
      </c>
      <c r="F609" s="273" t="s">
        <v>58</v>
      </c>
      <c r="G609" s="273" t="s">
        <v>220</v>
      </c>
      <c r="H609" s="275">
        <v>1306</v>
      </c>
      <c r="I609" s="275"/>
      <c r="J609" s="270" t="s">
        <v>221</v>
      </c>
    </row>
    <row r="610" hidden="1" spans="1:10">
      <c r="A610" s="273" t="s">
        <v>790</v>
      </c>
      <c r="B610" s="273" t="s">
        <v>791</v>
      </c>
      <c r="C610" s="274">
        <v>60900</v>
      </c>
      <c r="D610" s="273" t="s">
        <v>238</v>
      </c>
      <c r="E610" s="273" t="s">
        <v>239</v>
      </c>
      <c r="F610" s="273" t="s">
        <v>240</v>
      </c>
      <c r="G610" s="273" t="s">
        <v>241</v>
      </c>
      <c r="H610" s="275">
        <v>609</v>
      </c>
      <c r="I610" s="275"/>
      <c r="J610" s="270" t="s">
        <v>4</v>
      </c>
    </row>
    <row r="611" s="267" customFormat="1" ht="10.5" hidden="1" spans="1:10">
      <c r="A611" s="278" t="s">
        <v>834</v>
      </c>
      <c r="B611" s="278" t="s">
        <v>835</v>
      </c>
      <c r="C611" s="279">
        <v>61200</v>
      </c>
      <c r="D611" s="278" t="s">
        <v>56</v>
      </c>
      <c r="E611" s="278" t="s">
        <v>57</v>
      </c>
      <c r="F611" s="278" t="s">
        <v>58</v>
      </c>
      <c r="G611" s="278" t="s">
        <v>59</v>
      </c>
      <c r="H611" s="280">
        <v>612</v>
      </c>
      <c r="I611" s="283"/>
      <c r="J611" s="284" t="str">
        <f>+$J$353</f>
        <v>Indicare se l'impianto di potabilizzazione è dotato di sistema di rimozione dei metalli pesanti.</v>
      </c>
    </row>
    <row r="612" s="267" customFormat="1" ht="10.5" hidden="1" spans="1:10">
      <c r="A612" s="278" t="s">
        <v>834</v>
      </c>
      <c r="B612" s="278" t="s">
        <v>835</v>
      </c>
      <c r="C612" s="279">
        <v>61400</v>
      </c>
      <c r="D612" s="278" t="s">
        <v>631</v>
      </c>
      <c r="E612" s="278" t="s">
        <v>632</v>
      </c>
      <c r="F612" s="278" t="s">
        <v>63</v>
      </c>
      <c r="G612" s="278" t="s">
        <v>141</v>
      </c>
      <c r="H612" s="280">
        <v>614</v>
      </c>
      <c r="I612" s="283"/>
      <c r="J612" s="284" t="str">
        <f>+$J$354</f>
        <v>Indicare se l'impianto di potabilizzazione è dotato di sistema di rimozione dei trialometani.</v>
      </c>
    </row>
    <row r="613" s="267" customFormat="1" ht="10.5" hidden="1" spans="1:10">
      <c r="A613" s="278" t="s">
        <v>834</v>
      </c>
      <c r="B613" s="278" t="s">
        <v>835</v>
      </c>
      <c r="C613" s="279">
        <v>61500</v>
      </c>
      <c r="D613" s="278" t="s">
        <v>634</v>
      </c>
      <c r="E613" s="278" t="s">
        <v>635</v>
      </c>
      <c r="F613" s="278" t="s">
        <v>112</v>
      </c>
      <c r="G613" s="278" t="s">
        <v>113</v>
      </c>
      <c r="H613" s="280">
        <v>615</v>
      </c>
      <c r="I613" s="283"/>
      <c r="J613" s="284" t="str">
        <f>+$J$355</f>
        <v>Indicare se l'impianto di potabilizzazione è dotato di sistema di rimozione degli organoalogenati.</v>
      </c>
    </row>
    <row r="614" s="267" customFormat="1" ht="21" hidden="1" spans="1:10">
      <c r="A614" s="278" t="s">
        <v>834</v>
      </c>
      <c r="B614" s="278" t="s">
        <v>835</v>
      </c>
      <c r="C614" s="279">
        <v>61600</v>
      </c>
      <c r="D614" s="278" t="s">
        <v>136</v>
      </c>
      <c r="E614" s="278" t="s">
        <v>137</v>
      </c>
      <c r="F614" s="278" t="s">
        <v>112</v>
      </c>
      <c r="G614" s="278" t="s">
        <v>113</v>
      </c>
      <c r="H614" s="280">
        <v>616</v>
      </c>
      <c r="I614" s="283" t="s">
        <v>65</v>
      </c>
      <c r="J614" s="287" t="str">
        <f>+$J$22</f>
        <v>Indicare se l'utilizzo previsto per l'opera di presa è: CONTINUO (sempre funzionante), PERIODICO (per es. stagionale), OCCASIONALE (per es. in casi di emergenza).</v>
      </c>
    </row>
    <row r="615" s="267" customFormat="1" ht="52.5" hidden="1" spans="1:10">
      <c r="A615" s="278" t="s">
        <v>834</v>
      </c>
      <c r="B615" s="278" t="s">
        <v>835</v>
      </c>
      <c r="C615" s="279">
        <v>61700</v>
      </c>
      <c r="D615" s="278" t="s">
        <v>401</v>
      </c>
      <c r="E615" s="278" t="s">
        <v>401</v>
      </c>
      <c r="F615" s="278" t="s">
        <v>303</v>
      </c>
      <c r="G615" s="278" t="s">
        <v>836</v>
      </c>
      <c r="H615" s="280">
        <v>617</v>
      </c>
      <c r="I615" s="283"/>
      <c r="J615" s="284"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616" s="267" customFormat="1" ht="21" hidden="1" spans="1:10">
      <c r="A616" s="278" t="s">
        <v>834</v>
      </c>
      <c r="B616" s="278" t="s">
        <v>835</v>
      </c>
      <c r="C616" s="279">
        <v>61800</v>
      </c>
      <c r="D616" s="278" t="s">
        <v>130</v>
      </c>
      <c r="E616" s="278" t="s">
        <v>639</v>
      </c>
      <c r="F616" s="278" t="s">
        <v>130</v>
      </c>
      <c r="G616" s="278" t="s">
        <v>131</v>
      </c>
      <c r="H616" s="280">
        <v>618</v>
      </c>
      <c r="I616" s="283"/>
      <c r="J616" s="284" t="str">
        <f>+$J$358</f>
        <v>Indice di confidenza del dato: indica il grado di affidabilità della specifica informazione secondo la scala di qualità del dato definita in tabella. VEDI TABELLA</v>
      </c>
    </row>
    <row r="617" s="267" customFormat="1" ht="21" hidden="1" spans="1:10">
      <c r="A617" s="278" t="s">
        <v>834</v>
      </c>
      <c r="B617" s="278" t="s">
        <v>835</v>
      </c>
      <c r="C617" s="279">
        <v>61900</v>
      </c>
      <c r="D617" s="278" t="s">
        <v>837</v>
      </c>
      <c r="E617" s="278" t="s">
        <v>838</v>
      </c>
      <c r="F617" s="278" t="s">
        <v>112</v>
      </c>
      <c r="G617" s="278" t="s">
        <v>113</v>
      </c>
      <c r="H617" s="280">
        <v>619</v>
      </c>
      <c r="I617" s="283" t="s">
        <v>65</v>
      </c>
      <c r="J617" s="284" t="s">
        <v>839</v>
      </c>
    </row>
    <row r="618" s="267" customFormat="1" ht="21" hidden="1" spans="1:10">
      <c r="A618" s="278" t="s">
        <v>834</v>
      </c>
      <c r="B618" s="278" t="s">
        <v>835</v>
      </c>
      <c r="C618" s="279">
        <v>62000</v>
      </c>
      <c r="D618" s="278" t="s">
        <v>399</v>
      </c>
      <c r="E618" s="278" t="s">
        <v>399</v>
      </c>
      <c r="F618" s="278" t="s">
        <v>562</v>
      </c>
      <c r="G618" s="278" t="s">
        <v>563</v>
      </c>
      <c r="H618" s="280">
        <v>620</v>
      </c>
      <c r="I618" s="283"/>
      <c r="J618" s="284" t="str">
        <f>+$J$360</f>
        <v>Indice di confidenza del dato: indica il grado di affidabilità della specifica informazione secondo la scala di qualità del dato definita in tabella. VEDI TABELLA</v>
      </c>
    </row>
    <row r="619" s="267" customFormat="1" ht="21" hidden="1" spans="1:10">
      <c r="A619" s="278" t="s">
        <v>834</v>
      </c>
      <c r="B619" s="278" t="s">
        <v>835</v>
      </c>
      <c r="C619" s="279">
        <v>62100</v>
      </c>
      <c r="D619" s="278" t="s">
        <v>645</v>
      </c>
      <c r="E619" s="278" t="s">
        <v>646</v>
      </c>
      <c r="F619" s="278" t="s">
        <v>58</v>
      </c>
      <c r="G619" s="278" t="s">
        <v>220</v>
      </c>
      <c r="H619" s="280">
        <v>621</v>
      </c>
      <c r="I619" s="283"/>
      <c r="J619" s="287" t="str">
        <f>+$J$47</f>
        <v>Indice di confidenza del dato: indica il grado di affidabilità della specifica informazione secondo la scala di qualità del dato definita in tabella. VEDI TABELLA</v>
      </c>
    </row>
    <row r="620" s="267" customFormat="1" ht="21" hidden="1" spans="1:10">
      <c r="A620" s="278" t="s">
        <v>834</v>
      </c>
      <c r="B620" s="278" t="s">
        <v>835</v>
      </c>
      <c r="C620" s="279">
        <v>62200</v>
      </c>
      <c r="D620" s="278" t="s">
        <v>647</v>
      </c>
      <c r="E620" s="278" t="s">
        <v>648</v>
      </c>
      <c r="F620" s="278" t="s">
        <v>58</v>
      </c>
      <c r="G620" s="278" t="s">
        <v>220</v>
      </c>
      <c r="H620" s="280">
        <v>622</v>
      </c>
      <c r="I620" s="283"/>
      <c r="J620" s="287" t="str">
        <f>+$J$47</f>
        <v>Indice di confidenza del dato: indica il grado di affidabilità della specifica informazione secondo la scala di qualità del dato definita in tabella. VEDI TABELLA</v>
      </c>
    </row>
    <row r="621" s="267" customFormat="1" ht="21" hidden="1" spans="1:10">
      <c r="A621" s="278" t="s">
        <v>834</v>
      </c>
      <c r="B621" s="278" t="s">
        <v>835</v>
      </c>
      <c r="C621" s="279">
        <v>62300</v>
      </c>
      <c r="D621" s="278" t="s">
        <v>649</v>
      </c>
      <c r="E621" s="278" t="s">
        <v>650</v>
      </c>
      <c r="F621" s="278" t="s">
        <v>58</v>
      </c>
      <c r="G621" s="278" t="s">
        <v>220</v>
      </c>
      <c r="H621" s="280">
        <v>623</v>
      </c>
      <c r="I621" s="283"/>
      <c r="J621" s="287" t="str">
        <f>+$J$47</f>
        <v>Indice di confidenza del dato: indica il grado di affidabilità della specifica informazione secondo la scala di qualità del dato definita in tabella. VEDI TABELLA</v>
      </c>
    </row>
    <row r="622" s="267" customFormat="1" ht="21" hidden="1" spans="1:10">
      <c r="A622" s="278" t="s">
        <v>834</v>
      </c>
      <c r="B622" s="278" t="s">
        <v>835</v>
      </c>
      <c r="C622" s="279">
        <v>62400</v>
      </c>
      <c r="D622" s="278" t="s">
        <v>651</v>
      </c>
      <c r="E622" s="278" t="s">
        <v>652</v>
      </c>
      <c r="F622" s="278" t="s">
        <v>58</v>
      </c>
      <c r="G622" s="278" t="s">
        <v>220</v>
      </c>
      <c r="H622" s="280">
        <v>624</v>
      </c>
      <c r="I622" s="283"/>
      <c r="J622" s="287" t="str">
        <f>+$J$47</f>
        <v>Indice di confidenza del dato: indica il grado di affidabilità della specifica informazione secondo la scala di qualità del dato definita in tabella. VEDI TABELLA</v>
      </c>
    </row>
    <row r="623" s="267" customFormat="1" ht="21" hidden="1" spans="1:10">
      <c r="A623" s="278" t="s">
        <v>834</v>
      </c>
      <c r="B623" s="278" t="s">
        <v>835</v>
      </c>
      <c r="C623" s="285">
        <v>101700</v>
      </c>
      <c r="D623" s="278" t="s">
        <v>840</v>
      </c>
      <c r="E623" s="278" t="s">
        <v>841</v>
      </c>
      <c r="F623" s="278" t="s">
        <v>125</v>
      </c>
      <c r="G623" s="286" t="s">
        <v>126</v>
      </c>
      <c r="H623" s="280">
        <v>1017</v>
      </c>
      <c r="I623" s="283" t="s">
        <v>65</v>
      </c>
      <c r="J623" s="284" t="str">
        <f>+$J$621</f>
        <v>Indice di confidenza del dato: indica il grado di affidabilità della specifica informazione secondo la scala di qualità del dato definita in tabella. VEDI TABELLA</v>
      </c>
    </row>
    <row r="624" s="267" customFormat="1" ht="10.5" hidden="1" spans="1:10">
      <c r="A624" s="278" t="s">
        <v>834</v>
      </c>
      <c r="B624" s="278" t="s">
        <v>835</v>
      </c>
      <c r="C624" s="285">
        <v>101800</v>
      </c>
      <c r="D624" s="278" t="s">
        <v>842</v>
      </c>
      <c r="E624" s="283" t="s">
        <v>843</v>
      </c>
      <c r="F624" s="278" t="s">
        <v>125</v>
      </c>
      <c r="G624" s="286" t="s">
        <v>126</v>
      </c>
      <c r="H624" s="280">
        <v>1018</v>
      </c>
      <c r="I624" s="283" t="s">
        <v>65</v>
      </c>
      <c r="J624" s="284" t="str">
        <f>+$J$627</f>
        <v>Percentuale di popolazione servita sul totale dei residenti per ogni comune indicato.</v>
      </c>
    </row>
    <row r="625" ht="21" hidden="1" spans="1:10">
      <c r="A625" s="273" t="s">
        <v>844</v>
      </c>
      <c r="B625" s="273" t="s">
        <v>845</v>
      </c>
      <c r="C625" s="274">
        <v>62700</v>
      </c>
      <c r="D625" s="273" t="s">
        <v>56</v>
      </c>
      <c r="E625" s="273" t="s">
        <v>57</v>
      </c>
      <c r="F625" s="273" t="s">
        <v>58</v>
      </c>
      <c r="G625" s="273" t="s">
        <v>59</v>
      </c>
      <c r="H625" s="275">
        <v>627</v>
      </c>
      <c r="I625" s="275"/>
      <c r="J625" s="270" t="s">
        <v>655</v>
      </c>
    </row>
    <row r="626" ht="21" hidden="1" spans="1:10">
      <c r="A626" s="273" t="s">
        <v>844</v>
      </c>
      <c r="B626" s="273" t="s">
        <v>845</v>
      </c>
      <c r="C626" s="274">
        <v>62900</v>
      </c>
      <c r="D626" s="273" t="s">
        <v>99</v>
      </c>
      <c r="E626" s="273" t="s">
        <v>100</v>
      </c>
      <c r="F626" s="273" t="s">
        <v>101</v>
      </c>
      <c r="G626" s="273" t="s">
        <v>102</v>
      </c>
      <c r="H626" s="275">
        <v>629</v>
      </c>
      <c r="I626" s="275" t="s">
        <v>65</v>
      </c>
      <c r="J626" s="270" t="s">
        <v>656</v>
      </c>
    </row>
    <row r="627" hidden="1" spans="1:10">
      <c r="A627" s="273" t="s">
        <v>844</v>
      </c>
      <c r="B627" s="273" t="s">
        <v>845</v>
      </c>
      <c r="C627" s="274">
        <v>63000</v>
      </c>
      <c r="D627" s="273" t="s">
        <v>782</v>
      </c>
      <c r="E627" s="273" t="s">
        <v>783</v>
      </c>
      <c r="F627" s="273" t="s">
        <v>145</v>
      </c>
      <c r="G627" s="273" t="s">
        <v>146</v>
      </c>
      <c r="H627" s="275">
        <v>630</v>
      </c>
      <c r="I627" s="275" t="s">
        <v>65</v>
      </c>
      <c r="J627" s="270" t="s">
        <v>784</v>
      </c>
    </row>
    <row r="628" ht="31.5" hidden="1" spans="1:10">
      <c r="A628" s="273" t="s">
        <v>844</v>
      </c>
      <c r="B628" s="273" t="s">
        <v>845</v>
      </c>
      <c r="C628" s="274">
        <v>63100</v>
      </c>
      <c r="D628" s="273" t="s">
        <v>846</v>
      </c>
      <c r="E628" s="273" t="s">
        <v>847</v>
      </c>
      <c r="F628" s="273" t="s">
        <v>145</v>
      </c>
      <c r="G628" s="273" t="s">
        <v>146</v>
      </c>
      <c r="H628" s="275">
        <v>631</v>
      </c>
      <c r="I628" s="275" t="s">
        <v>65</v>
      </c>
      <c r="J628" s="270" t="s">
        <v>848</v>
      </c>
    </row>
    <row r="629" ht="21" hidden="1" spans="1:10">
      <c r="A629" s="273" t="s">
        <v>849</v>
      </c>
      <c r="B629" s="273" t="s">
        <v>850</v>
      </c>
      <c r="C629" s="274">
        <v>103300</v>
      </c>
      <c r="D629" s="273" t="s">
        <v>56</v>
      </c>
      <c r="E629" s="273" t="s">
        <v>57</v>
      </c>
      <c r="F629" s="273" t="s">
        <v>58</v>
      </c>
      <c r="G629" s="273" t="s">
        <v>59</v>
      </c>
      <c r="H629" s="275">
        <v>1034</v>
      </c>
      <c r="I629" s="275"/>
      <c r="J629" s="270" t="s">
        <v>655</v>
      </c>
    </row>
    <row r="630" ht="21" hidden="1" spans="1:10">
      <c r="A630" s="273" t="s">
        <v>849</v>
      </c>
      <c r="B630" s="273" t="s">
        <v>850</v>
      </c>
      <c r="C630" s="274">
        <v>103500</v>
      </c>
      <c r="D630" s="273" t="s">
        <v>787</v>
      </c>
      <c r="E630" s="273" t="s">
        <v>97</v>
      </c>
      <c r="F630" s="273" t="s">
        <v>58</v>
      </c>
      <c r="G630" s="273" t="s">
        <v>59</v>
      </c>
      <c r="H630" s="275">
        <v>1036</v>
      </c>
      <c r="I630" s="275"/>
      <c r="J630" s="270" t="s">
        <v>788</v>
      </c>
    </row>
    <row r="631" hidden="1" spans="1:10">
      <c r="A631" s="273" t="s">
        <v>849</v>
      </c>
      <c r="B631" s="273" t="s">
        <v>850</v>
      </c>
      <c r="C631" s="274">
        <v>103600</v>
      </c>
      <c r="D631" s="273" t="s">
        <v>782</v>
      </c>
      <c r="E631" s="273" t="s">
        <v>783</v>
      </c>
      <c r="F631" s="273" t="s">
        <v>145</v>
      </c>
      <c r="G631" s="273" t="s">
        <v>146</v>
      </c>
      <c r="H631" s="275">
        <v>1037</v>
      </c>
      <c r="I631" s="275"/>
      <c r="J631" s="270" t="s">
        <v>789</v>
      </c>
    </row>
    <row r="632" ht="31.5" hidden="1" spans="1:10">
      <c r="A632" s="273" t="s">
        <v>849</v>
      </c>
      <c r="B632" s="273" t="s">
        <v>850</v>
      </c>
      <c r="C632" s="274">
        <v>103700</v>
      </c>
      <c r="D632" s="273" t="s">
        <v>846</v>
      </c>
      <c r="E632" s="273" t="s">
        <v>847</v>
      </c>
      <c r="F632" s="273" t="s">
        <v>145</v>
      </c>
      <c r="G632" s="273" t="s">
        <v>146</v>
      </c>
      <c r="H632" s="275">
        <v>1038</v>
      </c>
      <c r="I632" s="275"/>
      <c r="J632" s="270" t="s">
        <v>851</v>
      </c>
    </row>
    <row r="633" ht="21" hidden="1" spans="1:10">
      <c r="A633" s="273" t="s">
        <v>852</v>
      </c>
      <c r="B633" s="273" t="s">
        <v>853</v>
      </c>
      <c r="C633" s="274">
        <v>63400</v>
      </c>
      <c r="D633" s="273" t="s">
        <v>56</v>
      </c>
      <c r="E633" s="273" t="s">
        <v>57</v>
      </c>
      <c r="F633" s="273" t="s">
        <v>58</v>
      </c>
      <c r="G633" s="273" t="s">
        <v>59</v>
      </c>
      <c r="H633" s="275">
        <v>634</v>
      </c>
      <c r="I633" s="275"/>
      <c r="J633" s="270" t="s">
        <v>60</v>
      </c>
    </row>
    <row r="634" ht="63" hidden="1" spans="1:10">
      <c r="A634" s="273" t="s">
        <v>852</v>
      </c>
      <c r="B634" s="273" t="s">
        <v>853</v>
      </c>
      <c r="C634" s="274">
        <v>63600</v>
      </c>
      <c r="D634" s="273" t="s">
        <v>61</v>
      </c>
      <c r="E634" s="273" t="s">
        <v>62</v>
      </c>
      <c r="F634" s="273" t="s">
        <v>63</v>
      </c>
      <c r="G634" s="273" t="s">
        <v>64</v>
      </c>
      <c r="H634" s="275">
        <v>636</v>
      </c>
      <c r="I634" s="275" t="s">
        <v>65</v>
      </c>
      <c r="J634" s="270" t="s">
        <v>854</v>
      </c>
    </row>
    <row r="635" ht="21" hidden="1" spans="1:10">
      <c r="A635" s="273" t="s">
        <v>852</v>
      </c>
      <c r="B635" s="273" t="s">
        <v>853</v>
      </c>
      <c r="C635" s="274">
        <v>63700</v>
      </c>
      <c r="D635" s="273" t="s">
        <v>67</v>
      </c>
      <c r="E635" s="273" t="s">
        <v>68</v>
      </c>
      <c r="F635" s="273" t="s">
        <v>63</v>
      </c>
      <c r="G635" s="273" t="s">
        <v>69</v>
      </c>
      <c r="H635" s="275">
        <v>637</v>
      </c>
      <c r="I635" s="275"/>
      <c r="J635" s="270" t="s">
        <v>70</v>
      </c>
    </row>
    <row r="636" hidden="1" spans="1:10">
      <c r="A636" s="273" t="s">
        <v>852</v>
      </c>
      <c r="B636" s="273" t="s">
        <v>853</v>
      </c>
      <c r="C636" s="274">
        <v>63800</v>
      </c>
      <c r="D636" s="273" t="s">
        <v>71</v>
      </c>
      <c r="E636" s="273" t="s">
        <v>72</v>
      </c>
      <c r="F636" s="273" t="s">
        <v>73</v>
      </c>
      <c r="G636" s="273" t="s">
        <v>74</v>
      </c>
      <c r="H636" s="275">
        <v>638</v>
      </c>
      <c r="I636" s="275" t="s">
        <v>65</v>
      </c>
      <c r="J636" s="270" t="s">
        <v>75</v>
      </c>
    </row>
    <row r="637" hidden="1" spans="1:10">
      <c r="A637" s="273" t="s">
        <v>852</v>
      </c>
      <c r="B637" s="273" t="s">
        <v>853</v>
      </c>
      <c r="C637" s="274">
        <v>63900</v>
      </c>
      <c r="D637" s="273" t="s">
        <v>76</v>
      </c>
      <c r="E637" s="273" t="s">
        <v>77</v>
      </c>
      <c r="F637" s="273" t="s">
        <v>73</v>
      </c>
      <c r="G637" s="273" t="s">
        <v>74</v>
      </c>
      <c r="H637" s="275">
        <v>639</v>
      </c>
      <c r="I637" s="275" t="s">
        <v>65</v>
      </c>
      <c r="J637" s="270" t="s">
        <v>78</v>
      </c>
    </row>
    <row r="638" ht="21" hidden="1" spans="1:10">
      <c r="A638" s="273" t="s">
        <v>852</v>
      </c>
      <c r="B638" s="273" t="s">
        <v>853</v>
      </c>
      <c r="C638" s="274">
        <v>64000</v>
      </c>
      <c r="D638" s="273" t="s">
        <v>79</v>
      </c>
      <c r="E638" s="273" t="s">
        <v>80</v>
      </c>
      <c r="F638" s="273" t="s">
        <v>81</v>
      </c>
      <c r="G638" s="273" t="s">
        <v>82</v>
      </c>
      <c r="H638" s="275">
        <v>640</v>
      </c>
      <c r="I638" s="275" t="s">
        <v>65</v>
      </c>
      <c r="J638" s="270" t="s">
        <v>83</v>
      </c>
    </row>
    <row r="639" hidden="1" spans="1:10">
      <c r="A639" s="273" t="s">
        <v>852</v>
      </c>
      <c r="B639" s="273" t="s">
        <v>853</v>
      </c>
      <c r="C639" s="274">
        <v>64100</v>
      </c>
      <c r="D639" s="273" t="s">
        <v>92</v>
      </c>
      <c r="E639" s="273" t="s">
        <v>93</v>
      </c>
      <c r="F639" s="273" t="s">
        <v>73</v>
      </c>
      <c r="G639" s="273" t="s">
        <v>94</v>
      </c>
      <c r="H639" s="275">
        <v>641</v>
      </c>
      <c r="I639" s="275"/>
      <c r="J639" s="270" t="s">
        <v>95</v>
      </c>
    </row>
    <row r="640" hidden="1" spans="1:10">
      <c r="A640" s="273" t="s">
        <v>852</v>
      </c>
      <c r="B640" s="273" t="s">
        <v>853</v>
      </c>
      <c r="C640" s="274">
        <v>64200</v>
      </c>
      <c r="D640" s="273" t="s">
        <v>96</v>
      </c>
      <c r="E640" s="273" t="s">
        <v>97</v>
      </c>
      <c r="F640" s="273" t="s">
        <v>63</v>
      </c>
      <c r="G640" s="273" t="s">
        <v>69</v>
      </c>
      <c r="H640" s="275">
        <v>642</v>
      </c>
      <c r="I640" s="275"/>
      <c r="J640" s="270" t="s">
        <v>98</v>
      </c>
    </row>
    <row r="641" hidden="1" spans="1:10">
      <c r="A641" s="273" t="s">
        <v>852</v>
      </c>
      <c r="B641" s="273" t="s">
        <v>853</v>
      </c>
      <c r="C641" s="274">
        <v>64300</v>
      </c>
      <c r="D641" s="273" t="s">
        <v>99</v>
      </c>
      <c r="E641" s="273" t="s">
        <v>100</v>
      </c>
      <c r="F641" s="273" t="s">
        <v>101</v>
      </c>
      <c r="G641" s="273" t="s">
        <v>102</v>
      </c>
      <c r="H641" s="275">
        <v>643</v>
      </c>
      <c r="I641" s="275" t="s">
        <v>65</v>
      </c>
      <c r="J641" s="270" t="s">
        <v>103</v>
      </c>
    </row>
    <row r="642" ht="63" hidden="1" spans="1:10">
      <c r="A642" s="273" t="s">
        <v>852</v>
      </c>
      <c r="B642" s="273" t="s">
        <v>853</v>
      </c>
      <c r="C642" s="274">
        <v>64400</v>
      </c>
      <c r="D642" s="273" t="s">
        <v>128</v>
      </c>
      <c r="E642" s="273" t="s">
        <v>129</v>
      </c>
      <c r="F642" s="273" t="s">
        <v>130</v>
      </c>
      <c r="G642" s="273" t="s">
        <v>131</v>
      </c>
      <c r="H642" s="275">
        <v>644</v>
      </c>
      <c r="I642" s="275"/>
      <c r="J642" s="270" t="s">
        <v>132</v>
      </c>
    </row>
    <row r="643" ht="52.5" hidden="1" spans="1:10">
      <c r="A643" s="273" t="s">
        <v>852</v>
      </c>
      <c r="B643" s="273" t="s">
        <v>853</v>
      </c>
      <c r="C643" s="274">
        <v>64500</v>
      </c>
      <c r="D643" s="273" t="s">
        <v>416</v>
      </c>
      <c r="E643" s="273" t="s">
        <v>696</v>
      </c>
      <c r="F643" s="273" t="s">
        <v>130</v>
      </c>
      <c r="G643" s="273" t="s">
        <v>131</v>
      </c>
      <c r="H643" s="275">
        <v>645</v>
      </c>
      <c r="I643" s="275" t="s">
        <v>65</v>
      </c>
      <c r="J643" s="270" t="s">
        <v>417</v>
      </c>
    </row>
    <row r="644" ht="21" hidden="1" spans="1:10">
      <c r="A644" s="273" t="s">
        <v>852</v>
      </c>
      <c r="B644" s="273" t="s">
        <v>853</v>
      </c>
      <c r="C644" s="274">
        <v>64600</v>
      </c>
      <c r="D644" s="273" t="s">
        <v>418</v>
      </c>
      <c r="E644" s="273" t="s">
        <v>419</v>
      </c>
      <c r="F644" s="273" t="s">
        <v>112</v>
      </c>
      <c r="G644" s="273" t="s">
        <v>113</v>
      </c>
      <c r="H644" s="275">
        <v>646</v>
      </c>
      <c r="I644" s="275" t="s">
        <v>65</v>
      </c>
      <c r="J644" s="270" t="s">
        <v>138</v>
      </c>
    </row>
    <row r="645" ht="52.5" hidden="1" spans="1:10">
      <c r="A645" s="273" t="s">
        <v>852</v>
      </c>
      <c r="B645" s="273" t="s">
        <v>853</v>
      </c>
      <c r="C645" s="274">
        <v>64700</v>
      </c>
      <c r="D645" s="273" t="s">
        <v>420</v>
      </c>
      <c r="E645" s="273" t="s">
        <v>421</v>
      </c>
      <c r="F645" s="273" t="s">
        <v>130</v>
      </c>
      <c r="G645" s="273" t="s">
        <v>131</v>
      </c>
      <c r="H645" s="275">
        <v>647</v>
      </c>
      <c r="I645" s="275" t="s">
        <v>65</v>
      </c>
      <c r="J645" s="270" t="s">
        <v>422</v>
      </c>
    </row>
    <row r="646" ht="21" hidden="1" spans="1:10">
      <c r="A646" s="273" t="s">
        <v>852</v>
      </c>
      <c r="B646" s="273" t="s">
        <v>853</v>
      </c>
      <c r="C646" s="274">
        <v>64800</v>
      </c>
      <c r="D646" s="273" t="s">
        <v>423</v>
      </c>
      <c r="E646" s="273" t="s">
        <v>424</v>
      </c>
      <c r="F646" s="273" t="s">
        <v>112</v>
      </c>
      <c r="G646" s="273" t="s">
        <v>113</v>
      </c>
      <c r="H646" s="275">
        <v>648</v>
      </c>
      <c r="I646" s="275" t="s">
        <v>65</v>
      </c>
      <c r="J646" s="270" t="s">
        <v>138</v>
      </c>
    </row>
    <row r="647" ht="94.5" hidden="1" spans="1:10">
      <c r="A647" s="273" t="s">
        <v>852</v>
      </c>
      <c r="B647" s="273" t="s">
        <v>853</v>
      </c>
      <c r="C647" s="274">
        <v>64900</v>
      </c>
      <c r="D647" s="273" t="s">
        <v>306</v>
      </c>
      <c r="E647" s="273" t="s">
        <v>307</v>
      </c>
      <c r="F647" s="273" t="s">
        <v>308</v>
      </c>
      <c r="G647" s="273" t="s">
        <v>309</v>
      </c>
      <c r="H647" s="275">
        <v>649</v>
      </c>
      <c r="I647" s="275" t="s">
        <v>65</v>
      </c>
      <c r="J647" s="270" t="s">
        <v>310</v>
      </c>
    </row>
    <row r="648" ht="42" hidden="1" spans="1:10">
      <c r="A648" s="273" t="s">
        <v>852</v>
      </c>
      <c r="B648" s="273" t="s">
        <v>853</v>
      </c>
      <c r="C648" s="274">
        <v>65000</v>
      </c>
      <c r="D648" s="273" t="s">
        <v>311</v>
      </c>
      <c r="E648" s="273" t="s">
        <v>312</v>
      </c>
      <c r="F648" s="273" t="s">
        <v>313</v>
      </c>
      <c r="G648" s="273" t="s">
        <v>314</v>
      </c>
      <c r="H648" s="275">
        <v>650</v>
      </c>
      <c r="I648" s="275"/>
      <c r="J648" s="270" t="s">
        <v>315</v>
      </c>
    </row>
    <row r="649" hidden="1" spans="1:10">
      <c r="A649" s="273" t="s">
        <v>852</v>
      </c>
      <c r="B649" s="273" t="s">
        <v>853</v>
      </c>
      <c r="C649" s="274">
        <v>65100</v>
      </c>
      <c r="D649" s="273" t="s">
        <v>855</v>
      </c>
      <c r="E649" s="273" t="s">
        <v>856</v>
      </c>
      <c r="F649" s="273" t="s">
        <v>125</v>
      </c>
      <c r="G649" s="273" t="s">
        <v>126</v>
      </c>
      <c r="H649" s="275">
        <v>651</v>
      </c>
      <c r="I649" s="275"/>
      <c r="J649" s="270" t="s">
        <v>857</v>
      </c>
    </row>
    <row r="650" ht="63" hidden="1" spans="1:10">
      <c r="A650" s="273" t="s">
        <v>852</v>
      </c>
      <c r="B650" s="273" t="s">
        <v>853</v>
      </c>
      <c r="C650" s="274">
        <v>65200</v>
      </c>
      <c r="D650" s="273" t="s">
        <v>191</v>
      </c>
      <c r="E650" s="273" t="s">
        <v>192</v>
      </c>
      <c r="F650" s="273" t="s">
        <v>112</v>
      </c>
      <c r="G650" s="273" t="s">
        <v>113</v>
      </c>
      <c r="H650" s="275">
        <v>652</v>
      </c>
      <c r="I650" s="275" t="s">
        <v>65</v>
      </c>
      <c r="J650" s="270" t="s">
        <v>193</v>
      </c>
    </row>
    <row r="651" hidden="1" spans="1:10">
      <c r="A651" s="273" t="s">
        <v>852</v>
      </c>
      <c r="B651" s="273" t="s">
        <v>853</v>
      </c>
      <c r="C651" s="274">
        <v>65300</v>
      </c>
      <c r="D651" s="273" t="s">
        <v>320</v>
      </c>
      <c r="E651" s="273" t="s">
        <v>321</v>
      </c>
      <c r="F651" s="273" t="s">
        <v>125</v>
      </c>
      <c r="G651" s="273" t="s">
        <v>126</v>
      </c>
      <c r="H651" s="275">
        <v>653</v>
      </c>
      <c r="I651" s="275"/>
      <c r="J651" s="270" t="s">
        <v>322</v>
      </c>
    </row>
    <row r="652" hidden="1" spans="1:10">
      <c r="A652" s="273" t="s">
        <v>852</v>
      </c>
      <c r="B652" s="273" t="s">
        <v>853</v>
      </c>
      <c r="C652" s="274">
        <v>65400</v>
      </c>
      <c r="D652" s="273" t="s">
        <v>194</v>
      </c>
      <c r="E652" s="273" t="s">
        <v>195</v>
      </c>
      <c r="F652" s="273" t="s">
        <v>125</v>
      </c>
      <c r="G652" s="273" t="s">
        <v>126</v>
      </c>
      <c r="H652" s="275">
        <v>654</v>
      </c>
      <c r="I652" s="275"/>
      <c r="J652" s="270" t="s">
        <v>196</v>
      </c>
    </row>
    <row r="653" ht="52.5" hidden="1" spans="1:10">
      <c r="A653" s="273" t="s">
        <v>852</v>
      </c>
      <c r="B653" s="273" t="s">
        <v>853</v>
      </c>
      <c r="C653" s="274">
        <v>65500</v>
      </c>
      <c r="D653" s="273" t="s">
        <v>215</v>
      </c>
      <c r="E653" s="273" t="s">
        <v>216</v>
      </c>
      <c r="F653" s="273" t="s">
        <v>112</v>
      </c>
      <c r="G653" s="273" t="s">
        <v>113</v>
      </c>
      <c r="H653" s="275">
        <v>655</v>
      </c>
      <c r="I653" s="275" t="s">
        <v>65</v>
      </c>
      <c r="J653" s="270" t="s">
        <v>217</v>
      </c>
    </row>
    <row r="654" ht="21" hidden="1" spans="1:10">
      <c r="A654" s="273" t="s">
        <v>852</v>
      </c>
      <c r="B654" s="273" t="s">
        <v>853</v>
      </c>
      <c r="C654" s="274">
        <v>65600</v>
      </c>
      <c r="D654" s="273" t="s">
        <v>222</v>
      </c>
      <c r="E654" s="273" t="s">
        <v>223</v>
      </c>
      <c r="F654" s="273" t="s">
        <v>58</v>
      </c>
      <c r="G654" s="273" t="s">
        <v>220</v>
      </c>
      <c r="H654" s="275">
        <v>656</v>
      </c>
      <c r="I654" s="275"/>
      <c r="J654" s="270" t="s">
        <v>221</v>
      </c>
    </row>
    <row r="655" ht="21" hidden="1" spans="1:10">
      <c r="A655" s="273" t="s">
        <v>852</v>
      </c>
      <c r="B655" s="273" t="s">
        <v>853</v>
      </c>
      <c r="C655" s="274">
        <v>65700</v>
      </c>
      <c r="D655" s="273" t="s">
        <v>528</v>
      </c>
      <c r="E655" s="273" t="s">
        <v>531</v>
      </c>
      <c r="F655" s="273" t="s">
        <v>58</v>
      </c>
      <c r="G655" s="273" t="s">
        <v>220</v>
      </c>
      <c r="H655" s="275">
        <v>657</v>
      </c>
      <c r="I655" s="275"/>
      <c r="J655" s="270" t="s">
        <v>221</v>
      </c>
    </row>
    <row r="656" ht="21" hidden="1" spans="1:10">
      <c r="A656" s="273" t="s">
        <v>852</v>
      </c>
      <c r="B656" s="273" t="s">
        <v>853</v>
      </c>
      <c r="C656" s="274">
        <v>65800</v>
      </c>
      <c r="D656" s="273" t="s">
        <v>530</v>
      </c>
      <c r="E656" s="273" t="s">
        <v>531</v>
      </c>
      <c r="F656" s="273" t="s">
        <v>58</v>
      </c>
      <c r="G656" s="273" t="s">
        <v>220</v>
      </c>
      <c r="H656" s="275">
        <v>658</v>
      </c>
      <c r="I656" s="275"/>
      <c r="J656" s="270" t="s">
        <v>221</v>
      </c>
    </row>
    <row r="657" ht="21" hidden="1" spans="1:10">
      <c r="A657" s="273" t="s">
        <v>852</v>
      </c>
      <c r="B657" s="273" t="s">
        <v>853</v>
      </c>
      <c r="C657" s="274">
        <v>65900</v>
      </c>
      <c r="D657" s="273" t="s">
        <v>328</v>
      </c>
      <c r="E657" s="273" t="s">
        <v>329</v>
      </c>
      <c r="F657" s="273" t="s">
        <v>58</v>
      </c>
      <c r="G657" s="273" t="s">
        <v>220</v>
      </c>
      <c r="H657" s="275">
        <v>659</v>
      </c>
      <c r="I657" s="275"/>
      <c r="J657" s="270" t="s">
        <v>221</v>
      </c>
    </row>
    <row r="658" hidden="1" spans="1:10">
      <c r="A658" s="273" t="s">
        <v>852</v>
      </c>
      <c r="B658" s="273" t="s">
        <v>853</v>
      </c>
      <c r="C658" s="274">
        <v>66000</v>
      </c>
      <c r="D658" s="273" t="s">
        <v>238</v>
      </c>
      <c r="E658" s="273" t="s">
        <v>239</v>
      </c>
      <c r="F658" s="273" t="s">
        <v>240</v>
      </c>
      <c r="G658" s="273" t="s">
        <v>241</v>
      </c>
      <c r="H658" s="275">
        <v>660</v>
      </c>
      <c r="I658" s="275"/>
      <c r="J658" s="270" t="s">
        <v>4</v>
      </c>
    </row>
    <row r="659" ht="21" hidden="1" spans="1:10">
      <c r="A659" s="273" t="s">
        <v>858</v>
      </c>
      <c r="B659" s="273" t="s">
        <v>859</v>
      </c>
      <c r="C659" s="274">
        <v>66300</v>
      </c>
      <c r="D659" s="273" t="s">
        <v>56</v>
      </c>
      <c r="E659" s="273" t="s">
        <v>57</v>
      </c>
      <c r="F659" s="273" t="s">
        <v>58</v>
      </c>
      <c r="G659" s="273" t="s">
        <v>59</v>
      </c>
      <c r="H659" s="275">
        <v>663</v>
      </c>
      <c r="I659" s="275"/>
      <c r="J659" s="270" t="s">
        <v>860</v>
      </c>
    </row>
    <row r="660" ht="21" hidden="1" spans="1:10">
      <c r="A660" s="273" t="s">
        <v>858</v>
      </c>
      <c r="B660" s="273" t="s">
        <v>859</v>
      </c>
      <c r="C660" s="274">
        <v>66500</v>
      </c>
      <c r="D660" s="273" t="s">
        <v>136</v>
      </c>
      <c r="E660" s="273" t="s">
        <v>137</v>
      </c>
      <c r="F660" s="273" t="s">
        <v>112</v>
      </c>
      <c r="G660" s="273" t="s">
        <v>113</v>
      </c>
      <c r="H660" s="275">
        <v>665</v>
      </c>
      <c r="I660" s="275"/>
      <c r="J660" s="270" t="s">
        <v>138</v>
      </c>
    </row>
    <row r="661" ht="52.5" hidden="1" spans="1:10">
      <c r="A661" s="273" t="s">
        <v>858</v>
      </c>
      <c r="B661" s="273" t="s">
        <v>859</v>
      </c>
      <c r="C661" s="274">
        <v>66600</v>
      </c>
      <c r="D661" s="273" t="s">
        <v>337</v>
      </c>
      <c r="E661" s="273" t="s">
        <v>338</v>
      </c>
      <c r="F661" s="273" t="s">
        <v>130</v>
      </c>
      <c r="G661" s="273" t="s">
        <v>131</v>
      </c>
      <c r="H661" s="275">
        <v>666</v>
      </c>
      <c r="I661" s="275"/>
      <c r="J661" s="270" t="s">
        <v>339</v>
      </c>
    </row>
    <row r="662" ht="73.5" hidden="1" spans="1:10">
      <c r="A662" s="273" t="s">
        <v>858</v>
      </c>
      <c r="B662" s="273" t="s">
        <v>859</v>
      </c>
      <c r="C662" s="274">
        <v>66700</v>
      </c>
      <c r="D662" s="273" t="s">
        <v>133</v>
      </c>
      <c r="E662" s="273" t="s">
        <v>134</v>
      </c>
      <c r="F662" s="273" t="s">
        <v>130</v>
      </c>
      <c r="G662" s="273" t="s">
        <v>131</v>
      </c>
      <c r="H662" s="275">
        <v>667</v>
      </c>
      <c r="I662" s="275"/>
      <c r="J662" s="270" t="s">
        <v>340</v>
      </c>
    </row>
    <row r="663" hidden="1" spans="1:10">
      <c r="A663" s="273" t="s">
        <v>858</v>
      </c>
      <c r="B663" s="273" t="s">
        <v>859</v>
      </c>
      <c r="C663" s="274">
        <v>66800</v>
      </c>
      <c r="D663" s="273" t="s">
        <v>341</v>
      </c>
      <c r="E663" s="273" t="s">
        <v>341</v>
      </c>
      <c r="F663" s="273" t="s">
        <v>308</v>
      </c>
      <c r="G663" s="273" t="s">
        <v>309</v>
      </c>
      <c r="H663" s="275">
        <v>668</v>
      </c>
      <c r="I663" s="275"/>
      <c r="J663" s="270" t="s">
        <v>342</v>
      </c>
    </row>
    <row r="664" hidden="1" spans="1:10">
      <c r="A664" s="273" t="s">
        <v>858</v>
      </c>
      <c r="B664" s="273" t="s">
        <v>859</v>
      </c>
      <c r="C664" s="274">
        <v>66900</v>
      </c>
      <c r="D664" s="273" t="s">
        <v>343</v>
      </c>
      <c r="E664" s="273" t="s">
        <v>343</v>
      </c>
      <c r="F664" s="273" t="s">
        <v>120</v>
      </c>
      <c r="G664" s="273" t="s">
        <v>121</v>
      </c>
      <c r="H664" s="275">
        <v>669</v>
      </c>
      <c r="I664" s="275"/>
      <c r="J664" s="270" t="s">
        <v>344</v>
      </c>
    </row>
    <row r="665" hidden="1" spans="1:10">
      <c r="A665" s="273" t="s">
        <v>858</v>
      </c>
      <c r="B665" s="273" t="s">
        <v>859</v>
      </c>
      <c r="C665" s="274">
        <v>67000</v>
      </c>
      <c r="D665" s="273" t="s">
        <v>345</v>
      </c>
      <c r="E665" s="273" t="s">
        <v>345</v>
      </c>
      <c r="F665" s="273" t="s">
        <v>346</v>
      </c>
      <c r="G665" s="273" t="s">
        <v>347</v>
      </c>
      <c r="H665" s="275">
        <v>670</v>
      </c>
      <c r="I665" s="275"/>
      <c r="J665" s="270" t="s">
        <v>348</v>
      </c>
    </row>
    <row r="666" hidden="1" spans="1:10">
      <c r="A666" s="273" t="s">
        <v>858</v>
      </c>
      <c r="B666" s="273" t="s">
        <v>859</v>
      </c>
      <c r="C666" s="274">
        <v>67100</v>
      </c>
      <c r="D666" s="273" t="s">
        <v>349</v>
      </c>
      <c r="E666" s="273" t="s">
        <v>350</v>
      </c>
      <c r="F666" s="273" t="s">
        <v>125</v>
      </c>
      <c r="G666" s="273" t="s">
        <v>126</v>
      </c>
      <c r="H666" s="275">
        <v>671</v>
      </c>
      <c r="I666" s="275"/>
      <c r="J666" s="270" t="s">
        <v>351</v>
      </c>
    </row>
    <row r="667" ht="21" hidden="1" spans="1:10">
      <c r="A667" s="273" t="s">
        <v>858</v>
      </c>
      <c r="B667" s="273" t="s">
        <v>859</v>
      </c>
      <c r="C667" s="274">
        <v>67200</v>
      </c>
      <c r="D667" s="273" t="s">
        <v>352</v>
      </c>
      <c r="E667" s="273" t="s">
        <v>353</v>
      </c>
      <c r="F667" s="273" t="s">
        <v>58</v>
      </c>
      <c r="G667" s="273" t="s">
        <v>220</v>
      </c>
      <c r="H667" s="275">
        <v>672</v>
      </c>
      <c r="I667" s="275"/>
      <c r="J667" s="270" t="s">
        <v>221</v>
      </c>
    </row>
    <row r="668" ht="21" hidden="1" spans="1:10">
      <c r="A668" s="273" t="s">
        <v>858</v>
      </c>
      <c r="B668" s="273" t="s">
        <v>859</v>
      </c>
      <c r="C668" s="274">
        <v>67300</v>
      </c>
      <c r="D668" s="273" t="s">
        <v>224</v>
      </c>
      <c r="E668" s="273" t="s">
        <v>225</v>
      </c>
      <c r="F668" s="273" t="s">
        <v>58</v>
      </c>
      <c r="G668" s="273" t="s">
        <v>220</v>
      </c>
      <c r="H668" s="275">
        <v>673</v>
      </c>
      <c r="I668" s="275"/>
      <c r="J668" s="270" t="s">
        <v>221</v>
      </c>
    </row>
    <row r="669" ht="21" hidden="1" spans="1:10">
      <c r="A669" s="273" t="s">
        <v>858</v>
      </c>
      <c r="B669" s="273" t="s">
        <v>859</v>
      </c>
      <c r="C669" s="274">
        <v>67400</v>
      </c>
      <c r="D669" s="273" t="s">
        <v>354</v>
      </c>
      <c r="E669" s="273" t="s">
        <v>355</v>
      </c>
      <c r="F669" s="273" t="s">
        <v>58</v>
      </c>
      <c r="G669" s="273" t="s">
        <v>220</v>
      </c>
      <c r="H669" s="275">
        <v>674</v>
      </c>
      <c r="I669" s="275"/>
      <c r="J669" s="270" t="s">
        <v>221</v>
      </c>
    </row>
    <row r="670" ht="21" hidden="1" spans="1:10">
      <c r="A670" s="273" t="s">
        <v>858</v>
      </c>
      <c r="B670" s="273" t="s">
        <v>859</v>
      </c>
      <c r="C670" s="274">
        <v>67500</v>
      </c>
      <c r="D670" s="273" t="s">
        <v>356</v>
      </c>
      <c r="E670" s="273" t="s">
        <v>357</v>
      </c>
      <c r="F670" s="273" t="s">
        <v>58</v>
      </c>
      <c r="G670" s="273" t="s">
        <v>220</v>
      </c>
      <c r="H670" s="275">
        <v>675</v>
      </c>
      <c r="I670" s="275"/>
      <c r="J670" s="270" t="s">
        <v>221</v>
      </c>
    </row>
    <row r="671" ht="21" hidden="1" spans="1:10">
      <c r="A671" s="273" t="s">
        <v>858</v>
      </c>
      <c r="B671" s="273" t="s">
        <v>859</v>
      </c>
      <c r="C671" s="274">
        <v>67600</v>
      </c>
      <c r="D671" s="273" t="s">
        <v>358</v>
      </c>
      <c r="E671" s="273" t="s">
        <v>359</v>
      </c>
      <c r="F671" s="273" t="s">
        <v>58</v>
      </c>
      <c r="G671" s="273" t="s">
        <v>220</v>
      </c>
      <c r="H671" s="275">
        <v>676</v>
      </c>
      <c r="I671" s="275"/>
      <c r="J671" s="270" t="s">
        <v>221</v>
      </c>
    </row>
    <row r="672" ht="21" hidden="1" spans="1:10">
      <c r="A672" s="273" t="s">
        <v>861</v>
      </c>
      <c r="B672" s="273" t="s">
        <v>862</v>
      </c>
      <c r="C672" s="274">
        <v>67900</v>
      </c>
      <c r="D672" s="273" t="s">
        <v>56</v>
      </c>
      <c r="E672" s="273" t="s">
        <v>57</v>
      </c>
      <c r="F672" s="273" t="s">
        <v>58</v>
      </c>
      <c r="G672" s="273" t="s">
        <v>59</v>
      </c>
      <c r="H672" s="275">
        <v>679</v>
      </c>
      <c r="I672" s="275"/>
      <c r="J672" s="270" t="s">
        <v>60</v>
      </c>
    </row>
    <row r="673" ht="84" hidden="1" spans="1:10">
      <c r="A673" s="273" t="s">
        <v>861</v>
      </c>
      <c r="B673" s="273" t="s">
        <v>862</v>
      </c>
      <c r="C673" s="274">
        <v>68100</v>
      </c>
      <c r="D673" s="273" t="s">
        <v>61</v>
      </c>
      <c r="E673" s="273" t="s">
        <v>62</v>
      </c>
      <c r="F673" s="273" t="s">
        <v>63</v>
      </c>
      <c r="G673" s="273" t="s">
        <v>64</v>
      </c>
      <c r="H673" s="275">
        <v>681</v>
      </c>
      <c r="I673" s="275" t="s">
        <v>65</v>
      </c>
      <c r="J673" s="270" t="s">
        <v>792</v>
      </c>
    </row>
    <row r="674" ht="21" hidden="1" spans="1:10">
      <c r="A674" s="273" t="s">
        <v>861</v>
      </c>
      <c r="B674" s="273" t="s">
        <v>862</v>
      </c>
      <c r="C674" s="274">
        <v>68200</v>
      </c>
      <c r="D674" s="273" t="s">
        <v>67</v>
      </c>
      <c r="E674" s="273" t="s">
        <v>863</v>
      </c>
      <c r="F674" s="273" t="s">
        <v>63</v>
      </c>
      <c r="G674" s="273" t="s">
        <v>69</v>
      </c>
      <c r="H674" s="275">
        <v>682</v>
      </c>
      <c r="I674" s="275"/>
      <c r="J674" s="270" t="s">
        <v>70</v>
      </c>
    </row>
    <row r="675" ht="31.5" hidden="1" spans="1:10">
      <c r="A675" s="273" t="s">
        <v>861</v>
      </c>
      <c r="B675" s="273" t="s">
        <v>862</v>
      </c>
      <c r="C675" s="274">
        <v>68300</v>
      </c>
      <c r="D675" s="273" t="s">
        <v>560</v>
      </c>
      <c r="E675" s="273" t="s">
        <v>561</v>
      </c>
      <c r="F675" s="273" t="s">
        <v>562</v>
      </c>
      <c r="G675" s="273" t="s">
        <v>563</v>
      </c>
      <c r="H675" s="275">
        <v>683</v>
      </c>
      <c r="I675" s="275" t="s">
        <v>65</v>
      </c>
      <c r="J675" s="270" t="s">
        <v>794</v>
      </c>
    </row>
    <row r="676" hidden="1" spans="1:10">
      <c r="A676" s="273" t="s">
        <v>861</v>
      </c>
      <c r="B676" s="273" t="s">
        <v>862</v>
      </c>
      <c r="C676" s="274">
        <v>117300</v>
      </c>
      <c r="D676" s="273" t="s">
        <v>805</v>
      </c>
      <c r="E676" s="273" t="s">
        <v>806</v>
      </c>
      <c r="F676" s="273" t="s">
        <v>81</v>
      </c>
      <c r="G676" s="273" t="s">
        <v>82</v>
      </c>
      <c r="H676" s="275">
        <v>1286</v>
      </c>
      <c r="I676" s="275"/>
      <c r="J676" s="281" t="s">
        <v>807</v>
      </c>
    </row>
    <row r="677" hidden="1" spans="1:10">
      <c r="A677" s="273" t="s">
        <v>861</v>
      </c>
      <c r="B677" s="273" t="s">
        <v>862</v>
      </c>
      <c r="C677" s="274">
        <v>117400</v>
      </c>
      <c r="D677" s="273" t="s">
        <v>864</v>
      </c>
      <c r="E677" s="273" t="s">
        <v>809</v>
      </c>
      <c r="F677" s="273" t="s">
        <v>81</v>
      </c>
      <c r="G677" s="273" t="s">
        <v>82</v>
      </c>
      <c r="H677" s="275">
        <v>1287</v>
      </c>
      <c r="I677" s="275"/>
      <c r="J677" s="270" t="s">
        <v>865</v>
      </c>
    </row>
    <row r="678" hidden="1" spans="1:10">
      <c r="A678" s="273" t="s">
        <v>861</v>
      </c>
      <c r="B678" s="273" t="s">
        <v>862</v>
      </c>
      <c r="C678" s="274">
        <v>117500</v>
      </c>
      <c r="D678" s="273" t="s">
        <v>866</v>
      </c>
      <c r="E678" s="273" t="s">
        <v>867</v>
      </c>
      <c r="F678" s="273" t="s">
        <v>155</v>
      </c>
      <c r="G678" s="273" t="s">
        <v>156</v>
      </c>
      <c r="H678" s="275">
        <v>1288</v>
      </c>
      <c r="I678" s="275"/>
      <c r="J678" s="270" t="s">
        <v>868</v>
      </c>
    </row>
    <row r="679" ht="21" hidden="1" spans="1:10">
      <c r="A679" s="273" t="s">
        <v>861</v>
      </c>
      <c r="B679" s="273" t="s">
        <v>862</v>
      </c>
      <c r="C679" s="274">
        <v>68500</v>
      </c>
      <c r="D679" s="273" t="s">
        <v>869</v>
      </c>
      <c r="E679" s="273" t="s">
        <v>870</v>
      </c>
      <c r="F679" s="273" t="s">
        <v>155</v>
      </c>
      <c r="G679" s="273" t="s">
        <v>156</v>
      </c>
      <c r="H679" s="275">
        <v>685</v>
      </c>
      <c r="I679" s="275"/>
      <c r="J679" s="270" t="s">
        <v>871</v>
      </c>
    </row>
    <row r="680" hidden="1" spans="1:10">
      <c r="A680" s="273" t="s">
        <v>861</v>
      </c>
      <c r="B680" s="273" t="s">
        <v>862</v>
      </c>
      <c r="C680" s="274">
        <v>68600</v>
      </c>
      <c r="D680" s="273" t="s">
        <v>872</v>
      </c>
      <c r="E680" s="273" t="s">
        <v>824</v>
      </c>
      <c r="F680" s="273" t="s">
        <v>125</v>
      </c>
      <c r="G680" s="273" t="s">
        <v>126</v>
      </c>
      <c r="H680" s="275">
        <v>686</v>
      </c>
      <c r="I680" s="275"/>
      <c r="J680" s="270" t="s">
        <v>825</v>
      </c>
    </row>
    <row r="681" hidden="1" spans="1:10">
      <c r="A681" s="273" t="s">
        <v>861</v>
      </c>
      <c r="B681" s="273" t="s">
        <v>862</v>
      </c>
      <c r="C681" s="274">
        <v>68700</v>
      </c>
      <c r="D681" s="273" t="s">
        <v>873</v>
      </c>
      <c r="E681" s="273" t="s">
        <v>815</v>
      </c>
      <c r="F681" s="273" t="s">
        <v>81</v>
      </c>
      <c r="G681" s="273" t="s">
        <v>82</v>
      </c>
      <c r="H681" s="275">
        <v>687</v>
      </c>
      <c r="I681" s="275"/>
      <c r="J681" s="270" t="s">
        <v>816</v>
      </c>
    </row>
    <row r="682" ht="21" hidden="1" spans="1:10">
      <c r="A682" s="273" t="s">
        <v>861</v>
      </c>
      <c r="B682" s="273" t="s">
        <v>862</v>
      </c>
      <c r="C682" s="274">
        <v>101900</v>
      </c>
      <c r="D682" s="273" t="s">
        <v>606</v>
      </c>
      <c r="E682" s="273" t="s">
        <v>607</v>
      </c>
      <c r="F682" s="273" t="s">
        <v>81</v>
      </c>
      <c r="G682" s="273" t="s">
        <v>82</v>
      </c>
      <c r="H682" s="275">
        <v>1019</v>
      </c>
      <c r="I682" s="275" t="s">
        <v>65</v>
      </c>
      <c r="J682" s="270" t="s">
        <v>608</v>
      </c>
    </row>
    <row r="683" ht="63" hidden="1" spans="1:10">
      <c r="A683" s="273" t="s">
        <v>861</v>
      </c>
      <c r="B683" s="273" t="s">
        <v>862</v>
      </c>
      <c r="C683" s="274">
        <v>68800</v>
      </c>
      <c r="D683" s="273" t="s">
        <v>191</v>
      </c>
      <c r="E683" s="273" t="s">
        <v>192</v>
      </c>
      <c r="F683" s="273" t="s">
        <v>112</v>
      </c>
      <c r="G683" s="273" t="s">
        <v>113</v>
      </c>
      <c r="H683" s="275">
        <v>688</v>
      </c>
      <c r="I683" s="275" t="s">
        <v>65</v>
      </c>
      <c r="J683" s="270" t="s">
        <v>193</v>
      </c>
    </row>
    <row r="684" hidden="1" spans="1:10">
      <c r="A684" s="273" t="s">
        <v>861</v>
      </c>
      <c r="B684" s="273" t="s">
        <v>862</v>
      </c>
      <c r="C684" s="274">
        <v>68900</v>
      </c>
      <c r="D684" s="273" t="s">
        <v>194</v>
      </c>
      <c r="E684" s="273" t="s">
        <v>195</v>
      </c>
      <c r="F684" s="273" t="s">
        <v>125</v>
      </c>
      <c r="G684" s="273" t="s">
        <v>126</v>
      </c>
      <c r="H684" s="275">
        <v>689</v>
      </c>
      <c r="I684" s="275"/>
      <c r="J684" s="270" t="s">
        <v>196</v>
      </c>
    </row>
    <row r="685" ht="52.5" hidden="1" spans="1:10">
      <c r="A685" s="273" t="s">
        <v>861</v>
      </c>
      <c r="B685" s="273" t="s">
        <v>862</v>
      </c>
      <c r="C685" s="274">
        <v>69000</v>
      </c>
      <c r="D685" s="273" t="s">
        <v>215</v>
      </c>
      <c r="E685" s="273" t="s">
        <v>216</v>
      </c>
      <c r="F685" s="273" t="s">
        <v>112</v>
      </c>
      <c r="G685" s="273" t="s">
        <v>113</v>
      </c>
      <c r="H685" s="275">
        <v>690</v>
      </c>
      <c r="I685" s="275" t="s">
        <v>65</v>
      </c>
      <c r="J685" s="270" t="s">
        <v>217</v>
      </c>
    </row>
    <row r="686" ht="21" hidden="1" spans="1:10">
      <c r="A686" s="273" t="s">
        <v>861</v>
      </c>
      <c r="B686" s="273" t="s">
        <v>862</v>
      </c>
      <c r="C686" s="274">
        <v>69100</v>
      </c>
      <c r="D686" s="273" t="s">
        <v>614</v>
      </c>
      <c r="E686" s="273" t="s">
        <v>615</v>
      </c>
      <c r="F686" s="273" t="s">
        <v>58</v>
      </c>
      <c r="G686" s="273" t="s">
        <v>220</v>
      </c>
      <c r="H686" s="275">
        <v>691</v>
      </c>
      <c r="I686" s="275"/>
      <c r="J686" s="270" t="s">
        <v>221</v>
      </c>
    </row>
    <row r="687" ht="21" hidden="1" spans="1:10">
      <c r="A687" s="273" t="s">
        <v>861</v>
      </c>
      <c r="B687" s="273" t="s">
        <v>862</v>
      </c>
      <c r="C687" s="274">
        <v>69200</v>
      </c>
      <c r="D687" s="273" t="s">
        <v>874</v>
      </c>
      <c r="E687" s="273" t="s">
        <v>875</v>
      </c>
      <c r="F687" s="273" t="s">
        <v>58</v>
      </c>
      <c r="G687" s="273" t="s">
        <v>220</v>
      </c>
      <c r="H687" s="275">
        <v>692</v>
      </c>
      <c r="I687" s="275"/>
      <c r="J687" s="270" t="s">
        <v>221</v>
      </c>
    </row>
    <row r="688" ht="21" hidden="1" spans="1:10">
      <c r="A688" s="273" t="s">
        <v>861</v>
      </c>
      <c r="B688" s="273" t="s">
        <v>862</v>
      </c>
      <c r="C688" s="274">
        <v>119300</v>
      </c>
      <c r="D688" s="273" t="s">
        <v>876</v>
      </c>
      <c r="E688" s="273" t="s">
        <v>877</v>
      </c>
      <c r="F688" s="273" t="s">
        <v>58</v>
      </c>
      <c r="G688" s="273" t="s">
        <v>220</v>
      </c>
      <c r="H688" s="275">
        <v>1307</v>
      </c>
      <c r="I688" s="275"/>
      <c r="J688" s="270" t="s">
        <v>221</v>
      </c>
    </row>
    <row r="689" hidden="1" spans="1:10">
      <c r="A689" s="273" t="s">
        <v>861</v>
      </c>
      <c r="B689" s="273" t="s">
        <v>862</v>
      </c>
      <c r="C689" s="274">
        <v>69300</v>
      </c>
      <c r="D689" s="273" t="s">
        <v>238</v>
      </c>
      <c r="E689" s="273" t="s">
        <v>239</v>
      </c>
      <c r="F689" s="273" t="s">
        <v>240</v>
      </c>
      <c r="G689" s="273" t="s">
        <v>241</v>
      </c>
      <c r="H689" s="275">
        <v>693</v>
      </c>
      <c r="I689" s="275"/>
      <c r="J689" s="270" t="s">
        <v>4</v>
      </c>
    </row>
    <row r="690" s="267" customFormat="1" ht="10.5" hidden="1" spans="1:10">
      <c r="A690" s="278" t="s">
        <v>878</v>
      </c>
      <c r="B690" s="278" t="s">
        <v>879</v>
      </c>
      <c r="C690" s="279">
        <v>69600</v>
      </c>
      <c r="D690" s="278" t="s">
        <v>56</v>
      </c>
      <c r="E690" s="278" t="s">
        <v>57</v>
      </c>
      <c r="F690" s="278" t="s">
        <v>58</v>
      </c>
      <c r="G690" s="278" t="s">
        <v>59</v>
      </c>
      <c r="H690" s="280">
        <v>696</v>
      </c>
      <c r="I690" s="283"/>
      <c r="J690" s="284" t="str">
        <f>+$J$353</f>
        <v>Indicare se l'impianto di potabilizzazione è dotato di sistema di rimozione dei metalli pesanti.</v>
      </c>
    </row>
    <row r="691" s="267" customFormat="1" ht="10.5" hidden="1" spans="1:10">
      <c r="A691" s="278" t="s">
        <v>878</v>
      </c>
      <c r="B691" s="278" t="s">
        <v>879</v>
      </c>
      <c r="C691" s="279">
        <v>69800</v>
      </c>
      <c r="D691" s="278" t="s">
        <v>631</v>
      </c>
      <c r="E691" s="278" t="s">
        <v>632</v>
      </c>
      <c r="F691" s="278" t="s">
        <v>63</v>
      </c>
      <c r="G691" s="278" t="s">
        <v>141</v>
      </c>
      <c r="H691" s="280">
        <v>698</v>
      </c>
      <c r="I691" s="283"/>
      <c r="J691" s="284" t="str">
        <f>+$J$354</f>
        <v>Indicare se l'impianto di potabilizzazione è dotato di sistema di rimozione dei trialometani.</v>
      </c>
    </row>
    <row r="692" s="267" customFormat="1" ht="10.5" hidden="1" spans="1:10">
      <c r="A692" s="278" t="s">
        <v>878</v>
      </c>
      <c r="B692" s="278" t="s">
        <v>879</v>
      </c>
      <c r="C692" s="279">
        <v>69900</v>
      </c>
      <c r="D692" s="278" t="s">
        <v>634</v>
      </c>
      <c r="E692" s="278" t="s">
        <v>635</v>
      </c>
      <c r="F692" s="278" t="s">
        <v>112</v>
      </c>
      <c r="G692" s="278" t="s">
        <v>113</v>
      </c>
      <c r="H692" s="280">
        <v>699</v>
      </c>
      <c r="I692" s="283"/>
      <c r="J692" s="284" t="str">
        <f>+$J$355</f>
        <v>Indicare se l'impianto di potabilizzazione è dotato di sistema di rimozione degli organoalogenati.</v>
      </c>
    </row>
    <row r="693" s="267" customFormat="1" ht="21" hidden="1" spans="1:10">
      <c r="A693" s="278" t="s">
        <v>878</v>
      </c>
      <c r="B693" s="278" t="s">
        <v>879</v>
      </c>
      <c r="C693" s="279">
        <v>70000</v>
      </c>
      <c r="D693" s="278" t="s">
        <v>136</v>
      </c>
      <c r="E693" s="278" t="s">
        <v>137</v>
      </c>
      <c r="F693" s="278" t="s">
        <v>112</v>
      </c>
      <c r="G693" s="278" t="s">
        <v>113</v>
      </c>
      <c r="H693" s="280">
        <v>700</v>
      </c>
      <c r="I693" s="283" t="s">
        <v>65</v>
      </c>
      <c r="J693" s="287" t="str">
        <f>+$J$22</f>
        <v>Indicare se l'utilizzo previsto per l'opera di presa è: CONTINUO (sempre funzionante), PERIODICO (per es. stagionale), OCCASIONALE (per es. in casi di emergenza).</v>
      </c>
    </row>
    <row r="694" s="267" customFormat="1" ht="52.5" hidden="1" spans="1:10">
      <c r="A694" s="278" t="s">
        <v>878</v>
      </c>
      <c r="B694" s="278" t="s">
        <v>879</v>
      </c>
      <c r="C694" s="279">
        <v>70100</v>
      </c>
      <c r="D694" s="278" t="s">
        <v>401</v>
      </c>
      <c r="E694" s="278" t="s">
        <v>401</v>
      </c>
      <c r="F694" s="278" t="s">
        <v>303</v>
      </c>
      <c r="G694" s="278" t="s">
        <v>836</v>
      </c>
      <c r="H694" s="280">
        <v>701</v>
      </c>
      <c r="I694" s="283"/>
      <c r="J694" s="284"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695" s="267" customFormat="1" ht="21" hidden="1" spans="1:10">
      <c r="A695" s="278" t="s">
        <v>878</v>
      </c>
      <c r="B695" s="278" t="s">
        <v>879</v>
      </c>
      <c r="C695" s="279">
        <v>70200</v>
      </c>
      <c r="D695" s="278" t="s">
        <v>130</v>
      </c>
      <c r="E695" s="278" t="s">
        <v>639</v>
      </c>
      <c r="F695" s="278" t="s">
        <v>130</v>
      </c>
      <c r="G695" s="278" t="s">
        <v>131</v>
      </c>
      <c r="H695" s="280">
        <v>702</v>
      </c>
      <c r="I695" s="283"/>
      <c r="J695" s="284" t="str">
        <f>+$J$358</f>
        <v>Indice di confidenza del dato: indica il grado di affidabilità della specifica informazione secondo la scala di qualità del dato definita in tabella. VEDI TABELLA</v>
      </c>
    </row>
    <row r="696" s="267" customFormat="1" ht="21" hidden="1" spans="1:10">
      <c r="A696" s="278" t="s">
        <v>878</v>
      </c>
      <c r="B696" s="278" t="s">
        <v>879</v>
      </c>
      <c r="C696" s="279">
        <v>120000</v>
      </c>
      <c r="D696" s="278" t="s">
        <v>837</v>
      </c>
      <c r="E696" s="278" t="s">
        <v>838</v>
      </c>
      <c r="F696" s="278" t="s">
        <v>112</v>
      </c>
      <c r="G696" s="278" t="s">
        <v>113</v>
      </c>
      <c r="H696" s="280">
        <v>1451</v>
      </c>
      <c r="I696" s="283" t="s">
        <v>65</v>
      </c>
      <c r="J696" s="284" t="s">
        <v>839</v>
      </c>
    </row>
    <row r="697" s="267" customFormat="1" ht="10.5" hidden="1" spans="1:10">
      <c r="A697" s="278" t="s">
        <v>878</v>
      </c>
      <c r="B697" s="278" t="s">
        <v>879</v>
      </c>
      <c r="C697" s="279">
        <v>70300</v>
      </c>
      <c r="D697" s="278" t="s">
        <v>840</v>
      </c>
      <c r="E697" s="278" t="s">
        <v>841</v>
      </c>
      <c r="F697" s="278" t="s">
        <v>125</v>
      </c>
      <c r="G697" s="278" t="s">
        <v>126</v>
      </c>
      <c r="H697" s="280">
        <v>703</v>
      </c>
      <c r="I697" s="283" t="s">
        <v>65</v>
      </c>
      <c r="J697" s="284" t="s">
        <v>880</v>
      </c>
    </row>
    <row r="698" s="267" customFormat="1" ht="21" hidden="1" spans="1:10">
      <c r="A698" s="278" t="s">
        <v>878</v>
      </c>
      <c r="B698" s="278" t="s">
        <v>879</v>
      </c>
      <c r="C698" s="279">
        <v>70400</v>
      </c>
      <c r="D698" s="278" t="s">
        <v>399</v>
      </c>
      <c r="E698" s="278" t="s">
        <v>399</v>
      </c>
      <c r="F698" s="278" t="s">
        <v>562</v>
      </c>
      <c r="G698" s="278" t="s">
        <v>563</v>
      </c>
      <c r="H698" s="280">
        <v>704</v>
      </c>
      <c r="I698" s="283"/>
      <c r="J698" s="284" t="str">
        <f>+$J$360</f>
        <v>Indice di confidenza del dato: indica il grado di affidabilità della specifica informazione secondo la scala di qualità del dato definita in tabella. VEDI TABELLA</v>
      </c>
    </row>
    <row r="699" s="267" customFormat="1" ht="21" hidden="1" spans="1:10">
      <c r="A699" s="278" t="s">
        <v>878</v>
      </c>
      <c r="B699" s="278" t="s">
        <v>879</v>
      </c>
      <c r="C699" s="279">
        <v>70500</v>
      </c>
      <c r="D699" s="278" t="s">
        <v>645</v>
      </c>
      <c r="E699" s="278" t="s">
        <v>646</v>
      </c>
      <c r="F699" s="278" t="s">
        <v>58</v>
      </c>
      <c r="G699" s="278" t="s">
        <v>220</v>
      </c>
      <c r="H699" s="280">
        <v>705</v>
      </c>
      <c r="I699" s="283"/>
      <c r="J699" s="287" t="str">
        <f>+$J$47</f>
        <v>Indice di confidenza del dato: indica il grado di affidabilità della specifica informazione secondo la scala di qualità del dato definita in tabella. VEDI TABELLA</v>
      </c>
    </row>
    <row r="700" s="267" customFormat="1" ht="21" hidden="1" spans="1:10">
      <c r="A700" s="278" t="s">
        <v>878</v>
      </c>
      <c r="B700" s="278" t="s">
        <v>879</v>
      </c>
      <c r="C700" s="279">
        <v>70600</v>
      </c>
      <c r="D700" s="278" t="s">
        <v>647</v>
      </c>
      <c r="E700" s="278" t="s">
        <v>648</v>
      </c>
      <c r="F700" s="278" t="s">
        <v>58</v>
      </c>
      <c r="G700" s="278" t="s">
        <v>220</v>
      </c>
      <c r="H700" s="280">
        <v>706</v>
      </c>
      <c r="I700" s="283"/>
      <c r="J700" s="287" t="str">
        <f>+$J$47</f>
        <v>Indice di confidenza del dato: indica il grado di affidabilità della specifica informazione secondo la scala di qualità del dato definita in tabella. VEDI TABELLA</v>
      </c>
    </row>
    <row r="701" s="267" customFormat="1" ht="21" hidden="1" spans="1:10">
      <c r="A701" s="278" t="s">
        <v>878</v>
      </c>
      <c r="B701" s="278" t="s">
        <v>879</v>
      </c>
      <c r="C701" s="279">
        <v>70700</v>
      </c>
      <c r="D701" s="278" t="s">
        <v>649</v>
      </c>
      <c r="E701" s="278" t="s">
        <v>650</v>
      </c>
      <c r="F701" s="278" t="s">
        <v>58</v>
      </c>
      <c r="G701" s="278" t="s">
        <v>220</v>
      </c>
      <c r="H701" s="280">
        <v>707</v>
      </c>
      <c r="I701" s="283"/>
      <c r="J701" s="287" t="str">
        <f>+$J$47</f>
        <v>Indice di confidenza del dato: indica il grado di affidabilità della specifica informazione secondo la scala di qualità del dato definita in tabella. VEDI TABELLA</v>
      </c>
    </row>
    <row r="702" s="267" customFormat="1" ht="21" hidden="1" spans="1:10">
      <c r="A702" s="278" t="s">
        <v>878</v>
      </c>
      <c r="B702" s="278" t="s">
        <v>879</v>
      </c>
      <c r="C702" s="279">
        <v>70800</v>
      </c>
      <c r="D702" s="278" t="s">
        <v>651</v>
      </c>
      <c r="E702" s="278" t="s">
        <v>652</v>
      </c>
      <c r="F702" s="278" t="s">
        <v>58</v>
      </c>
      <c r="G702" s="278" t="s">
        <v>220</v>
      </c>
      <c r="H702" s="280">
        <v>708</v>
      </c>
      <c r="I702" s="283"/>
      <c r="J702" s="287" t="str">
        <f>+$J$47</f>
        <v>Indice di confidenza del dato: indica il grado di affidabilità della specifica informazione secondo la scala di qualità del dato definita in tabella. VEDI TABELLA</v>
      </c>
    </row>
    <row r="703" s="267" customFormat="1" ht="42" hidden="1" spans="1:10">
      <c r="A703" s="278" t="s">
        <v>878</v>
      </c>
      <c r="B703" s="278" t="s">
        <v>879</v>
      </c>
      <c r="C703" s="285">
        <v>102000</v>
      </c>
      <c r="D703" s="278" t="s">
        <v>842</v>
      </c>
      <c r="E703" s="283" t="s">
        <v>843</v>
      </c>
      <c r="F703" s="286" t="s">
        <v>125</v>
      </c>
      <c r="G703" s="286" t="s">
        <v>126</v>
      </c>
      <c r="H703" s="280">
        <v>1020</v>
      </c>
      <c r="I703" s="283"/>
      <c r="J703" s="284" t="s">
        <v>881</v>
      </c>
    </row>
    <row r="704" ht="21" hidden="1" spans="1:10">
      <c r="A704" s="273" t="s">
        <v>882</v>
      </c>
      <c r="B704" s="273" t="s">
        <v>883</v>
      </c>
      <c r="C704" s="274">
        <v>71100</v>
      </c>
      <c r="D704" s="273" t="s">
        <v>56</v>
      </c>
      <c r="E704" s="273" t="s">
        <v>57</v>
      </c>
      <c r="F704" s="273" t="s">
        <v>58</v>
      </c>
      <c r="G704" s="273" t="s">
        <v>59</v>
      </c>
      <c r="H704" s="275">
        <v>711</v>
      </c>
      <c r="I704" s="275"/>
      <c r="J704" s="270" t="s">
        <v>655</v>
      </c>
    </row>
    <row r="705" ht="21" hidden="1" spans="1:10">
      <c r="A705" s="273" t="s">
        <v>882</v>
      </c>
      <c r="B705" s="273" t="s">
        <v>883</v>
      </c>
      <c r="C705" s="274">
        <v>71300</v>
      </c>
      <c r="D705" s="273" t="s">
        <v>99</v>
      </c>
      <c r="E705" s="273" t="s">
        <v>100</v>
      </c>
      <c r="F705" s="273" t="s">
        <v>101</v>
      </c>
      <c r="G705" s="273" t="s">
        <v>102</v>
      </c>
      <c r="H705" s="275">
        <v>713</v>
      </c>
      <c r="I705" s="275"/>
      <c r="J705" s="270" t="s">
        <v>656</v>
      </c>
    </row>
    <row r="706" ht="21" hidden="1" spans="1:10">
      <c r="A706" s="273" t="s">
        <v>884</v>
      </c>
      <c r="B706" s="273" t="s">
        <v>885</v>
      </c>
      <c r="C706" s="274">
        <v>71600</v>
      </c>
      <c r="D706" s="273" t="s">
        <v>56</v>
      </c>
      <c r="E706" s="273" t="s">
        <v>57</v>
      </c>
      <c r="F706" s="273" t="s">
        <v>58</v>
      </c>
      <c r="G706" s="273" t="s">
        <v>59</v>
      </c>
      <c r="H706" s="275">
        <v>716</v>
      </c>
      <c r="I706" s="275"/>
      <c r="J706" s="270" t="s">
        <v>60</v>
      </c>
    </row>
    <row r="707" ht="52.5" hidden="1" spans="1:10">
      <c r="A707" s="273" t="s">
        <v>884</v>
      </c>
      <c r="B707" s="273" t="s">
        <v>885</v>
      </c>
      <c r="C707" s="274">
        <v>71800</v>
      </c>
      <c r="D707" s="273" t="s">
        <v>61</v>
      </c>
      <c r="E707" s="273" t="s">
        <v>62</v>
      </c>
      <c r="F707" s="273" t="s">
        <v>63</v>
      </c>
      <c r="G707" s="273" t="s">
        <v>64</v>
      </c>
      <c r="H707" s="275">
        <v>718</v>
      </c>
      <c r="I707" s="275" t="s">
        <v>65</v>
      </c>
      <c r="J707" s="270" t="s">
        <v>66</v>
      </c>
    </row>
    <row r="708" ht="21" hidden="1" spans="1:10">
      <c r="A708" s="273" t="s">
        <v>884</v>
      </c>
      <c r="B708" s="273" t="s">
        <v>885</v>
      </c>
      <c r="C708" s="274">
        <v>71900</v>
      </c>
      <c r="D708" s="273" t="s">
        <v>67</v>
      </c>
      <c r="E708" s="273" t="s">
        <v>68</v>
      </c>
      <c r="F708" s="273" t="s">
        <v>63</v>
      </c>
      <c r="G708" s="273" t="s">
        <v>69</v>
      </c>
      <c r="H708" s="275">
        <v>719</v>
      </c>
      <c r="I708" s="275"/>
      <c r="J708" s="270" t="s">
        <v>70</v>
      </c>
    </row>
    <row r="709" hidden="1" spans="1:10">
      <c r="A709" s="273" t="s">
        <v>884</v>
      </c>
      <c r="B709" s="273" t="s">
        <v>885</v>
      </c>
      <c r="C709" s="274">
        <v>72000</v>
      </c>
      <c r="D709" s="273" t="s">
        <v>71</v>
      </c>
      <c r="E709" s="273" t="s">
        <v>72</v>
      </c>
      <c r="F709" s="273" t="s">
        <v>73</v>
      </c>
      <c r="G709" s="273" t="s">
        <v>74</v>
      </c>
      <c r="H709" s="275">
        <v>720</v>
      </c>
      <c r="I709" s="275" t="s">
        <v>65</v>
      </c>
      <c r="J709" s="270" t="s">
        <v>75</v>
      </c>
    </row>
    <row r="710" hidden="1" spans="1:10">
      <c r="A710" s="273" t="s">
        <v>884</v>
      </c>
      <c r="B710" s="273" t="s">
        <v>885</v>
      </c>
      <c r="C710" s="274">
        <v>72100</v>
      </c>
      <c r="D710" s="273" t="s">
        <v>76</v>
      </c>
      <c r="E710" s="273" t="s">
        <v>77</v>
      </c>
      <c r="F710" s="273" t="s">
        <v>73</v>
      </c>
      <c r="G710" s="273" t="s">
        <v>74</v>
      </c>
      <c r="H710" s="275">
        <v>721</v>
      </c>
      <c r="I710" s="275" t="s">
        <v>65</v>
      </c>
      <c r="J710" s="270" t="s">
        <v>78</v>
      </c>
    </row>
    <row r="711" ht="21" hidden="1" spans="1:10">
      <c r="A711" s="273" t="s">
        <v>884</v>
      </c>
      <c r="B711" s="273" t="s">
        <v>885</v>
      </c>
      <c r="C711" s="274">
        <v>72200</v>
      </c>
      <c r="D711" s="273" t="s">
        <v>79</v>
      </c>
      <c r="E711" s="273" t="s">
        <v>80</v>
      </c>
      <c r="F711" s="273" t="s">
        <v>81</v>
      </c>
      <c r="G711" s="273" t="s">
        <v>82</v>
      </c>
      <c r="H711" s="275">
        <v>722</v>
      </c>
      <c r="I711" s="275" t="s">
        <v>65</v>
      </c>
      <c r="J711" s="270" t="s">
        <v>83</v>
      </c>
    </row>
    <row r="712" hidden="1" spans="1:10">
      <c r="A712" s="273" t="s">
        <v>884</v>
      </c>
      <c r="B712" s="273" t="s">
        <v>885</v>
      </c>
      <c r="C712" s="274">
        <v>72300</v>
      </c>
      <c r="D712" s="273" t="s">
        <v>92</v>
      </c>
      <c r="E712" s="273" t="s">
        <v>93</v>
      </c>
      <c r="F712" s="273" t="s">
        <v>73</v>
      </c>
      <c r="G712" s="273" t="s">
        <v>94</v>
      </c>
      <c r="H712" s="275">
        <v>723</v>
      </c>
      <c r="I712" s="275"/>
      <c r="J712" s="270" t="s">
        <v>95</v>
      </c>
    </row>
    <row r="713" hidden="1" spans="1:10">
      <c r="A713" s="273" t="s">
        <v>884</v>
      </c>
      <c r="B713" s="273" t="s">
        <v>885</v>
      </c>
      <c r="C713" s="274">
        <v>72400</v>
      </c>
      <c r="D713" s="273" t="s">
        <v>96</v>
      </c>
      <c r="E713" s="273" t="s">
        <v>97</v>
      </c>
      <c r="F713" s="273" t="s">
        <v>63</v>
      </c>
      <c r="G713" s="273" t="s">
        <v>69</v>
      </c>
      <c r="H713" s="275">
        <v>724</v>
      </c>
      <c r="I713" s="275"/>
      <c r="J713" s="270" t="s">
        <v>98</v>
      </c>
    </row>
    <row r="714" hidden="1" spans="1:10">
      <c r="A714" s="273" t="s">
        <v>884</v>
      </c>
      <c r="B714" s="273" t="s">
        <v>885</v>
      </c>
      <c r="C714" s="274">
        <v>72500</v>
      </c>
      <c r="D714" s="273" t="s">
        <v>99</v>
      </c>
      <c r="E714" s="273" t="s">
        <v>100</v>
      </c>
      <c r="F714" s="273" t="s">
        <v>101</v>
      </c>
      <c r="G714" s="273" t="s">
        <v>102</v>
      </c>
      <c r="H714" s="275">
        <v>725</v>
      </c>
      <c r="I714" s="275" t="s">
        <v>65</v>
      </c>
      <c r="J714" s="270" t="s">
        <v>103</v>
      </c>
    </row>
    <row r="715" hidden="1" spans="1:10">
      <c r="A715" s="273" t="s">
        <v>884</v>
      </c>
      <c r="B715" s="273" t="s">
        <v>885</v>
      </c>
      <c r="C715" s="274">
        <v>72600</v>
      </c>
      <c r="D715" s="273" t="s">
        <v>886</v>
      </c>
      <c r="E715" s="273" t="s">
        <v>887</v>
      </c>
      <c r="F715" s="273" t="s">
        <v>63</v>
      </c>
      <c r="G715" s="273" t="s">
        <v>69</v>
      </c>
      <c r="H715" s="275">
        <v>726</v>
      </c>
      <c r="I715" s="275"/>
      <c r="J715" s="270" t="s">
        <v>888</v>
      </c>
    </row>
    <row r="716" ht="63" hidden="1" spans="1:10">
      <c r="A716" s="273" t="s">
        <v>884</v>
      </c>
      <c r="B716" s="273" t="s">
        <v>885</v>
      </c>
      <c r="C716" s="274">
        <v>72700</v>
      </c>
      <c r="D716" s="273" t="s">
        <v>128</v>
      </c>
      <c r="E716" s="273" t="s">
        <v>129</v>
      </c>
      <c r="F716" s="273" t="s">
        <v>130</v>
      </c>
      <c r="G716" s="273" t="s">
        <v>131</v>
      </c>
      <c r="H716" s="275">
        <v>727</v>
      </c>
      <c r="I716" s="275"/>
      <c r="J716" s="270" t="s">
        <v>132</v>
      </c>
    </row>
    <row r="717" ht="52.5" hidden="1" spans="1:10">
      <c r="A717" s="273" t="s">
        <v>884</v>
      </c>
      <c r="B717" s="273" t="s">
        <v>885</v>
      </c>
      <c r="C717" s="274">
        <v>72800</v>
      </c>
      <c r="D717" s="273" t="s">
        <v>416</v>
      </c>
      <c r="E717" s="273" t="s">
        <v>696</v>
      </c>
      <c r="F717" s="273" t="s">
        <v>130</v>
      </c>
      <c r="G717" s="273" t="s">
        <v>131</v>
      </c>
      <c r="H717" s="275">
        <v>728</v>
      </c>
      <c r="I717" s="275" t="s">
        <v>65</v>
      </c>
      <c r="J717" s="270" t="s">
        <v>417</v>
      </c>
    </row>
    <row r="718" ht="21" hidden="1" spans="1:10">
      <c r="A718" s="273" t="s">
        <v>884</v>
      </c>
      <c r="B718" s="273" t="s">
        <v>885</v>
      </c>
      <c r="C718" s="274">
        <v>72900</v>
      </c>
      <c r="D718" s="273" t="s">
        <v>418</v>
      </c>
      <c r="E718" s="273" t="s">
        <v>419</v>
      </c>
      <c r="F718" s="273" t="s">
        <v>112</v>
      </c>
      <c r="G718" s="273" t="s">
        <v>113</v>
      </c>
      <c r="H718" s="275">
        <v>729</v>
      </c>
      <c r="I718" s="275" t="s">
        <v>65</v>
      </c>
      <c r="J718" s="270" t="s">
        <v>138</v>
      </c>
    </row>
    <row r="719" ht="94.5" hidden="1" spans="1:10">
      <c r="A719" s="273" t="s">
        <v>884</v>
      </c>
      <c r="B719" s="273" t="s">
        <v>885</v>
      </c>
      <c r="C719" s="274">
        <v>73000</v>
      </c>
      <c r="D719" s="273" t="s">
        <v>420</v>
      </c>
      <c r="E719" s="273" t="s">
        <v>421</v>
      </c>
      <c r="F719" s="273" t="s">
        <v>130</v>
      </c>
      <c r="G719" s="273" t="s">
        <v>131</v>
      </c>
      <c r="H719" s="275">
        <v>730</v>
      </c>
      <c r="I719" s="275" t="s">
        <v>65</v>
      </c>
      <c r="J719" s="270" t="s">
        <v>889</v>
      </c>
    </row>
    <row r="720" ht="21" hidden="1" spans="1:10">
      <c r="A720" s="273" t="s">
        <v>884</v>
      </c>
      <c r="B720" s="273" t="s">
        <v>885</v>
      </c>
      <c r="C720" s="274">
        <v>73100</v>
      </c>
      <c r="D720" s="273" t="s">
        <v>423</v>
      </c>
      <c r="E720" s="273" t="s">
        <v>424</v>
      </c>
      <c r="F720" s="273" t="s">
        <v>112</v>
      </c>
      <c r="G720" s="273" t="s">
        <v>113</v>
      </c>
      <c r="H720" s="275">
        <v>731</v>
      </c>
      <c r="I720" s="275" t="s">
        <v>65</v>
      </c>
      <c r="J720" s="270" t="s">
        <v>138</v>
      </c>
    </row>
    <row r="721" hidden="1" spans="1:10">
      <c r="A721" s="273" t="s">
        <v>884</v>
      </c>
      <c r="B721" s="273" t="s">
        <v>885</v>
      </c>
      <c r="C721" s="274">
        <v>73200</v>
      </c>
      <c r="D721" s="273" t="s">
        <v>890</v>
      </c>
      <c r="E721" s="273" t="s">
        <v>891</v>
      </c>
      <c r="F721" s="273" t="s">
        <v>892</v>
      </c>
      <c r="G721" s="273" t="s">
        <v>893</v>
      </c>
      <c r="H721" s="275">
        <v>732</v>
      </c>
      <c r="I721" s="275" t="s">
        <v>65</v>
      </c>
      <c r="J721" s="270" t="s">
        <v>894</v>
      </c>
    </row>
    <row r="722" ht="73.5" hidden="1" spans="1:10">
      <c r="A722" s="273" t="s">
        <v>884</v>
      </c>
      <c r="B722" s="273" t="s">
        <v>885</v>
      </c>
      <c r="C722" s="274">
        <v>73300</v>
      </c>
      <c r="D722" s="273" t="s">
        <v>895</v>
      </c>
      <c r="E722" s="273" t="s">
        <v>896</v>
      </c>
      <c r="F722" s="273" t="s">
        <v>892</v>
      </c>
      <c r="G722" s="273" t="s">
        <v>893</v>
      </c>
      <c r="H722" s="275">
        <v>733</v>
      </c>
      <c r="I722" s="275" t="s">
        <v>65</v>
      </c>
      <c r="J722" s="270" t="s">
        <v>897</v>
      </c>
    </row>
    <row r="723" ht="63" hidden="1" spans="1:10">
      <c r="A723" s="273" t="s">
        <v>884</v>
      </c>
      <c r="B723" s="273" t="s">
        <v>885</v>
      </c>
      <c r="C723" s="274">
        <v>73400</v>
      </c>
      <c r="D723" s="273" t="s">
        <v>898</v>
      </c>
      <c r="E723" s="273" t="s">
        <v>899</v>
      </c>
      <c r="F723" s="273" t="s">
        <v>892</v>
      </c>
      <c r="G723" s="273" t="s">
        <v>893</v>
      </c>
      <c r="H723" s="275">
        <v>734</v>
      </c>
      <c r="I723" s="275"/>
      <c r="J723" s="270" t="s">
        <v>900</v>
      </c>
    </row>
    <row r="724" ht="21" hidden="1" spans="1:10">
      <c r="A724" s="273" t="s">
        <v>884</v>
      </c>
      <c r="B724" s="273" t="s">
        <v>885</v>
      </c>
      <c r="C724" s="274">
        <v>73500</v>
      </c>
      <c r="D724" s="273" t="s">
        <v>901</v>
      </c>
      <c r="E724" s="273" t="s">
        <v>902</v>
      </c>
      <c r="F724" s="273" t="s">
        <v>903</v>
      </c>
      <c r="G724" s="273" t="s">
        <v>904</v>
      </c>
      <c r="H724" s="275">
        <v>735</v>
      </c>
      <c r="I724" s="275" t="s">
        <v>65</v>
      </c>
      <c r="J724" s="270" t="s">
        <v>905</v>
      </c>
    </row>
    <row r="725" ht="21" hidden="1" spans="1:10">
      <c r="A725" s="273" t="s">
        <v>884</v>
      </c>
      <c r="B725" s="273" t="s">
        <v>885</v>
      </c>
      <c r="C725" s="274">
        <v>73600</v>
      </c>
      <c r="D725" s="273" t="s">
        <v>906</v>
      </c>
      <c r="E725" s="273" t="s">
        <v>907</v>
      </c>
      <c r="F725" s="273" t="s">
        <v>903</v>
      </c>
      <c r="G725" s="273" t="s">
        <v>904</v>
      </c>
      <c r="H725" s="275">
        <v>736</v>
      </c>
      <c r="I725" s="275" t="s">
        <v>65</v>
      </c>
      <c r="J725" s="270" t="s">
        <v>908</v>
      </c>
    </row>
    <row r="726" ht="21" hidden="1" spans="1:10">
      <c r="A726" s="273" t="s">
        <v>884</v>
      </c>
      <c r="B726" s="273" t="s">
        <v>885</v>
      </c>
      <c r="C726" s="274">
        <v>73700</v>
      </c>
      <c r="D726" s="273" t="s">
        <v>909</v>
      </c>
      <c r="E726" s="273" t="s">
        <v>910</v>
      </c>
      <c r="F726" s="273" t="s">
        <v>155</v>
      </c>
      <c r="G726" s="273" t="s">
        <v>156</v>
      </c>
      <c r="H726" s="275">
        <v>737</v>
      </c>
      <c r="I726" s="275" t="s">
        <v>65</v>
      </c>
      <c r="J726" s="270" t="s">
        <v>911</v>
      </c>
    </row>
    <row r="727" ht="21" hidden="1" spans="1:10">
      <c r="A727" s="273" t="s">
        <v>884</v>
      </c>
      <c r="B727" s="273" t="s">
        <v>885</v>
      </c>
      <c r="C727" s="274">
        <v>73800</v>
      </c>
      <c r="D727" s="273" t="s">
        <v>912</v>
      </c>
      <c r="E727" s="273" t="s">
        <v>913</v>
      </c>
      <c r="F727" s="273" t="s">
        <v>155</v>
      </c>
      <c r="G727" s="273" t="s">
        <v>156</v>
      </c>
      <c r="H727" s="275">
        <v>738</v>
      </c>
      <c r="I727" s="275"/>
      <c r="J727" s="270" t="s">
        <v>914</v>
      </c>
    </row>
    <row r="728" ht="63" hidden="1" spans="1:10">
      <c r="A728" s="273" t="s">
        <v>884</v>
      </c>
      <c r="B728" s="273" t="s">
        <v>885</v>
      </c>
      <c r="C728" s="274">
        <v>73900</v>
      </c>
      <c r="D728" s="273" t="s">
        <v>191</v>
      </c>
      <c r="E728" s="273" t="s">
        <v>192</v>
      </c>
      <c r="F728" s="273" t="s">
        <v>112</v>
      </c>
      <c r="G728" s="273" t="s">
        <v>113</v>
      </c>
      <c r="H728" s="275">
        <v>739</v>
      </c>
      <c r="I728" s="275" t="s">
        <v>65</v>
      </c>
      <c r="J728" s="270" t="s">
        <v>193</v>
      </c>
    </row>
    <row r="729" ht="21" hidden="1" spans="1:10">
      <c r="A729" s="273" t="s">
        <v>884</v>
      </c>
      <c r="B729" s="273" t="s">
        <v>885</v>
      </c>
      <c r="C729" s="274">
        <v>74000</v>
      </c>
      <c r="D729" s="273" t="s">
        <v>915</v>
      </c>
      <c r="E729" s="273" t="s">
        <v>916</v>
      </c>
      <c r="F729" s="273" t="s">
        <v>125</v>
      </c>
      <c r="G729" s="273" t="s">
        <v>126</v>
      </c>
      <c r="H729" s="275">
        <v>740</v>
      </c>
      <c r="I729" s="275"/>
      <c r="J729" s="270" t="s">
        <v>917</v>
      </c>
    </row>
    <row r="730" ht="94.5" hidden="1" spans="1:10">
      <c r="A730" s="273" t="s">
        <v>884</v>
      </c>
      <c r="B730" s="273" t="s">
        <v>885</v>
      </c>
      <c r="C730" s="274">
        <v>74100</v>
      </c>
      <c r="D730" s="273" t="s">
        <v>306</v>
      </c>
      <c r="E730" s="273" t="s">
        <v>307</v>
      </c>
      <c r="F730" s="273" t="s">
        <v>308</v>
      </c>
      <c r="G730" s="273" t="s">
        <v>309</v>
      </c>
      <c r="H730" s="275">
        <v>741</v>
      </c>
      <c r="I730" s="275"/>
      <c r="J730" s="270" t="s">
        <v>310</v>
      </c>
    </row>
    <row r="731" ht="42" hidden="1" spans="1:10">
      <c r="A731" s="273" t="s">
        <v>884</v>
      </c>
      <c r="B731" s="273" t="s">
        <v>885</v>
      </c>
      <c r="C731" s="274">
        <v>74200</v>
      </c>
      <c r="D731" s="273" t="s">
        <v>311</v>
      </c>
      <c r="E731" s="273" t="s">
        <v>312</v>
      </c>
      <c r="F731" s="273" t="s">
        <v>313</v>
      </c>
      <c r="G731" s="273" t="s">
        <v>314</v>
      </c>
      <c r="H731" s="275">
        <v>742</v>
      </c>
      <c r="I731" s="275"/>
      <c r="J731" s="270" t="s">
        <v>315</v>
      </c>
    </row>
    <row r="732" ht="21" hidden="1" spans="1:10">
      <c r="A732" s="273" t="s">
        <v>884</v>
      </c>
      <c r="B732" s="273" t="s">
        <v>885</v>
      </c>
      <c r="C732" s="274">
        <v>74300</v>
      </c>
      <c r="D732" s="273" t="s">
        <v>918</v>
      </c>
      <c r="E732" s="273" t="s">
        <v>919</v>
      </c>
      <c r="F732" s="273" t="s">
        <v>313</v>
      </c>
      <c r="G732" s="273" t="s">
        <v>314</v>
      </c>
      <c r="H732" s="275">
        <v>743</v>
      </c>
      <c r="I732" s="275"/>
      <c r="J732" s="270" t="s">
        <v>920</v>
      </c>
    </row>
    <row r="733" ht="21" hidden="1" spans="1:10">
      <c r="A733" s="273" t="s">
        <v>884</v>
      </c>
      <c r="B733" s="273" t="s">
        <v>885</v>
      </c>
      <c r="C733" s="274">
        <v>74400</v>
      </c>
      <c r="D733" s="273" t="s">
        <v>921</v>
      </c>
      <c r="E733" s="273" t="s">
        <v>437</v>
      </c>
      <c r="F733" s="273" t="s">
        <v>438</v>
      </c>
      <c r="G733" s="273" t="s">
        <v>439</v>
      </c>
      <c r="H733" s="275">
        <v>744</v>
      </c>
      <c r="I733" s="275"/>
      <c r="J733" s="270" t="s">
        <v>440</v>
      </c>
    </row>
    <row r="734" hidden="1" spans="1:10">
      <c r="A734" s="273" t="s">
        <v>884</v>
      </c>
      <c r="B734" s="273" t="s">
        <v>885</v>
      </c>
      <c r="C734" s="274">
        <v>102300</v>
      </c>
      <c r="D734" s="273" t="s">
        <v>447</v>
      </c>
      <c r="E734" s="273" t="s">
        <v>448</v>
      </c>
      <c r="F734" s="273" t="s">
        <v>125</v>
      </c>
      <c r="G734" s="273" t="s">
        <v>126</v>
      </c>
      <c r="H734" s="275">
        <v>1023</v>
      </c>
      <c r="I734" s="275" t="s">
        <v>65</v>
      </c>
      <c r="J734" s="270" t="s">
        <v>449</v>
      </c>
    </row>
    <row r="735" hidden="1" spans="1:10">
      <c r="A735" s="273" t="s">
        <v>884</v>
      </c>
      <c r="B735" s="273" t="s">
        <v>885</v>
      </c>
      <c r="C735" s="274">
        <v>102400</v>
      </c>
      <c r="D735" s="273" t="s">
        <v>450</v>
      </c>
      <c r="E735" s="273" t="s">
        <v>451</v>
      </c>
      <c r="F735" s="273" t="s">
        <v>125</v>
      </c>
      <c r="G735" s="273" t="s">
        <v>126</v>
      </c>
      <c r="H735" s="275">
        <v>1024</v>
      </c>
      <c r="I735" s="275" t="s">
        <v>65</v>
      </c>
      <c r="J735" s="270" t="s">
        <v>452</v>
      </c>
    </row>
    <row r="736" hidden="1" spans="1:10">
      <c r="A736" s="273" t="s">
        <v>884</v>
      </c>
      <c r="B736" s="273" t="s">
        <v>885</v>
      </c>
      <c r="C736" s="274">
        <v>74500</v>
      </c>
      <c r="D736" s="273" t="s">
        <v>922</v>
      </c>
      <c r="E736" s="273" t="s">
        <v>923</v>
      </c>
      <c r="F736" s="273" t="s">
        <v>112</v>
      </c>
      <c r="G736" s="273" t="s">
        <v>113</v>
      </c>
      <c r="H736" s="275">
        <v>745</v>
      </c>
      <c r="I736" s="275"/>
      <c r="J736" s="270" t="s">
        <v>924</v>
      </c>
    </row>
    <row r="737" hidden="1" spans="1:10">
      <c r="A737" s="273" t="s">
        <v>884</v>
      </c>
      <c r="B737" s="273" t="s">
        <v>885</v>
      </c>
      <c r="C737" s="274">
        <v>74600</v>
      </c>
      <c r="D737" s="273" t="s">
        <v>925</v>
      </c>
      <c r="E737" s="273" t="s">
        <v>926</v>
      </c>
      <c r="F737" s="273" t="s">
        <v>81</v>
      </c>
      <c r="G737" s="273" t="s">
        <v>82</v>
      </c>
      <c r="H737" s="275">
        <v>746</v>
      </c>
      <c r="I737" s="275"/>
      <c r="J737" s="270" t="s">
        <v>927</v>
      </c>
    </row>
    <row r="738" hidden="1" spans="1:10">
      <c r="A738" s="273" t="s">
        <v>884</v>
      </c>
      <c r="B738" s="273" t="s">
        <v>885</v>
      </c>
      <c r="C738" s="274">
        <v>74700</v>
      </c>
      <c r="D738" s="273" t="s">
        <v>928</v>
      </c>
      <c r="E738" s="273" t="s">
        <v>929</v>
      </c>
      <c r="F738" s="273" t="s">
        <v>125</v>
      </c>
      <c r="G738" s="273" t="s">
        <v>126</v>
      </c>
      <c r="H738" s="275">
        <v>747</v>
      </c>
      <c r="I738" s="275" t="s">
        <v>65</v>
      </c>
      <c r="J738" s="270" t="s">
        <v>930</v>
      </c>
    </row>
    <row r="739" hidden="1" spans="1:10">
      <c r="A739" s="273" t="s">
        <v>884</v>
      </c>
      <c r="B739" s="273" t="s">
        <v>885</v>
      </c>
      <c r="C739" s="274">
        <v>74800</v>
      </c>
      <c r="D739" s="273" t="s">
        <v>931</v>
      </c>
      <c r="E739" s="273" t="s">
        <v>932</v>
      </c>
      <c r="F739" s="273" t="s">
        <v>125</v>
      </c>
      <c r="G739" s="273" t="s">
        <v>126</v>
      </c>
      <c r="H739" s="275">
        <v>748</v>
      </c>
      <c r="I739" s="275" t="s">
        <v>65</v>
      </c>
      <c r="J739" s="270" t="s">
        <v>933</v>
      </c>
    </row>
    <row r="740" hidden="1" spans="1:10">
      <c r="A740" s="273" t="s">
        <v>884</v>
      </c>
      <c r="B740" s="273" t="s">
        <v>885</v>
      </c>
      <c r="C740" s="274">
        <v>74900</v>
      </c>
      <c r="D740" s="273" t="s">
        <v>934</v>
      </c>
      <c r="E740" s="273" t="s">
        <v>935</v>
      </c>
      <c r="F740" s="273" t="s">
        <v>125</v>
      </c>
      <c r="G740" s="273" t="s">
        <v>126</v>
      </c>
      <c r="H740" s="275">
        <v>749</v>
      </c>
      <c r="I740" s="275" t="s">
        <v>65</v>
      </c>
      <c r="J740" s="270" t="s">
        <v>936</v>
      </c>
    </row>
    <row r="741" hidden="1" spans="1:10">
      <c r="A741" s="273" t="s">
        <v>884</v>
      </c>
      <c r="B741" s="273" t="s">
        <v>885</v>
      </c>
      <c r="C741" s="274">
        <v>75000</v>
      </c>
      <c r="D741" s="273" t="s">
        <v>937</v>
      </c>
      <c r="E741" s="273" t="s">
        <v>938</v>
      </c>
      <c r="F741" s="273" t="s">
        <v>125</v>
      </c>
      <c r="G741" s="273" t="s">
        <v>126</v>
      </c>
      <c r="H741" s="275">
        <v>750</v>
      </c>
      <c r="I741" s="275" t="s">
        <v>65</v>
      </c>
      <c r="J741" s="270" t="s">
        <v>939</v>
      </c>
    </row>
    <row r="742" hidden="1" spans="1:10">
      <c r="A742" s="273" t="s">
        <v>884</v>
      </c>
      <c r="B742" s="273" t="s">
        <v>885</v>
      </c>
      <c r="C742" s="274">
        <v>75100</v>
      </c>
      <c r="D742" s="273" t="s">
        <v>940</v>
      </c>
      <c r="E742" s="273" t="s">
        <v>941</v>
      </c>
      <c r="F742" s="273" t="s">
        <v>125</v>
      </c>
      <c r="G742" s="273" t="s">
        <v>126</v>
      </c>
      <c r="H742" s="275">
        <v>751</v>
      </c>
      <c r="I742" s="275" t="s">
        <v>65</v>
      </c>
      <c r="J742" s="270" t="s">
        <v>942</v>
      </c>
    </row>
    <row r="743" hidden="1" spans="1:10">
      <c r="A743" s="273" t="s">
        <v>884</v>
      </c>
      <c r="B743" s="273" t="s">
        <v>885</v>
      </c>
      <c r="C743" s="274">
        <v>75200</v>
      </c>
      <c r="D743" s="273" t="s">
        <v>943</v>
      </c>
      <c r="E743" s="273" t="s">
        <v>944</v>
      </c>
      <c r="F743" s="273" t="s">
        <v>125</v>
      </c>
      <c r="G743" s="273" t="s">
        <v>126</v>
      </c>
      <c r="H743" s="275">
        <v>752</v>
      </c>
      <c r="I743" s="275" t="s">
        <v>65</v>
      </c>
      <c r="J743" s="270" t="s">
        <v>945</v>
      </c>
    </row>
    <row r="744" hidden="1" spans="1:10">
      <c r="A744" s="273" t="s">
        <v>884</v>
      </c>
      <c r="B744" s="273" t="s">
        <v>885</v>
      </c>
      <c r="C744" s="274">
        <v>75300</v>
      </c>
      <c r="D744" s="273" t="s">
        <v>946</v>
      </c>
      <c r="E744" s="273" t="s">
        <v>947</v>
      </c>
      <c r="F744" s="273" t="s">
        <v>125</v>
      </c>
      <c r="G744" s="273" t="s">
        <v>126</v>
      </c>
      <c r="H744" s="275">
        <v>753</v>
      </c>
      <c r="I744" s="275" t="s">
        <v>65</v>
      </c>
      <c r="J744" s="270" t="s">
        <v>948</v>
      </c>
    </row>
    <row r="745" hidden="1" spans="1:10">
      <c r="A745" s="273" t="s">
        <v>884</v>
      </c>
      <c r="B745" s="273" t="s">
        <v>885</v>
      </c>
      <c r="C745" s="274">
        <v>75400</v>
      </c>
      <c r="D745" s="273" t="s">
        <v>949</v>
      </c>
      <c r="E745" s="273" t="s">
        <v>950</v>
      </c>
      <c r="F745" s="273" t="s">
        <v>125</v>
      </c>
      <c r="G745" s="273" t="s">
        <v>126</v>
      </c>
      <c r="H745" s="275">
        <v>754</v>
      </c>
      <c r="I745" s="275" t="s">
        <v>65</v>
      </c>
      <c r="J745" s="270" t="s">
        <v>951</v>
      </c>
    </row>
    <row r="746" hidden="1" spans="1:10">
      <c r="A746" s="273" t="s">
        <v>884</v>
      </c>
      <c r="B746" s="273" t="s">
        <v>885</v>
      </c>
      <c r="C746" s="274">
        <v>75500</v>
      </c>
      <c r="D746" s="273" t="s">
        <v>952</v>
      </c>
      <c r="E746" s="273" t="s">
        <v>953</v>
      </c>
      <c r="F746" s="273" t="s">
        <v>125</v>
      </c>
      <c r="G746" s="273" t="s">
        <v>126</v>
      </c>
      <c r="H746" s="275">
        <v>755</v>
      </c>
      <c r="I746" s="275" t="s">
        <v>65</v>
      </c>
      <c r="J746" s="270" t="s">
        <v>954</v>
      </c>
    </row>
    <row r="747" ht="21" hidden="1" spans="1:10">
      <c r="A747" s="273" t="s">
        <v>884</v>
      </c>
      <c r="B747" s="273" t="s">
        <v>885</v>
      </c>
      <c r="C747" s="274">
        <v>75600</v>
      </c>
      <c r="D747" s="273" t="s">
        <v>955</v>
      </c>
      <c r="E747" s="273" t="s">
        <v>956</v>
      </c>
      <c r="F747" s="273" t="s">
        <v>125</v>
      </c>
      <c r="G747" s="273" t="s">
        <v>126</v>
      </c>
      <c r="H747" s="275">
        <v>756</v>
      </c>
      <c r="I747" s="275" t="s">
        <v>65</v>
      </c>
      <c r="J747" s="270" t="s">
        <v>957</v>
      </c>
    </row>
    <row r="748" hidden="1" spans="1:10">
      <c r="A748" s="273" t="s">
        <v>884</v>
      </c>
      <c r="B748" s="273" t="s">
        <v>885</v>
      </c>
      <c r="C748" s="274">
        <v>75700</v>
      </c>
      <c r="D748" s="273" t="s">
        <v>958</v>
      </c>
      <c r="E748" s="273" t="s">
        <v>959</v>
      </c>
      <c r="F748" s="273" t="s">
        <v>125</v>
      </c>
      <c r="G748" s="273" t="s">
        <v>126</v>
      </c>
      <c r="H748" s="275">
        <v>757</v>
      </c>
      <c r="I748" s="275" t="s">
        <v>65</v>
      </c>
      <c r="J748" s="270" t="s">
        <v>960</v>
      </c>
    </row>
    <row r="749" hidden="1" spans="1:10">
      <c r="A749" s="273" t="s">
        <v>884</v>
      </c>
      <c r="B749" s="273" t="s">
        <v>885</v>
      </c>
      <c r="C749" s="274">
        <v>75800</v>
      </c>
      <c r="D749" s="273" t="s">
        <v>961</v>
      </c>
      <c r="E749" s="273" t="s">
        <v>962</v>
      </c>
      <c r="F749" s="273" t="s">
        <v>125</v>
      </c>
      <c r="G749" s="273" t="s">
        <v>126</v>
      </c>
      <c r="H749" s="275">
        <v>758</v>
      </c>
      <c r="I749" s="275" t="s">
        <v>65</v>
      </c>
      <c r="J749" s="270" t="s">
        <v>963</v>
      </c>
    </row>
    <row r="750" ht="21" hidden="1" spans="1:10">
      <c r="A750" s="273" t="s">
        <v>884</v>
      </c>
      <c r="B750" s="273" t="s">
        <v>885</v>
      </c>
      <c r="C750" s="274">
        <v>75900</v>
      </c>
      <c r="D750" s="273" t="s">
        <v>964</v>
      </c>
      <c r="E750" s="273" t="s">
        <v>965</v>
      </c>
      <c r="F750" s="273" t="s">
        <v>125</v>
      </c>
      <c r="G750" s="273" t="s">
        <v>126</v>
      </c>
      <c r="H750" s="275">
        <v>759</v>
      </c>
      <c r="I750" s="275" t="s">
        <v>65</v>
      </c>
      <c r="J750" s="270" t="s">
        <v>966</v>
      </c>
    </row>
    <row r="751" hidden="1" spans="1:10">
      <c r="A751" s="273" t="s">
        <v>884</v>
      </c>
      <c r="B751" s="273" t="s">
        <v>885</v>
      </c>
      <c r="C751" s="274">
        <v>76000</v>
      </c>
      <c r="D751" s="273" t="s">
        <v>967</v>
      </c>
      <c r="E751" s="273" t="s">
        <v>968</v>
      </c>
      <c r="F751" s="273" t="s">
        <v>125</v>
      </c>
      <c r="G751" s="273" t="s">
        <v>126</v>
      </c>
      <c r="H751" s="275">
        <v>760</v>
      </c>
      <c r="I751" s="275" t="s">
        <v>65</v>
      </c>
      <c r="J751" s="270" t="s">
        <v>969</v>
      </c>
    </row>
    <row r="752" ht="21" hidden="1" spans="1:10">
      <c r="A752" s="273" t="s">
        <v>884</v>
      </c>
      <c r="B752" s="273" t="s">
        <v>885</v>
      </c>
      <c r="C752" s="274">
        <v>76100</v>
      </c>
      <c r="D752" s="273" t="s">
        <v>970</v>
      </c>
      <c r="E752" s="273" t="s">
        <v>971</v>
      </c>
      <c r="F752" s="273" t="s">
        <v>125</v>
      </c>
      <c r="G752" s="273" t="s">
        <v>126</v>
      </c>
      <c r="H752" s="275">
        <v>761</v>
      </c>
      <c r="I752" s="275" t="s">
        <v>65</v>
      </c>
      <c r="J752" s="270" t="s">
        <v>972</v>
      </c>
    </row>
    <row r="753" ht="21" hidden="1" spans="1:10">
      <c r="A753" s="273" t="s">
        <v>884</v>
      </c>
      <c r="B753" s="273" t="s">
        <v>885</v>
      </c>
      <c r="C753" s="274">
        <v>76200</v>
      </c>
      <c r="D753" s="273" t="s">
        <v>973</v>
      </c>
      <c r="E753" s="273" t="s">
        <v>974</v>
      </c>
      <c r="F753" s="273" t="s">
        <v>125</v>
      </c>
      <c r="G753" s="273" t="s">
        <v>126</v>
      </c>
      <c r="H753" s="275">
        <v>762</v>
      </c>
      <c r="I753" s="275" t="s">
        <v>65</v>
      </c>
      <c r="J753" s="270" t="s">
        <v>975</v>
      </c>
    </row>
    <row r="754" hidden="1" spans="1:10">
      <c r="A754" s="273" t="s">
        <v>884</v>
      </c>
      <c r="B754" s="273" t="s">
        <v>885</v>
      </c>
      <c r="C754" s="274">
        <v>76300</v>
      </c>
      <c r="D754" s="273" t="s">
        <v>976</v>
      </c>
      <c r="E754" s="273" t="s">
        <v>977</v>
      </c>
      <c r="F754" s="273" t="s">
        <v>125</v>
      </c>
      <c r="G754" s="273" t="s">
        <v>126</v>
      </c>
      <c r="H754" s="275">
        <v>763</v>
      </c>
      <c r="I754" s="275" t="s">
        <v>65</v>
      </c>
      <c r="J754" s="270" t="s">
        <v>978</v>
      </c>
    </row>
    <row r="755" ht="21" hidden="1" spans="1:10">
      <c r="A755" s="273" t="s">
        <v>884</v>
      </c>
      <c r="B755" s="273" t="s">
        <v>885</v>
      </c>
      <c r="C755" s="274">
        <v>76400</v>
      </c>
      <c r="D755" s="273" t="s">
        <v>979</v>
      </c>
      <c r="E755" s="273" t="s">
        <v>980</v>
      </c>
      <c r="F755" s="273" t="s">
        <v>125</v>
      </c>
      <c r="G755" s="273" t="s">
        <v>126</v>
      </c>
      <c r="H755" s="275">
        <v>764</v>
      </c>
      <c r="I755" s="275" t="s">
        <v>65</v>
      </c>
      <c r="J755" s="270" t="s">
        <v>981</v>
      </c>
    </row>
    <row r="756" hidden="1" spans="1:10">
      <c r="A756" s="273" t="s">
        <v>884</v>
      </c>
      <c r="B756" s="273" t="s">
        <v>885</v>
      </c>
      <c r="C756" s="274">
        <v>76500</v>
      </c>
      <c r="D756" s="273" t="s">
        <v>982</v>
      </c>
      <c r="E756" s="273" t="s">
        <v>983</v>
      </c>
      <c r="F756" s="273" t="s">
        <v>125</v>
      </c>
      <c r="G756" s="273" t="s">
        <v>126</v>
      </c>
      <c r="H756" s="275">
        <v>765</v>
      </c>
      <c r="I756" s="275" t="s">
        <v>65</v>
      </c>
      <c r="J756" s="270" t="s">
        <v>984</v>
      </c>
    </row>
    <row r="757" hidden="1" spans="1:10">
      <c r="A757" s="273" t="s">
        <v>884</v>
      </c>
      <c r="B757" s="273" t="s">
        <v>885</v>
      </c>
      <c r="C757" s="274">
        <v>76600</v>
      </c>
      <c r="D757" s="273" t="s">
        <v>985</v>
      </c>
      <c r="E757" s="273" t="s">
        <v>986</v>
      </c>
      <c r="F757" s="273" t="s">
        <v>125</v>
      </c>
      <c r="G757" s="273" t="s">
        <v>126</v>
      </c>
      <c r="H757" s="275">
        <v>766</v>
      </c>
      <c r="I757" s="275" t="s">
        <v>65</v>
      </c>
      <c r="J757" s="270" t="s">
        <v>987</v>
      </c>
    </row>
    <row r="758" hidden="1" spans="1:10">
      <c r="A758" s="273" t="s">
        <v>884</v>
      </c>
      <c r="B758" s="273" t="s">
        <v>885</v>
      </c>
      <c r="C758" s="274">
        <v>76610</v>
      </c>
      <c r="D758" s="273" t="s">
        <v>988</v>
      </c>
      <c r="E758" s="273" t="s">
        <v>989</v>
      </c>
      <c r="F758" s="273" t="s">
        <v>125</v>
      </c>
      <c r="G758" s="273" t="s">
        <v>126</v>
      </c>
      <c r="H758" s="275">
        <v>1160</v>
      </c>
      <c r="I758" s="275"/>
      <c r="J758" s="270" t="s">
        <v>990</v>
      </c>
    </row>
    <row r="759" hidden="1" spans="1:10">
      <c r="A759" s="273" t="s">
        <v>884</v>
      </c>
      <c r="B759" s="273" t="s">
        <v>885</v>
      </c>
      <c r="C759" s="274">
        <v>76620</v>
      </c>
      <c r="D759" s="273" t="s">
        <v>991</v>
      </c>
      <c r="E759" s="273" t="s">
        <v>992</v>
      </c>
      <c r="F759" s="273" t="s">
        <v>125</v>
      </c>
      <c r="G759" s="273" t="s">
        <v>126</v>
      </c>
      <c r="H759" s="275">
        <v>1161</v>
      </c>
      <c r="I759" s="275"/>
      <c r="J759" s="270" t="s">
        <v>993</v>
      </c>
    </row>
    <row r="760" ht="21" hidden="1" spans="1:10">
      <c r="A760" s="273" t="s">
        <v>884</v>
      </c>
      <c r="B760" s="273" t="s">
        <v>885</v>
      </c>
      <c r="C760" s="274">
        <v>76700</v>
      </c>
      <c r="D760" s="273" t="s">
        <v>994</v>
      </c>
      <c r="E760" s="273" t="s">
        <v>995</v>
      </c>
      <c r="F760" s="273" t="s">
        <v>63</v>
      </c>
      <c r="G760" s="273" t="s">
        <v>86</v>
      </c>
      <c r="H760" s="275">
        <v>767</v>
      </c>
      <c r="I760" s="275" t="s">
        <v>65</v>
      </c>
      <c r="J760" s="270" t="s">
        <v>996</v>
      </c>
    </row>
    <row r="761" hidden="1" spans="1:10">
      <c r="A761" s="273" t="s">
        <v>884</v>
      </c>
      <c r="B761" s="273" t="s">
        <v>885</v>
      </c>
      <c r="C761" s="274">
        <v>76800</v>
      </c>
      <c r="D761" s="273" t="s">
        <v>997</v>
      </c>
      <c r="E761" s="273" t="s">
        <v>998</v>
      </c>
      <c r="F761" s="273" t="s">
        <v>112</v>
      </c>
      <c r="G761" s="273" t="s">
        <v>113</v>
      </c>
      <c r="H761" s="275">
        <v>768</v>
      </c>
      <c r="I761" s="275"/>
      <c r="J761" s="270" t="s">
        <v>999</v>
      </c>
    </row>
    <row r="762" hidden="1" spans="1:10">
      <c r="A762" s="273" t="s">
        <v>884</v>
      </c>
      <c r="B762" s="273" t="s">
        <v>885</v>
      </c>
      <c r="C762" s="274">
        <v>76900</v>
      </c>
      <c r="D762" s="273" t="s">
        <v>1000</v>
      </c>
      <c r="E762" s="273" t="s">
        <v>1001</v>
      </c>
      <c r="F762" s="273" t="s">
        <v>81</v>
      </c>
      <c r="G762" s="273" t="s">
        <v>82</v>
      </c>
      <c r="H762" s="275">
        <v>769</v>
      </c>
      <c r="I762" s="275"/>
      <c r="J762" s="270" t="s">
        <v>1002</v>
      </c>
    </row>
    <row r="763" hidden="1" spans="1:10">
      <c r="A763" s="273" t="s">
        <v>884</v>
      </c>
      <c r="B763" s="273" t="s">
        <v>885</v>
      </c>
      <c r="C763" s="274">
        <v>77000</v>
      </c>
      <c r="D763" s="273" t="s">
        <v>1003</v>
      </c>
      <c r="E763" s="273" t="s">
        <v>1004</v>
      </c>
      <c r="F763" s="273" t="s">
        <v>125</v>
      </c>
      <c r="G763" s="273" t="s">
        <v>126</v>
      </c>
      <c r="H763" s="275">
        <v>770</v>
      </c>
      <c r="I763" s="275" t="s">
        <v>65</v>
      </c>
      <c r="J763" s="270" t="s">
        <v>1005</v>
      </c>
    </row>
    <row r="764" ht="21" hidden="1" spans="1:10">
      <c r="A764" s="273" t="s">
        <v>884</v>
      </c>
      <c r="B764" s="273" t="s">
        <v>885</v>
      </c>
      <c r="C764" s="274">
        <v>77110</v>
      </c>
      <c r="D764" s="273" t="s">
        <v>1006</v>
      </c>
      <c r="E764" s="273" t="s">
        <v>1007</v>
      </c>
      <c r="F764" s="273" t="s">
        <v>112</v>
      </c>
      <c r="G764" s="273" t="s">
        <v>113</v>
      </c>
      <c r="H764" s="275">
        <v>1021</v>
      </c>
      <c r="I764" s="275" t="s">
        <v>65</v>
      </c>
      <c r="J764" s="270" t="s">
        <v>1008</v>
      </c>
    </row>
    <row r="765" hidden="1" spans="1:10">
      <c r="A765" s="273" t="s">
        <v>884</v>
      </c>
      <c r="B765" s="273" t="s">
        <v>885</v>
      </c>
      <c r="C765" s="274">
        <v>77210</v>
      </c>
      <c r="D765" s="273" t="s">
        <v>1009</v>
      </c>
      <c r="E765" s="273" t="s">
        <v>1010</v>
      </c>
      <c r="F765" s="273" t="s">
        <v>125</v>
      </c>
      <c r="G765" s="273" t="s">
        <v>126</v>
      </c>
      <c r="H765" s="275">
        <v>1022</v>
      </c>
      <c r="I765" s="275" t="s">
        <v>65</v>
      </c>
      <c r="J765" s="270" t="s">
        <v>1011</v>
      </c>
    </row>
    <row r="766" hidden="1" spans="1:10">
      <c r="A766" s="273" t="s">
        <v>884</v>
      </c>
      <c r="B766" s="273" t="s">
        <v>885</v>
      </c>
      <c r="C766" s="274">
        <v>77300</v>
      </c>
      <c r="D766" s="273" t="s">
        <v>1012</v>
      </c>
      <c r="E766" s="273" t="s">
        <v>1013</v>
      </c>
      <c r="F766" s="273" t="s">
        <v>125</v>
      </c>
      <c r="G766" s="273" t="s">
        <v>126</v>
      </c>
      <c r="H766" s="275">
        <v>773</v>
      </c>
      <c r="I766" s="275" t="s">
        <v>65</v>
      </c>
      <c r="J766" s="270" t="s">
        <v>1014</v>
      </c>
    </row>
    <row r="767" hidden="1" spans="1:10">
      <c r="A767" s="273" t="s">
        <v>884</v>
      </c>
      <c r="B767" s="273" t="s">
        <v>885</v>
      </c>
      <c r="C767" s="274">
        <v>77400</v>
      </c>
      <c r="D767" s="273" t="s">
        <v>1015</v>
      </c>
      <c r="E767" s="273" t="s">
        <v>1016</v>
      </c>
      <c r="F767" s="273" t="s">
        <v>125</v>
      </c>
      <c r="G767" s="273" t="s">
        <v>126</v>
      </c>
      <c r="H767" s="275">
        <v>774</v>
      </c>
      <c r="I767" s="275" t="s">
        <v>65</v>
      </c>
      <c r="J767" s="270" t="s">
        <v>1017</v>
      </c>
    </row>
    <row r="768" hidden="1" spans="1:10">
      <c r="A768" s="273" t="s">
        <v>884</v>
      </c>
      <c r="B768" s="273" t="s">
        <v>885</v>
      </c>
      <c r="C768" s="274">
        <v>77500</v>
      </c>
      <c r="D768" s="273" t="s">
        <v>1018</v>
      </c>
      <c r="E768" s="273" t="s">
        <v>1019</v>
      </c>
      <c r="F768" s="273" t="s">
        <v>112</v>
      </c>
      <c r="G768" s="273" t="s">
        <v>113</v>
      </c>
      <c r="H768" s="275">
        <v>775</v>
      </c>
      <c r="I768" s="275" t="s">
        <v>65</v>
      </c>
      <c r="J768" s="270" t="s">
        <v>1020</v>
      </c>
    </row>
    <row r="769" ht="21" hidden="1" spans="1:10">
      <c r="A769" s="273" t="s">
        <v>884</v>
      </c>
      <c r="B769" s="273" t="s">
        <v>885</v>
      </c>
      <c r="C769" s="274">
        <v>77600</v>
      </c>
      <c r="D769" s="273" t="s">
        <v>1021</v>
      </c>
      <c r="E769" s="273" t="s">
        <v>1022</v>
      </c>
      <c r="F769" s="273" t="s">
        <v>125</v>
      </c>
      <c r="G769" s="273" t="s">
        <v>126</v>
      </c>
      <c r="H769" s="275">
        <v>776</v>
      </c>
      <c r="I769" s="275" t="s">
        <v>65</v>
      </c>
      <c r="J769" s="270" t="s">
        <v>1023</v>
      </c>
    </row>
    <row r="770" hidden="1" spans="1:10">
      <c r="A770" s="273" t="s">
        <v>884</v>
      </c>
      <c r="B770" s="273" t="s">
        <v>885</v>
      </c>
      <c r="C770" s="274">
        <v>77700</v>
      </c>
      <c r="D770" s="273" t="s">
        <v>1024</v>
      </c>
      <c r="E770" s="273" t="s">
        <v>1025</v>
      </c>
      <c r="F770" s="273" t="s">
        <v>125</v>
      </c>
      <c r="G770" s="273" t="s">
        <v>126</v>
      </c>
      <c r="H770" s="275">
        <v>777</v>
      </c>
      <c r="I770" s="275" t="s">
        <v>65</v>
      </c>
      <c r="J770" s="270" t="s">
        <v>1026</v>
      </c>
    </row>
    <row r="771" hidden="1" spans="1:10">
      <c r="A771" s="273" t="s">
        <v>884</v>
      </c>
      <c r="B771" s="273" t="s">
        <v>885</v>
      </c>
      <c r="C771" s="274">
        <v>77800</v>
      </c>
      <c r="D771" s="273" t="s">
        <v>1027</v>
      </c>
      <c r="E771" s="273" t="s">
        <v>1028</v>
      </c>
      <c r="F771" s="273" t="s">
        <v>112</v>
      </c>
      <c r="G771" s="273" t="s">
        <v>113</v>
      </c>
      <c r="H771" s="275">
        <v>778</v>
      </c>
      <c r="I771" s="275"/>
      <c r="J771" s="270" t="s">
        <v>1029</v>
      </c>
    </row>
    <row r="772" ht="31.5" hidden="1" spans="1:10">
      <c r="A772" s="273" t="s">
        <v>884</v>
      </c>
      <c r="B772" s="273" t="s">
        <v>885</v>
      </c>
      <c r="C772" s="274">
        <v>77900</v>
      </c>
      <c r="D772" s="273" t="s">
        <v>1030</v>
      </c>
      <c r="E772" s="273" t="s">
        <v>1031</v>
      </c>
      <c r="F772" s="273" t="s">
        <v>1032</v>
      </c>
      <c r="G772" s="273" t="s">
        <v>1033</v>
      </c>
      <c r="H772" s="275">
        <v>779</v>
      </c>
      <c r="I772" s="275"/>
      <c r="J772" s="270" t="s">
        <v>1034</v>
      </c>
    </row>
    <row r="773" ht="31.5" hidden="1" spans="1:10">
      <c r="A773" s="273" t="s">
        <v>884</v>
      </c>
      <c r="B773" s="273" t="s">
        <v>885</v>
      </c>
      <c r="C773" s="274">
        <v>78000</v>
      </c>
      <c r="D773" s="273" t="s">
        <v>1035</v>
      </c>
      <c r="E773" s="273" t="s">
        <v>1036</v>
      </c>
      <c r="F773" s="273" t="s">
        <v>1032</v>
      </c>
      <c r="G773" s="273" t="s">
        <v>1033</v>
      </c>
      <c r="H773" s="275">
        <v>780</v>
      </c>
      <c r="I773" s="275"/>
      <c r="J773" s="270" t="s">
        <v>1037</v>
      </c>
    </row>
    <row r="774" ht="21" hidden="1" spans="1:10">
      <c r="A774" s="273" t="s">
        <v>884</v>
      </c>
      <c r="B774" s="273" t="s">
        <v>885</v>
      </c>
      <c r="C774" s="274">
        <v>78100</v>
      </c>
      <c r="D774" s="273" t="s">
        <v>1038</v>
      </c>
      <c r="E774" s="273" t="s">
        <v>1039</v>
      </c>
      <c r="F774" s="273" t="s">
        <v>1032</v>
      </c>
      <c r="G774" s="273" t="s">
        <v>1033</v>
      </c>
      <c r="H774" s="275">
        <v>781</v>
      </c>
      <c r="I774" s="275"/>
      <c r="J774" s="270" t="s">
        <v>1040</v>
      </c>
    </row>
    <row r="775" ht="31.5" hidden="1" spans="1:10">
      <c r="A775" s="273" t="s">
        <v>884</v>
      </c>
      <c r="B775" s="273" t="s">
        <v>885</v>
      </c>
      <c r="C775" s="274">
        <v>78200</v>
      </c>
      <c r="D775" s="273" t="s">
        <v>1041</v>
      </c>
      <c r="E775" s="273" t="s">
        <v>1042</v>
      </c>
      <c r="F775" s="273" t="s">
        <v>1032</v>
      </c>
      <c r="G775" s="273" t="s">
        <v>1033</v>
      </c>
      <c r="H775" s="275">
        <v>782</v>
      </c>
      <c r="I775" s="275"/>
      <c r="J775" s="270" t="s">
        <v>1043</v>
      </c>
    </row>
    <row r="776" hidden="1" spans="1:10">
      <c r="A776" s="273" t="s">
        <v>884</v>
      </c>
      <c r="B776" s="273" t="s">
        <v>885</v>
      </c>
      <c r="C776" s="274">
        <v>78300</v>
      </c>
      <c r="D776" s="273" t="s">
        <v>1044</v>
      </c>
      <c r="E776" s="273" t="s">
        <v>1045</v>
      </c>
      <c r="F776" s="273" t="s">
        <v>145</v>
      </c>
      <c r="G776" s="273" t="s">
        <v>1033</v>
      </c>
      <c r="H776" s="275">
        <v>783</v>
      </c>
      <c r="I776" s="275"/>
      <c r="J776" s="270" t="s">
        <v>1046</v>
      </c>
    </row>
    <row r="777" ht="52.5" hidden="1" spans="1:10">
      <c r="A777" s="273" t="s">
        <v>884</v>
      </c>
      <c r="B777" s="273" t="s">
        <v>885</v>
      </c>
      <c r="C777" s="274">
        <v>78400</v>
      </c>
      <c r="D777" s="273" t="s">
        <v>1047</v>
      </c>
      <c r="E777" s="273" t="s">
        <v>1048</v>
      </c>
      <c r="F777" s="273" t="s">
        <v>1049</v>
      </c>
      <c r="G777" s="273" t="s">
        <v>1050</v>
      </c>
      <c r="H777" s="275">
        <v>784</v>
      </c>
      <c r="I777" s="275"/>
      <c r="J777" s="281" t="s">
        <v>1051</v>
      </c>
    </row>
    <row r="778" ht="21" hidden="1" spans="1:10">
      <c r="A778" s="273" t="s">
        <v>884</v>
      </c>
      <c r="B778" s="273" t="s">
        <v>885</v>
      </c>
      <c r="C778" s="274">
        <v>115500</v>
      </c>
      <c r="D778" s="273" t="s">
        <v>1052</v>
      </c>
      <c r="E778" s="273" t="s">
        <v>1053</v>
      </c>
      <c r="F778" s="273" t="s">
        <v>1049</v>
      </c>
      <c r="G778" s="273" t="s">
        <v>1050</v>
      </c>
      <c r="H778" s="275">
        <v>1268</v>
      </c>
      <c r="I778" s="275"/>
      <c r="J778" s="288" t="s">
        <v>1054</v>
      </c>
    </row>
    <row r="779" ht="21" hidden="1" spans="1:10">
      <c r="A779" s="273" t="s">
        <v>884</v>
      </c>
      <c r="B779" s="273" t="s">
        <v>885</v>
      </c>
      <c r="C779" s="274">
        <v>115600</v>
      </c>
      <c r="D779" s="273" t="s">
        <v>1055</v>
      </c>
      <c r="E779" s="273" t="s">
        <v>1056</v>
      </c>
      <c r="F779" s="273" t="s">
        <v>1049</v>
      </c>
      <c r="G779" s="273" t="s">
        <v>1050</v>
      </c>
      <c r="H779" s="275">
        <v>1269</v>
      </c>
      <c r="I779" s="275"/>
      <c r="J779" s="288" t="s">
        <v>1057</v>
      </c>
    </row>
    <row r="780" ht="21" hidden="1" spans="1:10">
      <c r="A780" s="273" t="s">
        <v>884</v>
      </c>
      <c r="B780" s="273" t="s">
        <v>885</v>
      </c>
      <c r="C780" s="274">
        <v>115700</v>
      </c>
      <c r="D780" s="273" t="s">
        <v>1058</v>
      </c>
      <c r="E780" s="273" t="s">
        <v>1059</v>
      </c>
      <c r="F780" s="273" t="s">
        <v>1049</v>
      </c>
      <c r="G780" s="273" t="s">
        <v>1050</v>
      </c>
      <c r="H780" s="275">
        <v>1270</v>
      </c>
      <c r="I780" s="275"/>
      <c r="J780" s="288" t="s">
        <v>1060</v>
      </c>
    </row>
    <row r="781" ht="31.5" hidden="1" spans="1:10">
      <c r="A781" s="273" t="s">
        <v>884</v>
      </c>
      <c r="B781" s="273" t="s">
        <v>885</v>
      </c>
      <c r="C781" s="274">
        <v>115800</v>
      </c>
      <c r="D781" s="273" t="s">
        <v>1061</v>
      </c>
      <c r="E781" s="273" t="s">
        <v>1062</v>
      </c>
      <c r="F781" s="273" t="s">
        <v>1049</v>
      </c>
      <c r="G781" s="273" t="s">
        <v>1050</v>
      </c>
      <c r="H781" s="275">
        <v>1271</v>
      </c>
      <c r="I781" s="275"/>
      <c r="J781" s="288" t="s">
        <v>1063</v>
      </c>
    </row>
    <row r="782" hidden="1" spans="1:10">
      <c r="A782" s="273" t="s">
        <v>884</v>
      </c>
      <c r="B782" s="273" t="s">
        <v>885</v>
      </c>
      <c r="C782" s="274">
        <v>78600</v>
      </c>
      <c r="D782" s="273" t="s">
        <v>1064</v>
      </c>
      <c r="E782" s="273" t="s">
        <v>1065</v>
      </c>
      <c r="F782" s="273" t="s">
        <v>1049</v>
      </c>
      <c r="G782" s="273" t="s">
        <v>1050</v>
      </c>
      <c r="H782" s="275">
        <v>786</v>
      </c>
      <c r="I782" s="275"/>
      <c r="J782" s="288" t="s">
        <v>1066</v>
      </c>
    </row>
    <row r="783" ht="42" hidden="1" spans="1:10">
      <c r="A783" s="273" t="s">
        <v>884</v>
      </c>
      <c r="B783" s="273" t="s">
        <v>885</v>
      </c>
      <c r="C783" s="274">
        <v>78700</v>
      </c>
      <c r="D783" s="273" t="s">
        <v>1067</v>
      </c>
      <c r="E783" s="273" t="s">
        <v>1068</v>
      </c>
      <c r="F783" s="273" t="s">
        <v>1049</v>
      </c>
      <c r="G783" s="273" t="s">
        <v>1050</v>
      </c>
      <c r="H783" s="275">
        <v>787</v>
      </c>
      <c r="I783" s="275"/>
      <c r="J783" s="288" t="s">
        <v>1069</v>
      </c>
    </row>
    <row r="784" ht="52.5" hidden="1" spans="1:10">
      <c r="A784" s="273" t="s">
        <v>884</v>
      </c>
      <c r="B784" s="273" t="s">
        <v>885</v>
      </c>
      <c r="C784" s="274">
        <v>79000</v>
      </c>
      <c r="D784" s="273" t="s">
        <v>215</v>
      </c>
      <c r="E784" s="273" t="s">
        <v>216</v>
      </c>
      <c r="F784" s="273" t="s">
        <v>112</v>
      </c>
      <c r="G784" s="273" t="s">
        <v>113</v>
      </c>
      <c r="H784" s="275">
        <v>790</v>
      </c>
      <c r="I784" s="275" t="s">
        <v>65</v>
      </c>
      <c r="J784" s="270" t="s">
        <v>217</v>
      </c>
    </row>
    <row r="785" ht="21" hidden="1" spans="1:10">
      <c r="A785" s="273" t="s">
        <v>884</v>
      </c>
      <c r="B785" s="273" t="s">
        <v>885</v>
      </c>
      <c r="C785" s="274">
        <v>79100</v>
      </c>
      <c r="D785" s="273" t="s">
        <v>222</v>
      </c>
      <c r="E785" s="273" t="s">
        <v>223</v>
      </c>
      <c r="F785" s="273" t="s">
        <v>58</v>
      </c>
      <c r="G785" s="273" t="s">
        <v>220</v>
      </c>
      <c r="H785" s="275">
        <v>791</v>
      </c>
      <c r="I785" s="275"/>
      <c r="J785" s="270" t="s">
        <v>221</v>
      </c>
    </row>
    <row r="786" ht="21" hidden="1" spans="1:10">
      <c r="A786" s="273" t="s">
        <v>884</v>
      </c>
      <c r="B786" s="273" t="s">
        <v>885</v>
      </c>
      <c r="C786" s="274">
        <v>79200</v>
      </c>
      <c r="D786" s="273" t="s">
        <v>528</v>
      </c>
      <c r="E786" s="273" t="s">
        <v>1070</v>
      </c>
      <c r="F786" s="273" t="s">
        <v>58</v>
      </c>
      <c r="G786" s="273" t="s">
        <v>220</v>
      </c>
      <c r="H786" s="275">
        <v>792</v>
      </c>
      <c r="I786" s="275"/>
      <c r="J786" s="270" t="s">
        <v>221</v>
      </c>
    </row>
    <row r="787" ht="21" hidden="1" spans="1:10">
      <c r="A787" s="273" t="s">
        <v>884</v>
      </c>
      <c r="B787" s="273" t="s">
        <v>885</v>
      </c>
      <c r="C787" s="274">
        <v>79300</v>
      </c>
      <c r="D787" s="273" t="s">
        <v>530</v>
      </c>
      <c r="E787" s="273" t="s">
        <v>531</v>
      </c>
      <c r="F787" s="273" t="s">
        <v>58</v>
      </c>
      <c r="G787" s="273" t="s">
        <v>220</v>
      </c>
      <c r="H787" s="275">
        <v>793</v>
      </c>
      <c r="I787" s="275"/>
      <c r="J787" s="270" t="s">
        <v>221</v>
      </c>
    </row>
    <row r="788" ht="21" hidden="1" spans="1:10">
      <c r="A788" s="273" t="s">
        <v>884</v>
      </c>
      <c r="B788" s="273" t="s">
        <v>885</v>
      </c>
      <c r="C788" s="274">
        <v>79400</v>
      </c>
      <c r="D788" s="273" t="s">
        <v>1071</v>
      </c>
      <c r="E788" s="273" t="s">
        <v>1072</v>
      </c>
      <c r="F788" s="273" t="s">
        <v>58</v>
      </c>
      <c r="G788" s="273" t="s">
        <v>220</v>
      </c>
      <c r="H788" s="275">
        <v>794</v>
      </c>
      <c r="I788" s="275"/>
      <c r="J788" s="270" t="s">
        <v>221</v>
      </c>
    </row>
    <row r="789" ht="21" hidden="1" spans="1:10">
      <c r="A789" s="273" t="s">
        <v>884</v>
      </c>
      <c r="B789" s="273" t="s">
        <v>885</v>
      </c>
      <c r="C789" s="274">
        <v>79500</v>
      </c>
      <c r="D789" s="273" t="s">
        <v>1073</v>
      </c>
      <c r="E789" s="273" t="s">
        <v>1074</v>
      </c>
      <c r="F789" s="273" t="s">
        <v>58</v>
      </c>
      <c r="G789" s="273" t="s">
        <v>220</v>
      </c>
      <c r="H789" s="275">
        <v>795</v>
      </c>
      <c r="I789" s="275"/>
      <c r="J789" s="270" t="s">
        <v>221</v>
      </c>
    </row>
    <row r="790" ht="21" hidden="1" spans="1:10">
      <c r="A790" s="273" t="s">
        <v>884</v>
      </c>
      <c r="B790" s="273" t="s">
        <v>885</v>
      </c>
      <c r="C790" s="274">
        <v>79600</v>
      </c>
      <c r="D790" s="273" t="s">
        <v>1075</v>
      </c>
      <c r="E790" s="273" t="s">
        <v>1076</v>
      </c>
      <c r="F790" s="273" t="s">
        <v>58</v>
      </c>
      <c r="G790" s="273" t="s">
        <v>220</v>
      </c>
      <c r="H790" s="275">
        <v>796</v>
      </c>
      <c r="I790" s="275"/>
      <c r="J790" s="270" t="s">
        <v>221</v>
      </c>
    </row>
    <row r="791" ht="21" hidden="1" spans="1:10">
      <c r="A791" s="273" t="s">
        <v>884</v>
      </c>
      <c r="B791" s="273" t="s">
        <v>885</v>
      </c>
      <c r="C791" s="274">
        <v>79700</v>
      </c>
      <c r="D791" s="273" t="s">
        <v>1077</v>
      </c>
      <c r="E791" s="273" t="s">
        <v>1078</v>
      </c>
      <c r="F791" s="273" t="s">
        <v>58</v>
      </c>
      <c r="G791" s="273" t="s">
        <v>220</v>
      </c>
      <c r="H791" s="275">
        <v>797</v>
      </c>
      <c r="I791" s="275"/>
      <c r="J791" s="270" t="s">
        <v>221</v>
      </c>
    </row>
    <row r="792" ht="21" hidden="1" spans="1:10">
      <c r="A792" s="273" t="s">
        <v>884</v>
      </c>
      <c r="B792" s="273" t="s">
        <v>885</v>
      </c>
      <c r="C792" s="274">
        <v>79800</v>
      </c>
      <c r="D792" s="273" t="s">
        <v>1079</v>
      </c>
      <c r="E792" s="273" t="s">
        <v>1080</v>
      </c>
      <c r="F792" s="273" t="s">
        <v>58</v>
      </c>
      <c r="G792" s="273" t="s">
        <v>220</v>
      </c>
      <c r="H792" s="275">
        <v>798</v>
      </c>
      <c r="I792" s="275"/>
      <c r="J792" s="270" t="s">
        <v>221</v>
      </c>
    </row>
    <row r="793" ht="21" hidden="1" spans="1:10">
      <c r="A793" s="273" t="s">
        <v>884</v>
      </c>
      <c r="B793" s="273" t="s">
        <v>885</v>
      </c>
      <c r="C793" s="274">
        <v>79900</v>
      </c>
      <c r="D793" s="273" t="s">
        <v>1081</v>
      </c>
      <c r="E793" s="273" t="s">
        <v>1082</v>
      </c>
      <c r="F793" s="273" t="s">
        <v>58</v>
      </c>
      <c r="G793" s="273" t="s">
        <v>220</v>
      </c>
      <c r="H793" s="275">
        <v>799</v>
      </c>
      <c r="I793" s="275"/>
      <c r="J793" s="270" t="s">
        <v>221</v>
      </c>
    </row>
    <row r="794" ht="21" hidden="1" spans="1:10">
      <c r="A794" s="273" t="s">
        <v>884</v>
      </c>
      <c r="B794" s="273" t="s">
        <v>885</v>
      </c>
      <c r="C794" s="274">
        <v>80000</v>
      </c>
      <c r="D794" s="273" t="s">
        <v>328</v>
      </c>
      <c r="E794" s="273" t="s">
        <v>329</v>
      </c>
      <c r="F794" s="273" t="s">
        <v>58</v>
      </c>
      <c r="G794" s="273" t="s">
        <v>220</v>
      </c>
      <c r="H794" s="275">
        <v>800</v>
      </c>
      <c r="I794" s="275"/>
      <c r="J794" s="270" t="s">
        <v>221</v>
      </c>
    </row>
    <row r="795" ht="21" hidden="1" spans="1:10">
      <c r="A795" s="273" t="s">
        <v>884</v>
      </c>
      <c r="B795" s="273" t="s">
        <v>1083</v>
      </c>
      <c r="C795" s="274">
        <v>119390</v>
      </c>
      <c r="D795" s="273" t="s">
        <v>1084</v>
      </c>
      <c r="E795" s="273" t="s">
        <v>1085</v>
      </c>
      <c r="F795" s="273" t="s">
        <v>58</v>
      </c>
      <c r="G795" s="273" t="s">
        <v>220</v>
      </c>
      <c r="H795" s="275">
        <v>1312</v>
      </c>
      <c r="I795" s="275"/>
      <c r="J795" s="270" t="s">
        <v>221</v>
      </c>
    </row>
    <row r="796" ht="21" hidden="1" spans="1:10">
      <c r="A796" s="273" t="s">
        <v>884</v>
      </c>
      <c r="B796" s="273" t="s">
        <v>885</v>
      </c>
      <c r="C796" s="274">
        <v>119400</v>
      </c>
      <c r="D796" s="273" t="s">
        <v>1086</v>
      </c>
      <c r="E796" s="273" t="s">
        <v>1087</v>
      </c>
      <c r="F796" s="273" t="s">
        <v>58</v>
      </c>
      <c r="G796" s="273" t="s">
        <v>220</v>
      </c>
      <c r="H796" s="275">
        <v>1308</v>
      </c>
      <c r="I796" s="275"/>
      <c r="J796" s="270" t="s">
        <v>221</v>
      </c>
    </row>
    <row r="797" ht="21" hidden="1" spans="1:10">
      <c r="A797" s="273" t="s">
        <v>884</v>
      </c>
      <c r="B797" s="273" t="s">
        <v>885</v>
      </c>
      <c r="C797" s="274">
        <v>119500</v>
      </c>
      <c r="D797" s="273" t="s">
        <v>1088</v>
      </c>
      <c r="E797" s="273" t="s">
        <v>1089</v>
      </c>
      <c r="F797" s="273" t="s">
        <v>58</v>
      </c>
      <c r="G797" s="273" t="s">
        <v>220</v>
      </c>
      <c r="H797" s="275">
        <v>1309</v>
      </c>
      <c r="I797" s="275"/>
      <c r="J797" s="270" t="s">
        <v>221</v>
      </c>
    </row>
    <row r="798" ht="21" hidden="1" spans="1:10">
      <c r="A798" s="273" t="s">
        <v>884</v>
      </c>
      <c r="B798" s="273" t="s">
        <v>885</v>
      </c>
      <c r="C798" s="274">
        <v>119600</v>
      </c>
      <c r="D798" s="273" t="s">
        <v>1090</v>
      </c>
      <c r="E798" s="273" t="s">
        <v>1091</v>
      </c>
      <c r="F798" s="273" t="s">
        <v>58</v>
      </c>
      <c r="G798" s="273" t="s">
        <v>220</v>
      </c>
      <c r="H798" s="275">
        <v>1310</v>
      </c>
      <c r="I798" s="275"/>
      <c r="J798" s="270" t="s">
        <v>221</v>
      </c>
    </row>
    <row r="799" ht="21" hidden="1" spans="1:10">
      <c r="A799" s="273" t="s">
        <v>884</v>
      </c>
      <c r="B799" s="273" t="s">
        <v>885</v>
      </c>
      <c r="C799" s="274">
        <v>119700</v>
      </c>
      <c r="D799" s="273" t="s">
        <v>1092</v>
      </c>
      <c r="E799" s="273" t="s">
        <v>1093</v>
      </c>
      <c r="F799" s="273" t="s">
        <v>58</v>
      </c>
      <c r="G799" s="273" t="s">
        <v>220</v>
      </c>
      <c r="H799" s="275">
        <v>1311</v>
      </c>
      <c r="I799" s="275"/>
      <c r="J799" s="270" t="s">
        <v>221</v>
      </c>
    </row>
    <row r="800" ht="21" hidden="1" spans="1:10">
      <c r="A800" s="273" t="s">
        <v>884</v>
      </c>
      <c r="B800" s="273" t="s">
        <v>885</v>
      </c>
      <c r="C800" s="274">
        <v>119800</v>
      </c>
      <c r="D800" s="273" t="s">
        <v>1094</v>
      </c>
      <c r="E800" s="273" t="s">
        <v>1095</v>
      </c>
      <c r="F800" s="273" t="s">
        <v>58</v>
      </c>
      <c r="G800" s="273" t="s">
        <v>220</v>
      </c>
      <c r="H800" s="275">
        <v>1315</v>
      </c>
      <c r="I800" s="275"/>
      <c r="J800" s="270" t="s">
        <v>221</v>
      </c>
    </row>
    <row r="801" ht="21" hidden="1" spans="1:10">
      <c r="A801" s="273" t="s">
        <v>884</v>
      </c>
      <c r="B801" s="273" t="s">
        <v>885</v>
      </c>
      <c r="C801" s="274">
        <v>119900</v>
      </c>
      <c r="D801" s="273" t="s">
        <v>1096</v>
      </c>
      <c r="E801" s="273" t="s">
        <v>1097</v>
      </c>
      <c r="F801" s="273" t="s">
        <v>58</v>
      </c>
      <c r="G801" s="273" t="s">
        <v>220</v>
      </c>
      <c r="H801" s="275">
        <v>1316</v>
      </c>
      <c r="I801" s="275"/>
      <c r="J801" s="270" t="s">
        <v>221</v>
      </c>
    </row>
    <row r="802" hidden="1" spans="1:10">
      <c r="A802" s="273" t="s">
        <v>884</v>
      </c>
      <c r="B802" s="273" t="s">
        <v>885</v>
      </c>
      <c r="C802" s="274">
        <v>80100</v>
      </c>
      <c r="D802" s="273" t="s">
        <v>238</v>
      </c>
      <c r="E802" s="273" t="s">
        <v>239</v>
      </c>
      <c r="F802" s="273" t="s">
        <v>240</v>
      </c>
      <c r="G802" s="273" t="s">
        <v>241</v>
      </c>
      <c r="H802" s="275">
        <v>801</v>
      </c>
      <c r="I802" s="275"/>
      <c r="J802" s="270" t="s">
        <v>4</v>
      </c>
    </row>
    <row r="803" ht="63" hidden="1" spans="1:10">
      <c r="A803" s="273" t="s">
        <v>1098</v>
      </c>
      <c r="B803" s="273" t="s">
        <v>1099</v>
      </c>
      <c r="C803" s="274">
        <v>80400</v>
      </c>
      <c r="D803" s="273" t="s">
        <v>56</v>
      </c>
      <c r="E803" s="273" t="s">
        <v>57</v>
      </c>
      <c r="F803" s="273" t="s">
        <v>58</v>
      </c>
      <c r="G803" s="273" t="s">
        <v>59</v>
      </c>
      <c r="H803" s="275">
        <v>804</v>
      </c>
      <c r="I803" s="275" t="s">
        <v>65</v>
      </c>
      <c r="J803" s="270" t="s">
        <v>1100</v>
      </c>
    </row>
    <row r="804" ht="31.5" hidden="1" spans="1:10">
      <c r="A804" s="273" t="s">
        <v>1098</v>
      </c>
      <c r="B804" s="273" t="s">
        <v>1099</v>
      </c>
      <c r="C804" s="274">
        <v>80600</v>
      </c>
      <c r="D804" s="273" t="s">
        <v>1101</v>
      </c>
      <c r="E804" s="273" t="s">
        <v>1102</v>
      </c>
      <c r="F804" s="273" t="s">
        <v>58</v>
      </c>
      <c r="G804" s="273" t="s">
        <v>59</v>
      </c>
      <c r="H804" s="275">
        <v>806</v>
      </c>
      <c r="I804" s="275" t="s">
        <v>65</v>
      </c>
      <c r="J804" s="270" t="s">
        <v>1103</v>
      </c>
    </row>
    <row r="805" ht="21" hidden="1" spans="1:10">
      <c r="A805" s="273" t="s">
        <v>1098</v>
      </c>
      <c r="B805" s="273" t="s">
        <v>1099</v>
      </c>
      <c r="C805" s="274">
        <v>80700</v>
      </c>
      <c r="D805" s="273" t="s">
        <v>1104</v>
      </c>
      <c r="E805" s="273" t="s">
        <v>1105</v>
      </c>
      <c r="F805" s="273" t="s">
        <v>112</v>
      </c>
      <c r="G805" s="273" t="s">
        <v>113</v>
      </c>
      <c r="H805" s="275">
        <v>807</v>
      </c>
      <c r="I805" s="275" t="s">
        <v>65</v>
      </c>
      <c r="J805" s="270" t="s">
        <v>1106</v>
      </c>
    </row>
    <row r="806" ht="31.5" hidden="1" spans="1:10">
      <c r="A806" s="273" t="s">
        <v>1107</v>
      </c>
      <c r="B806" s="273" t="s">
        <v>1108</v>
      </c>
      <c r="C806" s="274">
        <v>81000</v>
      </c>
      <c r="D806" s="273" t="s">
        <v>56</v>
      </c>
      <c r="E806" s="273" t="s">
        <v>57</v>
      </c>
      <c r="F806" s="273" t="s">
        <v>58</v>
      </c>
      <c r="G806" s="273" t="s">
        <v>59</v>
      </c>
      <c r="H806" s="275">
        <v>810</v>
      </c>
      <c r="I806" s="275"/>
      <c r="J806" s="270" t="s">
        <v>336</v>
      </c>
    </row>
    <row r="807" ht="21" hidden="1" spans="1:10">
      <c r="A807" s="273" t="s">
        <v>1107</v>
      </c>
      <c r="B807" s="273" t="s">
        <v>1108</v>
      </c>
      <c r="C807" s="274">
        <v>81200</v>
      </c>
      <c r="D807" s="273" t="s">
        <v>136</v>
      </c>
      <c r="E807" s="273" t="s">
        <v>137</v>
      </c>
      <c r="F807" s="273" t="s">
        <v>112</v>
      </c>
      <c r="G807" s="273" t="s">
        <v>113</v>
      </c>
      <c r="H807" s="275">
        <v>812</v>
      </c>
      <c r="I807" s="275"/>
      <c r="J807" s="270" t="s">
        <v>138</v>
      </c>
    </row>
    <row r="808" ht="52.5" hidden="1" spans="1:10">
      <c r="A808" s="273" t="s">
        <v>1107</v>
      </c>
      <c r="B808" s="273" t="s">
        <v>1108</v>
      </c>
      <c r="C808" s="274">
        <v>81300</v>
      </c>
      <c r="D808" s="273" t="s">
        <v>337</v>
      </c>
      <c r="E808" s="273" t="s">
        <v>338</v>
      </c>
      <c r="F808" s="273" t="s">
        <v>130</v>
      </c>
      <c r="G808" s="273" t="s">
        <v>131</v>
      </c>
      <c r="H808" s="275">
        <v>813</v>
      </c>
      <c r="I808" s="275"/>
      <c r="J808" s="270" t="s">
        <v>339</v>
      </c>
    </row>
    <row r="809" ht="73.5" hidden="1" spans="1:10">
      <c r="A809" s="273" t="s">
        <v>1107</v>
      </c>
      <c r="B809" s="273" t="s">
        <v>1108</v>
      </c>
      <c r="C809" s="274">
        <v>81400</v>
      </c>
      <c r="D809" s="273" t="s">
        <v>133</v>
      </c>
      <c r="E809" s="273" t="s">
        <v>134</v>
      </c>
      <c r="F809" s="273" t="s">
        <v>130</v>
      </c>
      <c r="G809" s="273" t="s">
        <v>131</v>
      </c>
      <c r="H809" s="275">
        <v>814</v>
      </c>
      <c r="I809" s="275"/>
      <c r="J809" s="270" t="s">
        <v>340</v>
      </c>
    </row>
    <row r="810" hidden="1" spans="1:10">
      <c r="A810" s="273" t="s">
        <v>1107</v>
      </c>
      <c r="B810" s="273" t="s">
        <v>1108</v>
      </c>
      <c r="C810" s="274">
        <v>81500</v>
      </c>
      <c r="D810" s="273" t="s">
        <v>341</v>
      </c>
      <c r="E810" s="273" t="s">
        <v>341</v>
      </c>
      <c r="F810" s="273" t="s">
        <v>308</v>
      </c>
      <c r="G810" s="273" t="s">
        <v>309</v>
      </c>
      <c r="H810" s="275">
        <v>815</v>
      </c>
      <c r="I810" s="275"/>
      <c r="J810" s="270" t="s">
        <v>342</v>
      </c>
    </row>
    <row r="811" hidden="1" spans="1:10">
      <c r="A811" s="273" t="s">
        <v>1107</v>
      </c>
      <c r="B811" s="273" t="s">
        <v>1108</v>
      </c>
      <c r="C811" s="274">
        <v>81600</v>
      </c>
      <c r="D811" s="273" t="s">
        <v>343</v>
      </c>
      <c r="E811" s="273" t="s">
        <v>343</v>
      </c>
      <c r="F811" s="273" t="s">
        <v>120</v>
      </c>
      <c r="G811" s="273" t="s">
        <v>121</v>
      </c>
      <c r="H811" s="275">
        <v>816</v>
      </c>
      <c r="I811" s="275"/>
      <c r="J811" s="270" t="s">
        <v>344</v>
      </c>
    </row>
    <row r="812" hidden="1" spans="1:10">
      <c r="A812" s="273" t="s">
        <v>1107</v>
      </c>
      <c r="B812" s="273" t="s">
        <v>1108</v>
      </c>
      <c r="C812" s="274">
        <v>81700</v>
      </c>
      <c r="D812" s="273" t="s">
        <v>345</v>
      </c>
      <c r="E812" s="273" t="s">
        <v>345</v>
      </c>
      <c r="F812" s="273" t="s">
        <v>346</v>
      </c>
      <c r="G812" s="273" t="s">
        <v>347</v>
      </c>
      <c r="H812" s="275">
        <v>817</v>
      </c>
      <c r="I812" s="275"/>
      <c r="J812" s="270" t="s">
        <v>348</v>
      </c>
    </row>
    <row r="813" hidden="1" spans="1:10">
      <c r="A813" s="273" t="s">
        <v>1107</v>
      </c>
      <c r="B813" s="273" t="s">
        <v>1108</v>
      </c>
      <c r="C813" s="274">
        <v>81800</v>
      </c>
      <c r="D813" s="273" t="s">
        <v>349</v>
      </c>
      <c r="E813" s="273" t="s">
        <v>350</v>
      </c>
      <c r="F813" s="273" t="s">
        <v>125</v>
      </c>
      <c r="G813" s="273" t="s">
        <v>126</v>
      </c>
      <c r="H813" s="275">
        <v>818</v>
      </c>
      <c r="I813" s="275"/>
      <c r="J813" s="270" t="s">
        <v>351</v>
      </c>
    </row>
    <row r="814" ht="21" hidden="1" spans="1:10">
      <c r="A814" s="273" t="s">
        <v>1107</v>
      </c>
      <c r="B814" s="273" t="s">
        <v>1108</v>
      </c>
      <c r="C814" s="274">
        <v>81900</v>
      </c>
      <c r="D814" s="273" t="s">
        <v>352</v>
      </c>
      <c r="E814" s="273" t="s">
        <v>353</v>
      </c>
      <c r="F814" s="273" t="s">
        <v>58</v>
      </c>
      <c r="G814" s="273" t="s">
        <v>220</v>
      </c>
      <c r="H814" s="275">
        <v>819</v>
      </c>
      <c r="I814" s="275"/>
      <c r="J814" s="270" t="s">
        <v>221</v>
      </c>
    </row>
    <row r="815" ht="21" hidden="1" spans="1:10">
      <c r="A815" s="273" t="s">
        <v>1107</v>
      </c>
      <c r="B815" s="273" t="s">
        <v>1108</v>
      </c>
      <c r="C815" s="274">
        <v>82000</v>
      </c>
      <c r="D815" s="273" t="s">
        <v>224</v>
      </c>
      <c r="E815" s="273" t="s">
        <v>225</v>
      </c>
      <c r="F815" s="273" t="s">
        <v>58</v>
      </c>
      <c r="G815" s="273" t="s">
        <v>220</v>
      </c>
      <c r="H815" s="275">
        <v>820</v>
      </c>
      <c r="I815" s="275"/>
      <c r="J815" s="270" t="s">
        <v>221</v>
      </c>
    </row>
    <row r="816" ht="21" hidden="1" spans="1:10">
      <c r="A816" s="273" t="s">
        <v>1107</v>
      </c>
      <c r="B816" s="273" t="s">
        <v>1108</v>
      </c>
      <c r="C816" s="274">
        <v>82100</v>
      </c>
      <c r="D816" s="273" t="s">
        <v>354</v>
      </c>
      <c r="E816" s="273" t="s">
        <v>355</v>
      </c>
      <c r="F816" s="273" t="s">
        <v>58</v>
      </c>
      <c r="G816" s="273" t="s">
        <v>220</v>
      </c>
      <c r="H816" s="275">
        <v>821</v>
      </c>
      <c r="I816" s="275"/>
      <c r="J816" s="270" t="s">
        <v>221</v>
      </c>
    </row>
    <row r="817" ht="21" hidden="1" spans="1:10">
      <c r="A817" s="273" t="s">
        <v>1107</v>
      </c>
      <c r="B817" s="273" t="s">
        <v>1108</v>
      </c>
      <c r="C817" s="274">
        <v>82200</v>
      </c>
      <c r="D817" s="273" t="s">
        <v>356</v>
      </c>
      <c r="E817" s="273" t="s">
        <v>357</v>
      </c>
      <c r="F817" s="273" t="s">
        <v>58</v>
      </c>
      <c r="G817" s="273" t="s">
        <v>220</v>
      </c>
      <c r="H817" s="275">
        <v>822</v>
      </c>
      <c r="I817" s="275"/>
      <c r="J817" s="270" t="s">
        <v>221</v>
      </c>
    </row>
    <row r="818" ht="21" hidden="1" spans="1:10">
      <c r="A818" s="273" t="s">
        <v>1107</v>
      </c>
      <c r="B818" s="273" t="s">
        <v>1108</v>
      </c>
      <c r="C818" s="274">
        <v>82300</v>
      </c>
      <c r="D818" s="273" t="s">
        <v>358</v>
      </c>
      <c r="E818" s="273" t="s">
        <v>359</v>
      </c>
      <c r="F818" s="273" t="s">
        <v>58</v>
      </c>
      <c r="G818" s="273" t="s">
        <v>220</v>
      </c>
      <c r="H818" s="275">
        <v>823</v>
      </c>
      <c r="I818" s="275"/>
      <c r="J818" s="270" t="s">
        <v>221</v>
      </c>
    </row>
    <row r="819" ht="21" hidden="1" spans="1:10">
      <c r="A819" s="273" t="s">
        <v>1109</v>
      </c>
      <c r="B819" s="273" t="s">
        <v>1083</v>
      </c>
      <c r="C819" s="274">
        <v>82600</v>
      </c>
      <c r="D819" s="273" t="s">
        <v>56</v>
      </c>
      <c r="E819" s="273" t="s">
        <v>57</v>
      </c>
      <c r="F819" s="273" t="s">
        <v>58</v>
      </c>
      <c r="G819" s="273" t="s">
        <v>59</v>
      </c>
      <c r="H819" s="275">
        <v>826</v>
      </c>
      <c r="I819" s="275"/>
      <c r="J819" s="270" t="s">
        <v>60</v>
      </c>
    </row>
    <row r="820" ht="73.5" hidden="1" spans="1:10">
      <c r="A820" s="273" t="s">
        <v>1109</v>
      </c>
      <c r="B820" s="273" t="s">
        <v>1083</v>
      </c>
      <c r="C820" s="274">
        <v>82800</v>
      </c>
      <c r="D820" s="273" t="s">
        <v>61</v>
      </c>
      <c r="E820" s="273" t="s">
        <v>62</v>
      </c>
      <c r="F820" s="273" t="s">
        <v>63</v>
      </c>
      <c r="G820" s="273" t="s">
        <v>64</v>
      </c>
      <c r="H820" s="275">
        <v>828</v>
      </c>
      <c r="I820" s="275" t="s">
        <v>65</v>
      </c>
      <c r="J820" s="270" t="s">
        <v>1110</v>
      </c>
    </row>
    <row r="821" ht="21" hidden="1" spans="1:10">
      <c r="A821" s="273" t="s">
        <v>1109</v>
      </c>
      <c r="B821" s="273" t="s">
        <v>1083</v>
      </c>
      <c r="C821" s="274">
        <v>82900</v>
      </c>
      <c r="D821" s="273" t="s">
        <v>67</v>
      </c>
      <c r="E821" s="273" t="s">
        <v>68</v>
      </c>
      <c r="F821" s="273" t="s">
        <v>63</v>
      </c>
      <c r="G821" s="273" t="s">
        <v>69</v>
      </c>
      <c r="H821" s="275">
        <v>829</v>
      </c>
      <c r="I821" s="275"/>
      <c r="J821" s="270" t="s">
        <v>70</v>
      </c>
    </row>
    <row r="822" hidden="1" spans="1:10">
      <c r="A822" s="273" t="s">
        <v>1109</v>
      </c>
      <c r="B822" s="273" t="s">
        <v>1083</v>
      </c>
      <c r="C822" s="274">
        <v>83000</v>
      </c>
      <c r="D822" s="273" t="s">
        <v>71</v>
      </c>
      <c r="E822" s="273" t="s">
        <v>72</v>
      </c>
      <c r="F822" s="273" t="s">
        <v>73</v>
      </c>
      <c r="G822" s="273" t="s">
        <v>74</v>
      </c>
      <c r="H822" s="275">
        <v>830</v>
      </c>
      <c r="I822" s="275" t="s">
        <v>65</v>
      </c>
      <c r="J822" s="270" t="s">
        <v>75</v>
      </c>
    </row>
    <row r="823" hidden="1" spans="1:10">
      <c r="A823" s="273" t="s">
        <v>1109</v>
      </c>
      <c r="B823" s="273" t="s">
        <v>1083</v>
      </c>
      <c r="C823" s="274">
        <v>83100</v>
      </c>
      <c r="D823" s="273" t="s">
        <v>76</v>
      </c>
      <c r="E823" s="273" t="s">
        <v>77</v>
      </c>
      <c r="F823" s="273" t="s">
        <v>73</v>
      </c>
      <c r="G823" s="273" t="s">
        <v>74</v>
      </c>
      <c r="H823" s="275">
        <v>831</v>
      </c>
      <c r="I823" s="275" t="s">
        <v>65</v>
      </c>
      <c r="J823" s="270" t="s">
        <v>78</v>
      </c>
    </row>
    <row r="824" ht="21" hidden="1" spans="1:10">
      <c r="A824" s="273" t="s">
        <v>1109</v>
      </c>
      <c r="B824" s="273" t="s">
        <v>1083</v>
      </c>
      <c r="C824" s="274">
        <v>83200</v>
      </c>
      <c r="D824" s="273" t="s">
        <v>79</v>
      </c>
      <c r="E824" s="273" t="s">
        <v>80</v>
      </c>
      <c r="F824" s="273" t="s">
        <v>81</v>
      </c>
      <c r="G824" s="273" t="s">
        <v>82</v>
      </c>
      <c r="H824" s="275">
        <v>832</v>
      </c>
      <c r="I824" s="275" t="s">
        <v>65</v>
      </c>
      <c r="J824" s="270" t="s">
        <v>83</v>
      </c>
    </row>
    <row r="825" hidden="1" spans="1:10">
      <c r="A825" s="273" t="s">
        <v>1109</v>
      </c>
      <c r="B825" s="273" t="s">
        <v>1083</v>
      </c>
      <c r="C825" s="274">
        <v>83300</v>
      </c>
      <c r="D825" s="273" t="s">
        <v>92</v>
      </c>
      <c r="E825" s="273" t="s">
        <v>93</v>
      </c>
      <c r="F825" s="273" t="s">
        <v>73</v>
      </c>
      <c r="G825" s="273" t="s">
        <v>94</v>
      </c>
      <c r="H825" s="275">
        <v>833</v>
      </c>
      <c r="I825" s="275"/>
      <c r="J825" s="270" t="s">
        <v>95</v>
      </c>
    </row>
    <row r="826" hidden="1" spans="1:10">
      <c r="A826" s="273" t="s">
        <v>1109</v>
      </c>
      <c r="B826" s="273" t="s">
        <v>1083</v>
      </c>
      <c r="C826" s="274">
        <v>83400</v>
      </c>
      <c r="D826" s="273" t="s">
        <v>96</v>
      </c>
      <c r="E826" s="273" t="s">
        <v>97</v>
      </c>
      <c r="F826" s="273" t="s">
        <v>63</v>
      </c>
      <c r="G826" s="273" t="s">
        <v>69</v>
      </c>
      <c r="H826" s="275">
        <v>834</v>
      </c>
      <c r="I826" s="275"/>
      <c r="J826" s="270" t="s">
        <v>98</v>
      </c>
    </row>
    <row r="827" hidden="1" spans="1:10">
      <c r="A827" s="273" t="s">
        <v>1109</v>
      </c>
      <c r="B827" s="273" t="s">
        <v>1083</v>
      </c>
      <c r="C827" s="274">
        <v>83500</v>
      </c>
      <c r="D827" s="273" t="s">
        <v>99</v>
      </c>
      <c r="E827" s="273" t="s">
        <v>100</v>
      </c>
      <c r="F827" s="273" t="s">
        <v>101</v>
      </c>
      <c r="G827" s="273" t="s">
        <v>102</v>
      </c>
      <c r="H827" s="275">
        <v>835</v>
      </c>
      <c r="I827" s="275" t="s">
        <v>65</v>
      </c>
      <c r="J827" s="270" t="s">
        <v>103</v>
      </c>
    </row>
    <row r="828" hidden="1" spans="1:10">
      <c r="A828" s="273" t="s">
        <v>1109</v>
      </c>
      <c r="B828" s="273" t="s">
        <v>1083</v>
      </c>
      <c r="C828" s="274">
        <v>83600</v>
      </c>
      <c r="D828" s="273" t="s">
        <v>1111</v>
      </c>
      <c r="E828" s="273" t="s">
        <v>1112</v>
      </c>
      <c r="F828" s="273" t="s">
        <v>112</v>
      </c>
      <c r="G828" s="273" t="s">
        <v>113</v>
      </c>
      <c r="H828" s="275">
        <v>836</v>
      </c>
      <c r="I828" s="275"/>
      <c r="J828" s="270" t="s">
        <v>1113</v>
      </c>
    </row>
    <row r="829" ht="115.5" hidden="1" spans="1:10">
      <c r="A829" s="273" t="s">
        <v>1109</v>
      </c>
      <c r="B829" s="273" t="s">
        <v>1083</v>
      </c>
      <c r="C829" s="274">
        <v>102500</v>
      </c>
      <c r="D829" s="273" t="s">
        <v>1114</v>
      </c>
      <c r="E829" s="273" t="s">
        <v>1115</v>
      </c>
      <c r="F829" s="273" t="s">
        <v>58</v>
      </c>
      <c r="G829" s="273" t="s">
        <v>220</v>
      </c>
      <c r="H829" s="275">
        <v>1025</v>
      </c>
      <c r="I829" s="275" t="s">
        <v>65</v>
      </c>
      <c r="J829" s="270" t="s">
        <v>1116</v>
      </c>
    </row>
    <row r="830" hidden="1" spans="1:10">
      <c r="A830" s="273" t="s">
        <v>1109</v>
      </c>
      <c r="B830" s="273" t="s">
        <v>1083</v>
      </c>
      <c r="C830" s="274">
        <v>116100</v>
      </c>
      <c r="D830" s="273" t="s">
        <v>1117</v>
      </c>
      <c r="E830" s="273" t="s">
        <v>1118</v>
      </c>
      <c r="F830" s="273" t="s">
        <v>125</v>
      </c>
      <c r="G830" s="273" t="s">
        <v>126</v>
      </c>
      <c r="H830" s="275">
        <v>1274</v>
      </c>
      <c r="I830" s="275"/>
      <c r="J830" s="270" t="s">
        <v>1119</v>
      </c>
    </row>
    <row r="831" ht="63" hidden="1" spans="1:10">
      <c r="A831" s="273" t="s">
        <v>1109</v>
      </c>
      <c r="B831" s="273" t="s">
        <v>1083</v>
      </c>
      <c r="C831" s="274">
        <v>83700</v>
      </c>
      <c r="D831" s="273" t="s">
        <v>128</v>
      </c>
      <c r="E831" s="273" t="s">
        <v>129</v>
      </c>
      <c r="F831" s="273" t="s">
        <v>130</v>
      </c>
      <c r="G831" s="273" t="s">
        <v>131</v>
      </c>
      <c r="H831" s="275">
        <v>837</v>
      </c>
      <c r="I831" s="275"/>
      <c r="J831" s="270" t="s">
        <v>132</v>
      </c>
    </row>
    <row r="832" ht="52.5" hidden="1" spans="1:10">
      <c r="A832" s="273" t="s">
        <v>1109</v>
      </c>
      <c r="B832" s="273" t="s">
        <v>1083</v>
      </c>
      <c r="C832" s="274">
        <v>83800</v>
      </c>
      <c r="D832" s="273" t="s">
        <v>133</v>
      </c>
      <c r="E832" s="273" t="s">
        <v>134</v>
      </c>
      <c r="F832" s="273" t="s">
        <v>130</v>
      </c>
      <c r="G832" s="273" t="s">
        <v>131</v>
      </c>
      <c r="H832" s="275">
        <v>838</v>
      </c>
      <c r="I832" s="275" t="s">
        <v>65</v>
      </c>
      <c r="J832" s="270" t="s">
        <v>135</v>
      </c>
    </row>
    <row r="833" hidden="1" spans="1:10">
      <c r="A833" s="273" t="s">
        <v>1109</v>
      </c>
      <c r="B833" s="273" t="s">
        <v>1083</v>
      </c>
      <c r="C833" s="274">
        <v>83900</v>
      </c>
      <c r="D833" s="273" t="s">
        <v>1120</v>
      </c>
      <c r="E833" s="273" t="s">
        <v>1121</v>
      </c>
      <c r="F833" s="273" t="s">
        <v>112</v>
      </c>
      <c r="G833" s="273" t="s">
        <v>113</v>
      </c>
      <c r="H833" s="275">
        <v>839</v>
      </c>
      <c r="I833" s="275"/>
      <c r="J833" s="270" t="s">
        <v>1122</v>
      </c>
    </row>
    <row r="834" hidden="1" spans="1:10">
      <c r="A834" s="273" t="s">
        <v>1109</v>
      </c>
      <c r="B834" s="273" t="s">
        <v>1083</v>
      </c>
      <c r="C834" s="274">
        <v>84100</v>
      </c>
      <c r="D834" s="273" t="s">
        <v>1123</v>
      </c>
      <c r="E834" s="273" t="s">
        <v>1124</v>
      </c>
      <c r="F834" s="273" t="s">
        <v>73</v>
      </c>
      <c r="G834" s="273" t="s">
        <v>74</v>
      </c>
      <c r="H834" s="275">
        <v>841</v>
      </c>
      <c r="I834" s="275"/>
      <c r="J834" s="270" t="s">
        <v>1125</v>
      </c>
    </row>
    <row r="835" hidden="1" spans="1:10">
      <c r="A835" s="273" t="s">
        <v>1109</v>
      </c>
      <c r="B835" s="273" t="s">
        <v>1083</v>
      </c>
      <c r="C835" s="274">
        <v>84200</v>
      </c>
      <c r="D835" s="273" t="s">
        <v>1126</v>
      </c>
      <c r="E835" s="273" t="s">
        <v>1127</v>
      </c>
      <c r="F835" s="273" t="s">
        <v>73</v>
      </c>
      <c r="G835" s="273" t="s">
        <v>74</v>
      </c>
      <c r="H835" s="275">
        <v>842</v>
      </c>
      <c r="I835" s="275"/>
      <c r="J835" s="270" t="s">
        <v>1128</v>
      </c>
    </row>
    <row r="836" ht="21" hidden="1" spans="1:10">
      <c r="A836" s="273" t="s">
        <v>1109</v>
      </c>
      <c r="B836" s="273" t="s">
        <v>1083</v>
      </c>
      <c r="C836" s="274">
        <v>84300</v>
      </c>
      <c r="D836" s="273" t="s">
        <v>1129</v>
      </c>
      <c r="E836" s="273" t="s">
        <v>1130</v>
      </c>
      <c r="F836" s="273" t="s">
        <v>81</v>
      </c>
      <c r="G836" s="273" t="s">
        <v>1131</v>
      </c>
      <c r="H836" s="275">
        <v>843</v>
      </c>
      <c r="I836" s="275" t="s">
        <v>65</v>
      </c>
      <c r="J836" s="270" t="s">
        <v>1132</v>
      </c>
    </row>
    <row r="837" hidden="1" spans="1:10">
      <c r="A837" s="273" t="s">
        <v>1109</v>
      </c>
      <c r="B837" s="273" t="s">
        <v>1083</v>
      </c>
      <c r="C837" s="274">
        <v>84400</v>
      </c>
      <c r="D837" s="273" t="s">
        <v>194</v>
      </c>
      <c r="E837" s="273" t="s">
        <v>195</v>
      </c>
      <c r="F837" s="273" t="s">
        <v>125</v>
      </c>
      <c r="G837" s="273" t="s">
        <v>126</v>
      </c>
      <c r="H837" s="275">
        <v>844</v>
      </c>
      <c r="I837" s="275"/>
      <c r="J837" s="270" t="s">
        <v>196</v>
      </c>
    </row>
    <row r="838" hidden="1" spans="1:10">
      <c r="A838" s="273" t="s">
        <v>1109</v>
      </c>
      <c r="B838" s="273" t="s">
        <v>1083</v>
      </c>
      <c r="C838" s="274">
        <v>84500</v>
      </c>
      <c r="D838" s="273" t="s">
        <v>1133</v>
      </c>
      <c r="E838" s="273" t="s">
        <v>1134</v>
      </c>
      <c r="F838" s="273" t="s">
        <v>63</v>
      </c>
      <c r="G838" s="273" t="s">
        <v>64</v>
      </c>
      <c r="H838" s="275">
        <v>845</v>
      </c>
      <c r="I838" s="275"/>
      <c r="J838" s="270" t="s">
        <v>1135</v>
      </c>
    </row>
    <row r="839" hidden="1" spans="1:10">
      <c r="A839" s="273" t="s">
        <v>1109</v>
      </c>
      <c r="B839" s="273" t="s">
        <v>1083</v>
      </c>
      <c r="C839" s="274">
        <v>84600</v>
      </c>
      <c r="D839" s="273" t="s">
        <v>1136</v>
      </c>
      <c r="E839" s="273" t="s">
        <v>1137</v>
      </c>
      <c r="F839" s="273" t="s">
        <v>63</v>
      </c>
      <c r="G839" s="273" t="s">
        <v>69</v>
      </c>
      <c r="H839" s="275">
        <v>846</v>
      </c>
      <c r="I839" s="275"/>
      <c r="J839" s="270" t="s">
        <v>1138</v>
      </c>
    </row>
    <row r="840" ht="21" hidden="1" spans="1:10">
      <c r="A840" s="273" t="s">
        <v>1109</v>
      </c>
      <c r="B840" s="273" t="s">
        <v>1083</v>
      </c>
      <c r="C840" s="274">
        <v>84700</v>
      </c>
      <c r="D840" s="273" t="s">
        <v>136</v>
      </c>
      <c r="E840" s="273" t="s">
        <v>137</v>
      </c>
      <c r="F840" s="273" t="s">
        <v>112</v>
      </c>
      <c r="G840" s="273" t="s">
        <v>113</v>
      </c>
      <c r="H840" s="275">
        <v>847</v>
      </c>
      <c r="I840" s="275" t="s">
        <v>65</v>
      </c>
      <c r="J840" s="270" t="s">
        <v>138</v>
      </c>
    </row>
    <row r="841" ht="63" hidden="1" spans="1:10">
      <c r="A841" s="273" t="s">
        <v>1109</v>
      </c>
      <c r="B841" s="273" t="s">
        <v>1083</v>
      </c>
      <c r="C841" s="274">
        <v>84800</v>
      </c>
      <c r="D841" s="273" t="s">
        <v>191</v>
      </c>
      <c r="E841" s="273" t="s">
        <v>192</v>
      </c>
      <c r="F841" s="273" t="s">
        <v>112</v>
      </c>
      <c r="G841" s="273" t="s">
        <v>113</v>
      </c>
      <c r="H841" s="275">
        <v>848</v>
      </c>
      <c r="I841" s="275" t="s">
        <v>65</v>
      </c>
      <c r="J841" s="270" t="s">
        <v>193</v>
      </c>
    </row>
    <row r="842" ht="52.5" hidden="1" spans="1:10">
      <c r="A842" s="273" t="s">
        <v>1109</v>
      </c>
      <c r="B842" s="273" t="s">
        <v>1083</v>
      </c>
      <c r="C842" s="274">
        <v>84900</v>
      </c>
      <c r="D842" s="273" t="s">
        <v>215</v>
      </c>
      <c r="E842" s="273" t="s">
        <v>216</v>
      </c>
      <c r="F842" s="273" t="s">
        <v>112</v>
      </c>
      <c r="G842" s="273" t="s">
        <v>113</v>
      </c>
      <c r="H842" s="275">
        <v>849</v>
      </c>
      <c r="I842" s="275" t="s">
        <v>65</v>
      </c>
      <c r="J842" s="270" t="s">
        <v>217</v>
      </c>
    </row>
    <row r="843" ht="21" hidden="1" spans="1:10">
      <c r="A843" s="273" t="s">
        <v>1109</v>
      </c>
      <c r="B843" s="273" t="s">
        <v>1083</v>
      </c>
      <c r="C843" s="274">
        <v>85000</v>
      </c>
      <c r="D843" s="273" t="s">
        <v>222</v>
      </c>
      <c r="E843" s="273" t="s">
        <v>223</v>
      </c>
      <c r="F843" s="273" t="s">
        <v>58</v>
      </c>
      <c r="G843" s="273" t="s">
        <v>220</v>
      </c>
      <c r="H843" s="275">
        <v>850</v>
      </c>
      <c r="I843" s="275"/>
      <c r="J843" s="270" t="s">
        <v>221</v>
      </c>
    </row>
    <row r="844" ht="21" hidden="1" spans="1:10">
      <c r="A844" s="273" t="s">
        <v>1109</v>
      </c>
      <c r="B844" s="273" t="s">
        <v>1083</v>
      </c>
      <c r="C844" s="274">
        <v>85100</v>
      </c>
      <c r="D844" s="273" t="s">
        <v>224</v>
      </c>
      <c r="E844" s="273" t="s">
        <v>225</v>
      </c>
      <c r="F844" s="273" t="s">
        <v>58</v>
      </c>
      <c r="G844" s="273" t="s">
        <v>220</v>
      </c>
      <c r="H844" s="275">
        <v>851</v>
      </c>
      <c r="I844" s="275"/>
      <c r="J844" s="270" t="s">
        <v>221</v>
      </c>
    </row>
    <row r="845" hidden="1" spans="1:10">
      <c r="A845" s="273" t="s">
        <v>1109</v>
      </c>
      <c r="B845" s="273" t="s">
        <v>1083</v>
      </c>
      <c r="C845" s="274">
        <v>85300</v>
      </c>
      <c r="D845" s="273" t="s">
        <v>238</v>
      </c>
      <c r="E845" s="273" t="s">
        <v>239</v>
      </c>
      <c r="F845" s="273" t="s">
        <v>240</v>
      </c>
      <c r="G845" s="273" t="s">
        <v>241</v>
      </c>
      <c r="H845" s="275">
        <v>853</v>
      </c>
      <c r="I845" s="275"/>
      <c r="J845" s="270" t="s">
        <v>4</v>
      </c>
    </row>
    <row r="846" ht="52.5" hidden="1" spans="1:10">
      <c r="A846" s="273" t="s">
        <v>1139</v>
      </c>
      <c r="B846" s="273" t="s">
        <v>1140</v>
      </c>
      <c r="C846" s="274">
        <v>85600</v>
      </c>
      <c r="D846" s="273" t="s">
        <v>56</v>
      </c>
      <c r="E846" s="273" t="s">
        <v>57</v>
      </c>
      <c r="F846" s="273" t="s">
        <v>58</v>
      </c>
      <c r="G846" s="273" t="s">
        <v>59</v>
      </c>
      <c r="H846" s="275">
        <v>856</v>
      </c>
      <c r="I846" s="275" t="s">
        <v>65</v>
      </c>
      <c r="J846" s="270" t="s">
        <v>1141</v>
      </c>
    </row>
    <row r="847" ht="31.5" hidden="1" spans="1:10">
      <c r="A847" s="273" t="s">
        <v>1139</v>
      </c>
      <c r="B847" s="273" t="s">
        <v>1140</v>
      </c>
      <c r="C847" s="274">
        <v>85800</v>
      </c>
      <c r="D847" s="273" t="s">
        <v>1142</v>
      </c>
      <c r="E847" s="273" t="s">
        <v>1143</v>
      </c>
      <c r="F847" s="273" t="s">
        <v>58</v>
      </c>
      <c r="G847" s="273" t="s">
        <v>59</v>
      </c>
      <c r="H847" s="275">
        <v>858</v>
      </c>
      <c r="I847" s="275" t="s">
        <v>65</v>
      </c>
      <c r="J847" s="270" t="s">
        <v>1144</v>
      </c>
    </row>
    <row r="848" ht="21" hidden="1" spans="1:10">
      <c r="A848" s="273" t="s">
        <v>1139</v>
      </c>
      <c r="B848" s="273" t="s">
        <v>1140</v>
      </c>
      <c r="C848" s="274">
        <v>85900</v>
      </c>
      <c r="D848" s="273" t="s">
        <v>1145</v>
      </c>
      <c r="E848" s="273" t="s">
        <v>1146</v>
      </c>
      <c r="F848" s="273" t="s">
        <v>112</v>
      </c>
      <c r="G848" s="273" t="s">
        <v>113</v>
      </c>
      <c r="H848" s="275">
        <v>859</v>
      </c>
      <c r="I848" s="275" t="s">
        <v>65</v>
      </c>
      <c r="J848" s="270" t="s">
        <v>1147</v>
      </c>
    </row>
    <row r="849" ht="21" hidden="1" spans="1:10">
      <c r="A849" s="273" t="s">
        <v>1148</v>
      </c>
      <c r="B849" s="273" t="s">
        <v>1149</v>
      </c>
      <c r="C849" s="274">
        <v>86200</v>
      </c>
      <c r="D849" s="273" t="s">
        <v>56</v>
      </c>
      <c r="E849" s="273" t="s">
        <v>57</v>
      </c>
      <c r="F849" s="273" t="s">
        <v>58</v>
      </c>
      <c r="G849" s="273" t="s">
        <v>59</v>
      </c>
      <c r="H849" s="275">
        <v>862</v>
      </c>
      <c r="I849" s="275"/>
      <c r="J849" s="270" t="s">
        <v>60</v>
      </c>
    </row>
    <row r="850" ht="52.5" hidden="1" spans="1:10">
      <c r="A850" s="273" t="s">
        <v>1148</v>
      </c>
      <c r="B850" s="273" t="s">
        <v>1149</v>
      </c>
      <c r="C850" s="274">
        <v>86400</v>
      </c>
      <c r="D850" s="273" t="s">
        <v>61</v>
      </c>
      <c r="E850" s="273" t="s">
        <v>62</v>
      </c>
      <c r="F850" s="273" t="s">
        <v>63</v>
      </c>
      <c r="G850" s="273" t="s">
        <v>64</v>
      </c>
      <c r="H850" s="275">
        <v>864</v>
      </c>
      <c r="I850" s="275" t="s">
        <v>65</v>
      </c>
      <c r="J850" s="270" t="s">
        <v>66</v>
      </c>
    </row>
    <row r="851" ht="21" hidden="1" spans="1:10">
      <c r="A851" s="273" t="s">
        <v>1148</v>
      </c>
      <c r="B851" s="273" t="s">
        <v>1149</v>
      </c>
      <c r="C851" s="274">
        <v>86500</v>
      </c>
      <c r="D851" s="273" t="s">
        <v>67</v>
      </c>
      <c r="E851" s="273" t="s">
        <v>68</v>
      </c>
      <c r="F851" s="273" t="s">
        <v>63</v>
      </c>
      <c r="G851" s="273" t="s">
        <v>69</v>
      </c>
      <c r="H851" s="275">
        <v>865</v>
      </c>
      <c r="I851" s="275"/>
      <c r="J851" s="270" t="s">
        <v>70</v>
      </c>
    </row>
    <row r="852" ht="31.5" hidden="1" spans="1:10">
      <c r="A852" s="273" t="s">
        <v>1148</v>
      </c>
      <c r="B852" s="273" t="s">
        <v>1149</v>
      </c>
      <c r="C852" s="274">
        <v>86600</v>
      </c>
      <c r="D852" s="273" t="s">
        <v>71</v>
      </c>
      <c r="E852" s="273" t="s">
        <v>1150</v>
      </c>
      <c r="F852" s="273" t="s">
        <v>73</v>
      </c>
      <c r="G852" s="273" t="s">
        <v>74</v>
      </c>
      <c r="H852" s="275">
        <v>866</v>
      </c>
      <c r="I852" s="275" t="s">
        <v>65</v>
      </c>
      <c r="J852" s="270" t="s">
        <v>1151</v>
      </c>
    </row>
    <row r="853" ht="31.5" hidden="1" spans="1:10">
      <c r="A853" s="273" t="s">
        <v>1148</v>
      </c>
      <c r="B853" s="273" t="s">
        <v>1149</v>
      </c>
      <c r="C853" s="274">
        <v>86700</v>
      </c>
      <c r="D853" s="273" t="s">
        <v>76</v>
      </c>
      <c r="E853" s="273" t="s">
        <v>1152</v>
      </c>
      <c r="F853" s="273" t="s">
        <v>73</v>
      </c>
      <c r="G853" s="273" t="s">
        <v>74</v>
      </c>
      <c r="H853" s="275">
        <v>867</v>
      </c>
      <c r="I853" s="275" t="s">
        <v>65</v>
      </c>
      <c r="J853" s="270" t="s">
        <v>1153</v>
      </c>
    </row>
    <row r="854" ht="42" hidden="1" spans="1:10">
      <c r="A854" s="273" t="s">
        <v>1148</v>
      </c>
      <c r="B854" s="273" t="s">
        <v>1149</v>
      </c>
      <c r="C854" s="274">
        <v>86800</v>
      </c>
      <c r="D854" s="273" t="s">
        <v>79</v>
      </c>
      <c r="E854" s="273" t="s">
        <v>1154</v>
      </c>
      <c r="F854" s="273" t="s">
        <v>81</v>
      </c>
      <c r="G854" s="273" t="s">
        <v>82</v>
      </c>
      <c r="H854" s="275">
        <v>868</v>
      </c>
      <c r="I854" s="275" t="s">
        <v>65</v>
      </c>
      <c r="J854" s="270" t="s">
        <v>1155</v>
      </c>
    </row>
    <row r="855" ht="31.5" hidden="1" spans="1:10">
      <c r="A855" s="273" t="s">
        <v>1148</v>
      </c>
      <c r="B855" s="273" t="s">
        <v>1149</v>
      </c>
      <c r="C855" s="274">
        <v>86900</v>
      </c>
      <c r="D855" s="273" t="s">
        <v>92</v>
      </c>
      <c r="E855" s="273" t="s">
        <v>1156</v>
      </c>
      <c r="F855" s="273" t="s">
        <v>73</v>
      </c>
      <c r="G855" s="273" t="s">
        <v>94</v>
      </c>
      <c r="H855" s="275">
        <v>869</v>
      </c>
      <c r="I855" s="275"/>
      <c r="J855" s="270" t="s">
        <v>1157</v>
      </c>
    </row>
    <row r="856" ht="31.5" hidden="1" spans="1:10">
      <c r="A856" s="273" t="s">
        <v>1148</v>
      </c>
      <c r="B856" s="273" t="s">
        <v>1149</v>
      </c>
      <c r="C856" s="274">
        <v>87000</v>
      </c>
      <c r="D856" s="273" t="s">
        <v>96</v>
      </c>
      <c r="E856" s="273" t="s">
        <v>1158</v>
      </c>
      <c r="F856" s="273" t="s">
        <v>63</v>
      </c>
      <c r="G856" s="273" t="s">
        <v>69</v>
      </c>
      <c r="H856" s="275">
        <v>870</v>
      </c>
      <c r="I856" s="275"/>
      <c r="J856" s="270" t="s">
        <v>1159</v>
      </c>
    </row>
    <row r="857" ht="31.5" hidden="1" spans="1:10">
      <c r="A857" s="273" t="s">
        <v>1148</v>
      </c>
      <c r="B857" s="273" t="s">
        <v>1149</v>
      </c>
      <c r="C857" s="274">
        <v>87100</v>
      </c>
      <c r="D857" s="273" t="s">
        <v>99</v>
      </c>
      <c r="E857" s="273" t="s">
        <v>1160</v>
      </c>
      <c r="F857" s="273" t="s">
        <v>101</v>
      </c>
      <c r="G857" s="273" t="s">
        <v>102</v>
      </c>
      <c r="H857" s="275">
        <v>871</v>
      </c>
      <c r="I857" s="275" t="s">
        <v>65</v>
      </c>
      <c r="J857" s="270" t="s">
        <v>1161</v>
      </c>
    </row>
    <row r="858" hidden="1" spans="1:10">
      <c r="A858" s="273" t="s">
        <v>1148</v>
      </c>
      <c r="B858" s="273" t="s">
        <v>1149</v>
      </c>
      <c r="C858" s="274">
        <v>87200</v>
      </c>
      <c r="D858" s="273" t="s">
        <v>634</v>
      </c>
      <c r="E858" s="273" t="s">
        <v>635</v>
      </c>
      <c r="F858" s="273" t="s">
        <v>112</v>
      </c>
      <c r="G858" s="273" t="s">
        <v>113</v>
      </c>
      <c r="H858" s="275">
        <v>872</v>
      </c>
      <c r="I858" s="275"/>
      <c r="J858" s="270" t="s">
        <v>636</v>
      </c>
    </row>
    <row r="859" hidden="1" spans="1:10">
      <c r="A859" s="273" t="s">
        <v>1148</v>
      </c>
      <c r="B859" s="273" t="s">
        <v>1149</v>
      </c>
      <c r="C859" s="274">
        <v>87300</v>
      </c>
      <c r="D859" s="273" t="s">
        <v>401</v>
      </c>
      <c r="E859" s="273" t="s">
        <v>401</v>
      </c>
      <c r="F859" s="273" t="s">
        <v>303</v>
      </c>
      <c r="G859" s="273" t="s">
        <v>637</v>
      </c>
      <c r="H859" s="275">
        <v>873</v>
      </c>
      <c r="I859" s="275"/>
      <c r="J859" s="270" t="s">
        <v>638</v>
      </c>
    </row>
    <row r="860" hidden="1" spans="1:10">
      <c r="A860" s="273" t="s">
        <v>1148</v>
      </c>
      <c r="B860" s="273" t="s">
        <v>1149</v>
      </c>
      <c r="C860" s="274">
        <v>87400</v>
      </c>
      <c r="D860" s="273" t="s">
        <v>1162</v>
      </c>
      <c r="E860" s="273" t="s">
        <v>1163</v>
      </c>
      <c r="F860" s="273" t="s">
        <v>73</v>
      </c>
      <c r="G860" s="273" t="s">
        <v>74</v>
      </c>
      <c r="H860" s="275">
        <v>874</v>
      </c>
      <c r="I860" s="275"/>
      <c r="J860" s="270" t="s">
        <v>1164</v>
      </c>
    </row>
    <row r="861" hidden="1" spans="1:10">
      <c r="A861" s="273" t="s">
        <v>1148</v>
      </c>
      <c r="B861" s="273" t="s">
        <v>1149</v>
      </c>
      <c r="C861" s="274">
        <v>87500</v>
      </c>
      <c r="D861" s="273" t="s">
        <v>1165</v>
      </c>
      <c r="E861" s="273" t="s">
        <v>1166</v>
      </c>
      <c r="F861" s="273" t="s">
        <v>73</v>
      </c>
      <c r="G861" s="273" t="s">
        <v>74</v>
      </c>
      <c r="H861" s="275">
        <v>875</v>
      </c>
      <c r="I861" s="275"/>
      <c r="J861" s="270" t="s">
        <v>1167</v>
      </c>
    </row>
    <row r="862" ht="21" hidden="1" spans="1:10">
      <c r="A862" s="273" t="s">
        <v>1148</v>
      </c>
      <c r="B862" s="273" t="s">
        <v>1149</v>
      </c>
      <c r="C862" s="274">
        <v>87600</v>
      </c>
      <c r="D862" s="273" t="s">
        <v>869</v>
      </c>
      <c r="E862" s="273" t="s">
        <v>870</v>
      </c>
      <c r="F862" s="273" t="s">
        <v>155</v>
      </c>
      <c r="G862" s="273" t="s">
        <v>156</v>
      </c>
      <c r="H862" s="275">
        <v>876</v>
      </c>
      <c r="I862" s="275"/>
      <c r="J862" s="270" t="s">
        <v>871</v>
      </c>
    </row>
    <row r="863" ht="63" hidden="1" spans="1:10">
      <c r="A863" s="273" t="s">
        <v>1148</v>
      </c>
      <c r="B863" s="273" t="s">
        <v>1149</v>
      </c>
      <c r="C863" s="274">
        <v>87700</v>
      </c>
      <c r="D863" s="273" t="s">
        <v>191</v>
      </c>
      <c r="E863" s="273" t="s">
        <v>192</v>
      </c>
      <c r="F863" s="273" t="s">
        <v>112</v>
      </c>
      <c r="G863" s="273" t="s">
        <v>113</v>
      </c>
      <c r="H863" s="275">
        <v>877</v>
      </c>
      <c r="I863" s="275" t="s">
        <v>65</v>
      </c>
      <c r="J863" s="270" t="s">
        <v>193</v>
      </c>
    </row>
    <row r="864" hidden="1" spans="1:10">
      <c r="A864" s="273" t="s">
        <v>1148</v>
      </c>
      <c r="B864" s="273" t="s">
        <v>1149</v>
      </c>
      <c r="C864" s="274">
        <v>87800</v>
      </c>
      <c r="D864" s="273" t="s">
        <v>194</v>
      </c>
      <c r="E864" s="273" t="s">
        <v>195</v>
      </c>
      <c r="F864" s="273" t="s">
        <v>125</v>
      </c>
      <c r="G864" s="273" t="s">
        <v>126</v>
      </c>
      <c r="H864" s="275">
        <v>878</v>
      </c>
      <c r="I864" s="275"/>
      <c r="J864" s="270" t="s">
        <v>196</v>
      </c>
    </row>
    <row r="865" ht="52.5" hidden="1" spans="1:10">
      <c r="A865" s="273" t="s">
        <v>1148</v>
      </c>
      <c r="B865" s="273" t="s">
        <v>1149</v>
      </c>
      <c r="C865" s="274">
        <v>87900</v>
      </c>
      <c r="D865" s="273" t="s">
        <v>215</v>
      </c>
      <c r="E865" s="273" t="s">
        <v>216</v>
      </c>
      <c r="F865" s="273" t="s">
        <v>112</v>
      </c>
      <c r="G865" s="273" t="s">
        <v>113</v>
      </c>
      <c r="H865" s="275">
        <v>879</v>
      </c>
      <c r="I865" s="275" t="s">
        <v>65</v>
      </c>
      <c r="J865" s="270" t="s">
        <v>217</v>
      </c>
    </row>
    <row r="866" ht="21" hidden="1" spans="1:10">
      <c r="A866" s="273" t="s">
        <v>1148</v>
      </c>
      <c r="B866" s="273" t="s">
        <v>1149</v>
      </c>
      <c r="C866" s="274">
        <v>88000</v>
      </c>
      <c r="D866" s="273" t="s">
        <v>1168</v>
      </c>
      <c r="E866" s="273" t="s">
        <v>1169</v>
      </c>
      <c r="F866" s="273" t="s">
        <v>58</v>
      </c>
      <c r="G866" s="273" t="s">
        <v>220</v>
      </c>
      <c r="H866" s="275">
        <v>880</v>
      </c>
      <c r="I866" s="275"/>
      <c r="J866" s="270" t="s">
        <v>221</v>
      </c>
    </row>
    <row r="867" ht="21" hidden="1" spans="1:10">
      <c r="A867" s="273" t="s">
        <v>1148</v>
      </c>
      <c r="B867" s="273" t="s">
        <v>1149</v>
      </c>
      <c r="C867" s="274">
        <v>88100</v>
      </c>
      <c r="D867" s="273" t="s">
        <v>1170</v>
      </c>
      <c r="E867" s="273" t="s">
        <v>1171</v>
      </c>
      <c r="F867" s="273" t="s">
        <v>58</v>
      </c>
      <c r="G867" s="273" t="s">
        <v>220</v>
      </c>
      <c r="H867" s="275">
        <v>881</v>
      </c>
      <c r="I867" s="275"/>
      <c r="J867" s="270" t="s">
        <v>221</v>
      </c>
    </row>
    <row r="868" ht="21" hidden="1" spans="1:10">
      <c r="A868" s="273" t="s">
        <v>1148</v>
      </c>
      <c r="B868" s="273" t="s">
        <v>1149</v>
      </c>
      <c r="C868" s="274">
        <v>88200</v>
      </c>
      <c r="D868" s="273" t="s">
        <v>874</v>
      </c>
      <c r="E868" s="273" t="s">
        <v>875</v>
      </c>
      <c r="F868" s="273" t="s">
        <v>58</v>
      </c>
      <c r="G868" s="273" t="s">
        <v>220</v>
      </c>
      <c r="H868" s="275">
        <v>882</v>
      </c>
      <c r="I868" s="275"/>
      <c r="J868" s="270" t="s">
        <v>221</v>
      </c>
    </row>
    <row r="869" hidden="1" spans="1:10">
      <c r="A869" s="273" t="s">
        <v>1148</v>
      </c>
      <c r="B869" s="273" t="s">
        <v>1149</v>
      </c>
      <c r="C869" s="274">
        <v>88300</v>
      </c>
      <c r="D869" s="273" t="s">
        <v>238</v>
      </c>
      <c r="E869" s="273" t="s">
        <v>239</v>
      </c>
      <c r="F869" s="273" t="s">
        <v>240</v>
      </c>
      <c r="G869" s="273" t="s">
        <v>241</v>
      </c>
      <c r="H869" s="275">
        <v>883</v>
      </c>
      <c r="I869" s="275"/>
      <c r="J869" s="270" t="s">
        <v>4</v>
      </c>
    </row>
  </sheetData>
  <autoFilter ref="A1:A869">
    <filterColumn colId="0">
      <customFilters>
        <customFilter operator="equal" val="Adduttrici"/>
      </customFilters>
    </filterColumn>
    <extLst/>
  </autoFilter>
  <pageMargins left="0.75" right="0.75" top="1" bottom="1" header="0.511811023622047" footer="0.511811023622047"/>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CCFF"/>
  </sheetPr>
  <dimension ref="A1:D52"/>
  <sheetViews>
    <sheetView topLeftCell="A7" workbookViewId="0">
      <selection activeCell="A33" sqref="A33"/>
    </sheetView>
  </sheetViews>
  <sheetFormatPr defaultColWidth="9.14285714285714" defaultRowHeight="12.75" outlineLevelCol="3"/>
  <cols>
    <col min="1" max="1" width="7.85714285714286" style="258" customWidth="1"/>
    <col min="2" max="2" width="32.7142857142857" style="258" customWidth="1"/>
    <col min="3" max="3" width="45.1428571428571" style="258" customWidth="1"/>
    <col min="4" max="4" width="57.7142857142857" style="258" customWidth="1"/>
    <col min="5" max="5" width="9" customWidth="1"/>
    <col min="6" max="1024" width="9.14285714285714" style="258"/>
  </cols>
  <sheetData>
    <row r="1" customHeight="1" spans="1:4">
      <c r="A1" s="259" t="s">
        <v>1172</v>
      </c>
      <c r="B1" s="259" t="s">
        <v>1173</v>
      </c>
      <c r="C1" s="259" t="s">
        <v>67</v>
      </c>
      <c r="D1" s="259" t="s">
        <v>1174</v>
      </c>
    </row>
    <row r="2" customHeight="1" spans="1:4">
      <c r="A2" s="260">
        <v>884</v>
      </c>
      <c r="B2" s="261" t="s">
        <v>1175</v>
      </c>
      <c r="C2" s="261" t="s">
        <v>1176</v>
      </c>
      <c r="D2" s="261" t="s">
        <v>1177</v>
      </c>
    </row>
    <row r="3" customHeight="1" spans="1:4">
      <c r="A3" s="260">
        <v>885</v>
      </c>
      <c r="B3" s="261" t="s">
        <v>1175</v>
      </c>
      <c r="C3" s="261" t="s">
        <v>1178</v>
      </c>
      <c r="D3" s="261" t="s">
        <v>1179</v>
      </c>
    </row>
    <row r="4" customHeight="1" spans="1:4">
      <c r="A4" s="262">
        <v>886</v>
      </c>
      <c r="B4" s="263" t="s">
        <v>1180</v>
      </c>
      <c r="C4" s="263" t="s">
        <v>1181</v>
      </c>
      <c r="D4" s="263" t="s">
        <v>1182</v>
      </c>
    </row>
    <row r="5" customHeight="1" spans="1:4">
      <c r="A5" s="262">
        <v>887</v>
      </c>
      <c r="B5" s="263" t="s">
        <v>1180</v>
      </c>
      <c r="C5" s="263" t="s">
        <v>1183</v>
      </c>
      <c r="D5" s="263" t="s">
        <v>1184</v>
      </c>
    </row>
    <row r="6" customHeight="1" spans="1:4">
      <c r="A6" s="260">
        <v>888</v>
      </c>
      <c r="B6" s="261" t="s">
        <v>1185</v>
      </c>
      <c r="C6" s="261" t="s">
        <v>1186</v>
      </c>
      <c r="D6" s="261" t="s">
        <v>1187</v>
      </c>
    </row>
    <row r="7" customHeight="1" spans="1:4">
      <c r="A7" s="260">
        <v>889</v>
      </c>
      <c r="B7" s="261" t="s">
        <v>1185</v>
      </c>
      <c r="C7" s="261" t="s">
        <v>1188</v>
      </c>
      <c r="D7" s="261" t="s">
        <v>1189</v>
      </c>
    </row>
    <row r="8" customHeight="1" spans="1:4">
      <c r="A8" s="262">
        <v>890</v>
      </c>
      <c r="B8" s="263" t="s">
        <v>1190</v>
      </c>
      <c r="C8" s="263" t="s">
        <v>1191</v>
      </c>
      <c r="D8" s="263" t="s">
        <v>1192</v>
      </c>
    </row>
    <row r="9" customHeight="1" spans="1:4">
      <c r="A9" s="262">
        <v>891</v>
      </c>
      <c r="B9" s="263" t="s">
        <v>1190</v>
      </c>
      <c r="C9" s="263" t="s">
        <v>1193</v>
      </c>
      <c r="D9" s="263" t="s">
        <v>1194</v>
      </c>
    </row>
    <row r="10" customHeight="1" spans="1:4">
      <c r="A10" s="260">
        <v>892</v>
      </c>
      <c r="B10" s="261" t="s">
        <v>1195</v>
      </c>
      <c r="C10" s="261" t="s">
        <v>1196</v>
      </c>
      <c r="D10" s="261" t="s">
        <v>1197</v>
      </c>
    </row>
    <row r="11" customHeight="1" spans="1:4">
      <c r="A11" s="260">
        <v>893</v>
      </c>
      <c r="B11" s="261" t="s">
        <v>1195</v>
      </c>
      <c r="C11" s="261" t="s">
        <v>1198</v>
      </c>
      <c r="D11" s="261" t="s">
        <v>1199</v>
      </c>
    </row>
    <row r="12" customHeight="1" spans="1:4">
      <c r="A12" s="262">
        <v>894</v>
      </c>
      <c r="B12" s="263" t="s">
        <v>1200</v>
      </c>
      <c r="C12" s="263" t="s">
        <v>1201</v>
      </c>
      <c r="D12" s="263" t="s">
        <v>1202</v>
      </c>
    </row>
    <row r="13" customHeight="1" spans="1:4">
      <c r="A13" s="262">
        <v>895</v>
      </c>
      <c r="B13" s="263" t="s">
        <v>1200</v>
      </c>
      <c r="C13" s="263" t="s">
        <v>1203</v>
      </c>
      <c r="D13" s="263" t="s">
        <v>1204</v>
      </c>
    </row>
    <row r="14" customHeight="1" spans="1:4">
      <c r="A14" s="260">
        <v>896</v>
      </c>
      <c r="B14" s="261" t="s">
        <v>1205</v>
      </c>
      <c r="C14" s="261" t="s">
        <v>1206</v>
      </c>
      <c r="D14" s="261" t="s">
        <v>1207</v>
      </c>
    </row>
    <row r="15" customHeight="1" spans="1:4">
      <c r="A15" s="260">
        <v>897</v>
      </c>
      <c r="B15" s="261" t="s">
        <v>1205</v>
      </c>
      <c r="C15" s="261" t="s">
        <v>1208</v>
      </c>
      <c r="D15" s="261" t="s">
        <v>1209</v>
      </c>
    </row>
    <row r="16" customHeight="1" spans="1:4">
      <c r="A16" s="262">
        <v>898</v>
      </c>
      <c r="B16" s="263" t="s">
        <v>1210</v>
      </c>
      <c r="C16" s="263" t="s">
        <v>1211</v>
      </c>
      <c r="D16" s="263" t="s">
        <v>1212</v>
      </c>
    </row>
    <row r="17" customHeight="1" spans="1:4">
      <c r="A17" s="262">
        <v>899</v>
      </c>
      <c r="B17" s="263" t="s">
        <v>1210</v>
      </c>
      <c r="C17" s="263" t="s">
        <v>1213</v>
      </c>
      <c r="D17" s="263" t="s">
        <v>1214</v>
      </c>
    </row>
    <row r="18" customHeight="1" spans="1:4">
      <c r="A18" s="260">
        <v>900</v>
      </c>
      <c r="B18" s="261" t="s">
        <v>1215</v>
      </c>
      <c r="C18" s="261" t="s">
        <v>1216</v>
      </c>
      <c r="D18" s="261" t="s">
        <v>1217</v>
      </c>
    </row>
    <row r="19" customHeight="1" spans="1:4">
      <c r="A19" s="260">
        <v>901</v>
      </c>
      <c r="B19" s="261" t="s">
        <v>1215</v>
      </c>
      <c r="C19" s="261" t="s">
        <v>1203</v>
      </c>
      <c r="D19" s="261" t="s">
        <v>1218</v>
      </c>
    </row>
    <row r="20" customHeight="1" spans="1:4">
      <c r="A20" s="262">
        <v>902</v>
      </c>
      <c r="B20" s="263" t="s">
        <v>1219</v>
      </c>
      <c r="C20" s="263" t="s">
        <v>1220</v>
      </c>
      <c r="D20" s="263" t="s">
        <v>1221</v>
      </c>
    </row>
    <row r="21" customHeight="1" spans="1:4">
      <c r="A21" s="262">
        <v>903</v>
      </c>
      <c r="B21" s="263" t="s">
        <v>1219</v>
      </c>
      <c r="C21" s="263" t="s">
        <v>1222</v>
      </c>
      <c r="D21" s="263" t="s">
        <v>1223</v>
      </c>
    </row>
    <row r="22" customHeight="1" spans="1:4">
      <c r="A22" s="260">
        <v>904</v>
      </c>
      <c r="B22" s="261" t="s">
        <v>1224</v>
      </c>
      <c r="C22" s="261" t="s">
        <v>1225</v>
      </c>
      <c r="D22" s="261" t="s">
        <v>1226</v>
      </c>
    </row>
    <row r="23" customHeight="1" spans="1:4">
      <c r="A23" s="260">
        <v>905</v>
      </c>
      <c r="B23" s="261" t="s">
        <v>1224</v>
      </c>
      <c r="C23" s="261" t="s">
        <v>1227</v>
      </c>
      <c r="D23" s="261" t="s">
        <v>1228</v>
      </c>
    </row>
    <row r="24" customHeight="1" spans="1:4">
      <c r="A24" s="264">
        <v>906</v>
      </c>
      <c r="B24" s="265" t="s">
        <v>1229</v>
      </c>
      <c r="C24" s="265" t="s">
        <v>1230</v>
      </c>
      <c r="D24" s="265" t="s">
        <v>1231</v>
      </c>
    </row>
    <row r="25" customHeight="1" spans="1:4">
      <c r="A25" s="264">
        <v>907</v>
      </c>
      <c r="B25" s="265" t="s">
        <v>1229</v>
      </c>
      <c r="C25" s="265" t="s">
        <v>1232</v>
      </c>
      <c r="D25" s="265" t="s">
        <v>1233</v>
      </c>
    </row>
    <row r="26" customHeight="1" spans="1:4">
      <c r="A26" s="264">
        <v>908</v>
      </c>
      <c r="B26" s="265" t="s">
        <v>1229</v>
      </c>
      <c r="C26" s="265" t="s">
        <v>1234</v>
      </c>
      <c r="D26" s="265" t="s">
        <v>1235</v>
      </c>
    </row>
    <row r="27" customHeight="1" spans="1:4">
      <c r="A27" s="264">
        <v>909</v>
      </c>
      <c r="B27" s="265" t="s">
        <v>1229</v>
      </c>
      <c r="C27" s="265" t="s">
        <v>1236</v>
      </c>
      <c r="D27" s="265" t="s">
        <v>1237</v>
      </c>
    </row>
    <row r="28" customHeight="1" spans="1:4">
      <c r="A28" s="260">
        <v>910</v>
      </c>
      <c r="B28" s="261" t="s">
        <v>1238</v>
      </c>
      <c r="C28" s="261" t="s">
        <v>1239</v>
      </c>
      <c r="D28" s="261" t="s">
        <v>1240</v>
      </c>
    </row>
    <row r="29" customHeight="1" spans="1:4">
      <c r="A29" s="260">
        <v>911</v>
      </c>
      <c r="B29" s="261" t="s">
        <v>1238</v>
      </c>
      <c r="C29" s="261" t="s">
        <v>1241</v>
      </c>
      <c r="D29" s="261" t="s">
        <v>1242</v>
      </c>
    </row>
    <row r="30" customHeight="1" spans="1:4">
      <c r="A30" s="262">
        <v>912</v>
      </c>
      <c r="B30" s="263" t="s">
        <v>1243</v>
      </c>
      <c r="C30" s="263" t="s">
        <v>1244</v>
      </c>
      <c r="D30" s="263" t="s">
        <v>1245</v>
      </c>
    </row>
    <row r="31" customHeight="1" spans="1:4">
      <c r="A31" s="262">
        <v>913</v>
      </c>
      <c r="B31" s="263" t="s">
        <v>1243</v>
      </c>
      <c r="C31" s="263" t="s">
        <v>1225</v>
      </c>
      <c r="D31" s="263" t="s">
        <v>1226</v>
      </c>
    </row>
    <row r="32" customHeight="1" spans="1:4">
      <c r="A32" s="262">
        <v>914</v>
      </c>
      <c r="B32" s="263" t="s">
        <v>1243</v>
      </c>
      <c r="C32" s="263" t="s">
        <v>1246</v>
      </c>
      <c r="D32" s="263" t="s">
        <v>1247</v>
      </c>
    </row>
    <row r="33" customHeight="1" spans="1:4">
      <c r="A33" s="262">
        <v>915</v>
      </c>
      <c r="B33" s="263" t="s">
        <v>1243</v>
      </c>
      <c r="C33" s="263" t="s">
        <v>1248</v>
      </c>
      <c r="D33" s="263" t="s">
        <v>1249</v>
      </c>
    </row>
    <row r="34" customHeight="1" spans="1:4">
      <c r="A34" s="262">
        <v>916</v>
      </c>
      <c r="B34" s="263" t="s">
        <v>1243</v>
      </c>
      <c r="C34" s="263" t="s">
        <v>1250</v>
      </c>
      <c r="D34" s="263" t="s">
        <v>1251</v>
      </c>
    </row>
    <row r="35" customHeight="1" spans="1:4">
      <c r="A35" s="260">
        <v>917</v>
      </c>
      <c r="B35" s="261" t="s">
        <v>1252</v>
      </c>
      <c r="C35" s="261" t="s">
        <v>1253</v>
      </c>
      <c r="D35" s="261" t="s">
        <v>1254</v>
      </c>
    </row>
    <row r="36" customHeight="1" spans="1:4">
      <c r="A36" s="260">
        <v>918</v>
      </c>
      <c r="B36" s="261" t="s">
        <v>1252</v>
      </c>
      <c r="C36" s="261" t="s">
        <v>1255</v>
      </c>
      <c r="D36" s="261" t="s">
        <v>1256</v>
      </c>
    </row>
    <row r="37" customHeight="1" spans="1:4">
      <c r="A37" s="262">
        <v>919</v>
      </c>
      <c r="B37" s="263" t="s">
        <v>1257</v>
      </c>
      <c r="C37" s="263" t="s">
        <v>1258</v>
      </c>
      <c r="D37" s="263" t="s">
        <v>1259</v>
      </c>
    </row>
    <row r="38" customHeight="1" spans="1:4">
      <c r="A38" s="262">
        <v>920</v>
      </c>
      <c r="B38" s="263" t="s">
        <v>1257</v>
      </c>
      <c r="C38" s="263" t="s">
        <v>1260</v>
      </c>
      <c r="D38" s="263" t="s">
        <v>1261</v>
      </c>
    </row>
    <row r="39" customHeight="1" spans="1:4">
      <c r="A39" s="260">
        <v>921</v>
      </c>
      <c r="B39" s="261" t="s">
        <v>1262</v>
      </c>
      <c r="C39" s="261" t="s">
        <v>1263</v>
      </c>
      <c r="D39" s="261" t="s">
        <v>1264</v>
      </c>
    </row>
    <row r="40" customHeight="1" spans="1:4">
      <c r="A40" s="260">
        <v>922</v>
      </c>
      <c r="B40" s="261" t="s">
        <v>1262</v>
      </c>
      <c r="C40" s="261" t="s">
        <v>1265</v>
      </c>
      <c r="D40" s="261" t="s">
        <v>1266</v>
      </c>
    </row>
    <row r="41" customHeight="1" spans="1:4">
      <c r="A41" s="262">
        <v>923</v>
      </c>
      <c r="B41" s="263" t="s">
        <v>1267</v>
      </c>
      <c r="C41" s="263" t="s">
        <v>1268</v>
      </c>
      <c r="D41" s="263" t="s">
        <v>1269</v>
      </c>
    </row>
    <row r="42" customHeight="1" spans="1:4">
      <c r="A42" s="262">
        <v>924</v>
      </c>
      <c r="B42" s="263" t="s">
        <v>1267</v>
      </c>
      <c r="C42" s="263" t="s">
        <v>1270</v>
      </c>
      <c r="D42" s="263" t="s">
        <v>1271</v>
      </c>
    </row>
    <row r="43" customHeight="1" spans="1:4">
      <c r="A43" s="260">
        <v>925</v>
      </c>
      <c r="B43" s="261" t="s">
        <v>1272</v>
      </c>
      <c r="C43" s="261" t="s">
        <v>1273</v>
      </c>
      <c r="D43" s="261" t="s">
        <v>1274</v>
      </c>
    </row>
    <row r="44" customHeight="1" spans="1:4">
      <c r="A44" s="260">
        <v>926</v>
      </c>
      <c r="B44" s="261" t="s">
        <v>1272</v>
      </c>
      <c r="C44" s="261" t="s">
        <v>1275</v>
      </c>
      <c r="D44" s="261" t="s">
        <v>1276</v>
      </c>
    </row>
    <row r="45" customHeight="1" spans="1:4">
      <c r="A45" s="262">
        <v>927</v>
      </c>
      <c r="B45" s="263" t="s">
        <v>1277</v>
      </c>
      <c r="C45" s="263" t="s">
        <v>1278</v>
      </c>
      <c r="D45" s="263" t="s">
        <v>1279</v>
      </c>
    </row>
    <row r="46" customHeight="1" spans="1:4">
      <c r="A46" s="262">
        <v>928</v>
      </c>
      <c r="B46" s="263" t="s">
        <v>1277</v>
      </c>
      <c r="C46" s="263" t="s">
        <v>1280</v>
      </c>
      <c r="D46" s="263" t="s">
        <v>1281</v>
      </c>
    </row>
    <row r="47" customHeight="1" spans="1:4">
      <c r="A47" s="260">
        <v>929</v>
      </c>
      <c r="B47" s="261" t="s">
        <v>1282</v>
      </c>
      <c r="C47" s="261" t="s">
        <v>1283</v>
      </c>
      <c r="D47" s="261" t="s">
        <v>1284</v>
      </c>
    </row>
    <row r="48" customHeight="1" spans="1:4">
      <c r="A48" s="260">
        <v>930</v>
      </c>
      <c r="B48" s="261" t="s">
        <v>1282</v>
      </c>
      <c r="C48" s="261" t="s">
        <v>1285</v>
      </c>
      <c r="D48" s="261" t="s">
        <v>1286</v>
      </c>
    </row>
    <row r="49" customHeight="1" spans="1:4">
      <c r="A49" s="262">
        <v>931</v>
      </c>
      <c r="B49" s="263" t="s">
        <v>1287</v>
      </c>
      <c r="C49" s="263" t="s">
        <v>1288</v>
      </c>
      <c r="D49" s="263" t="s">
        <v>1289</v>
      </c>
    </row>
    <row r="50" customHeight="1" spans="1:4">
      <c r="A50" s="262">
        <v>932</v>
      </c>
      <c r="B50" s="263" t="s">
        <v>1287</v>
      </c>
      <c r="C50" s="263" t="s">
        <v>1290</v>
      </c>
      <c r="D50" s="263" t="s">
        <v>1291</v>
      </c>
    </row>
    <row r="51" customHeight="1" spans="1:4">
      <c r="A51" s="260">
        <v>933</v>
      </c>
      <c r="B51" s="261" t="s">
        <v>1292</v>
      </c>
      <c r="C51" s="261" t="s">
        <v>1293</v>
      </c>
      <c r="D51" s="261" t="s">
        <v>1294</v>
      </c>
    </row>
    <row r="52" customHeight="1" spans="1:4">
      <c r="A52" s="260">
        <v>934</v>
      </c>
      <c r="B52" s="261" t="s">
        <v>1292</v>
      </c>
      <c r="C52" s="261" t="s">
        <v>1295</v>
      </c>
      <c r="D52" s="261" t="s">
        <v>1296</v>
      </c>
    </row>
  </sheetData>
  <pageMargins left="0.75" right="0.75" top="1" bottom="1"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CCFF"/>
  </sheetPr>
  <dimension ref="A1:G4916"/>
  <sheetViews>
    <sheetView workbookViewId="0">
      <pane ySplit="2" topLeftCell="A3" activePane="bottomLeft" state="frozen"/>
      <selection/>
      <selection pane="bottomLeft" activeCell="A33" sqref="A33"/>
    </sheetView>
  </sheetViews>
  <sheetFormatPr defaultColWidth="9.14285714285714" defaultRowHeight="12.75" outlineLevelCol="6"/>
  <cols>
    <col min="1" max="1" width="16.1428571428571" style="249" customWidth="1"/>
    <col min="2" max="2" width="37.7142857142857" style="250" customWidth="1"/>
    <col min="3" max="3" width="9.14285714285714" style="250"/>
    <col min="4" max="4" width="19.2857142857143" style="250" customWidth="1"/>
    <col min="5" max="5" width="27.7142857142857" style="250" customWidth="1"/>
    <col min="6" max="6" width="18.7142857142857" style="250" customWidth="1"/>
    <col min="7" max="7" width="35.8571428571429" style="250" customWidth="1"/>
    <col min="8" max="1024" width="9.14285714285714" style="250"/>
  </cols>
  <sheetData>
    <row r="1" customHeight="1" spans="1:7">
      <c r="A1" s="251" t="s">
        <v>1297</v>
      </c>
      <c r="B1" s="251"/>
      <c r="D1" s="252" t="s">
        <v>1298</v>
      </c>
      <c r="E1" s="252"/>
      <c r="F1" s="252"/>
      <c r="G1" s="252"/>
    </row>
    <row r="2" customHeight="1" spans="1:7">
      <c r="A2" s="253" t="s">
        <v>99</v>
      </c>
      <c r="B2" s="253" t="s">
        <v>1299</v>
      </c>
      <c r="D2" s="254" t="s">
        <v>99</v>
      </c>
      <c r="E2" s="254" t="s">
        <v>1300</v>
      </c>
      <c r="F2" s="254" t="s">
        <v>787</v>
      </c>
      <c r="G2" s="254" t="s">
        <v>96</v>
      </c>
    </row>
    <row r="3" customHeight="1" spans="1:7">
      <c r="A3" s="255">
        <v>52001</v>
      </c>
      <c r="B3" s="230" t="s">
        <v>1301</v>
      </c>
      <c r="D3" s="256">
        <v>52001</v>
      </c>
      <c r="E3" s="257" t="s">
        <v>1302</v>
      </c>
      <c r="F3" s="257" t="s">
        <v>1303</v>
      </c>
      <c r="G3" s="257" t="s">
        <v>1304</v>
      </c>
    </row>
    <row r="4" customHeight="1" spans="1:7">
      <c r="A4" s="255">
        <v>47001</v>
      </c>
      <c r="B4" s="230" t="s">
        <v>1305</v>
      </c>
      <c r="D4" s="256">
        <v>52001</v>
      </c>
      <c r="E4" s="257" t="s">
        <v>1302</v>
      </c>
      <c r="F4" s="257" t="s">
        <v>1306</v>
      </c>
      <c r="G4" s="257" t="s">
        <v>1307</v>
      </c>
    </row>
    <row r="5" customHeight="1" spans="1:7">
      <c r="A5" s="255">
        <v>47002</v>
      </c>
      <c r="B5" s="230" t="s">
        <v>1308</v>
      </c>
      <c r="D5" s="256">
        <v>52001</v>
      </c>
      <c r="E5" s="257" t="s">
        <v>1302</v>
      </c>
      <c r="F5" s="257" t="s">
        <v>1309</v>
      </c>
      <c r="G5" s="257" t="s">
        <v>1310</v>
      </c>
    </row>
    <row r="6" customHeight="1" spans="1:7">
      <c r="A6" s="255">
        <v>46001</v>
      </c>
      <c r="B6" s="230" t="s">
        <v>1311</v>
      </c>
      <c r="D6" s="256">
        <v>52001</v>
      </c>
      <c r="E6" s="257" t="s">
        <v>1302</v>
      </c>
      <c r="F6" s="257" t="s">
        <v>1312</v>
      </c>
      <c r="G6" s="257" t="s">
        <v>1313</v>
      </c>
    </row>
    <row r="7" customHeight="1" spans="1:7">
      <c r="A7" s="255">
        <v>51001</v>
      </c>
      <c r="B7" s="230" t="s">
        <v>1314</v>
      </c>
      <c r="D7" s="256">
        <v>47001</v>
      </c>
      <c r="E7" s="257" t="s">
        <v>1315</v>
      </c>
      <c r="F7" s="257" t="s">
        <v>1316</v>
      </c>
      <c r="G7" s="257" t="s">
        <v>1317</v>
      </c>
    </row>
    <row r="8" customHeight="1" spans="1:7">
      <c r="A8" s="255">
        <v>53001</v>
      </c>
      <c r="B8" s="230" t="s">
        <v>1318</v>
      </c>
      <c r="D8" s="256">
        <v>47001</v>
      </c>
      <c r="E8" s="257" t="s">
        <v>1315</v>
      </c>
      <c r="F8" s="257" t="s">
        <v>1319</v>
      </c>
      <c r="G8" s="257" t="s">
        <v>1320</v>
      </c>
    </row>
    <row r="9" customHeight="1" spans="1:7">
      <c r="A9" s="255">
        <v>51002</v>
      </c>
      <c r="B9" s="230" t="s">
        <v>1321</v>
      </c>
      <c r="D9" s="256">
        <v>47001</v>
      </c>
      <c r="E9" s="257" t="s">
        <v>1315</v>
      </c>
      <c r="F9" s="257" t="s">
        <v>1322</v>
      </c>
      <c r="G9" s="257" t="s">
        <v>1323</v>
      </c>
    </row>
    <row r="10" customHeight="1" spans="1:7">
      <c r="A10" s="255">
        <v>52002</v>
      </c>
      <c r="B10" s="230" t="s">
        <v>1324</v>
      </c>
      <c r="D10" s="256">
        <v>47001</v>
      </c>
      <c r="E10" s="257" t="s">
        <v>1315</v>
      </c>
      <c r="F10" s="257" t="s">
        <v>1325</v>
      </c>
      <c r="G10" s="257" t="s">
        <v>1326</v>
      </c>
    </row>
    <row r="11" customHeight="1" spans="1:7">
      <c r="A11" s="255">
        <v>45001</v>
      </c>
      <c r="B11" s="230" t="s">
        <v>1327</v>
      </c>
      <c r="D11" s="256">
        <v>47001</v>
      </c>
      <c r="E11" s="257" t="s">
        <v>1315</v>
      </c>
      <c r="F11" s="257" t="s">
        <v>1328</v>
      </c>
      <c r="G11" s="257" t="s">
        <v>1329</v>
      </c>
    </row>
    <row r="12" customHeight="1" spans="1:7">
      <c r="A12" s="255">
        <v>51003</v>
      </c>
      <c r="B12" s="230" t="s">
        <v>1330</v>
      </c>
      <c r="D12" s="256">
        <v>47001</v>
      </c>
      <c r="E12" s="257" t="s">
        <v>1315</v>
      </c>
      <c r="F12" s="257" t="s">
        <v>1331</v>
      </c>
      <c r="G12" s="257" t="s">
        <v>1332</v>
      </c>
    </row>
    <row r="13" customHeight="1" spans="1:7">
      <c r="A13" s="255">
        <v>46002</v>
      </c>
      <c r="B13" s="230" t="s">
        <v>1333</v>
      </c>
      <c r="D13" s="256">
        <v>47001</v>
      </c>
      <c r="E13" s="257" t="s">
        <v>1315</v>
      </c>
      <c r="F13" s="257" t="s">
        <v>1334</v>
      </c>
      <c r="G13" s="257" t="s">
        <v>1335</v>
      </c>
    </row>
    <row r="14" customHeight="1" spans="1:7">
      <c r="A14" s="255">
        <v>48001</v>
      </c>
      <c r="B14" s="230" t="s">
        <v>1336</v>
      </c>
      <c r="D14" s="256">
        <v>47001</v>
      </c>
      <c r="E14" s="257" t="s">
        <v>1315</v>
      </c>
      <c r="F14" s="257" t="s">
        <v>1337</v>
      </c>
      <c r="G14" s="257" t="s">
        <v>1338</v>
      </c>
    </row>
    <row r="15" customHeight="1" spans="1:7">
      <c r="A15" s="255">
        <v>45002</v>
      </c>
      <c r="B15" s="230" t="s">
        <v>1339</v>
      </c>
      <c r="D15" s="256">
        <v>47001</v>
      </c>
      <c r="E15" s="257" t="s">
        <v>1315</v>
      </c>
      <c r="F15" s="257" t="s">
        <v>1340</v>
      </c>
      <c r="G15" s="257" t="s">
        <v>1341</v>
      </c>
    </row>
    <row r="16" customHeight="1" spans="1:7">
      <c r="A16" s="255">
        <v>48002</v>
      </c>
      <c r="B16" s="230" t="s">
        <v>1342</v>
      </c>
      <c r="D16" s="256">
        <v>47001</v>
      </c>
      <c r="E16" s="257" t="s">
        <v>1315</v>
      </c>
      <c r="F16" s="257" t="s">
        <v>1343</v>
      </c>
      <c r="G16" s="257" t="s">
        <v>1344</v>
      </c>
    </row>
    <row r="17" customHeight="1" spans="1:7">
      <c r="A17" s="255">
        <v>48003</v>
      </c>
      <c r="B17" s="230" t="s">
        <v>1345</v>
      </c>
      <c r="D17" s="256">
        <v>47002</v>
      </c>
      <c r="E17" s="257" t="s">
        <v>1346</v>
      </c>
      <c r="F17" s="257" t="s">
        <v>1347</v>
      </c>
      <c r="G17" s="257" t="s">
        <v>1348</v>
      </c>
    </row>
    <row r="18" customHeight="1" spans="1:7">
      <c r="A18" s="255">
        <v>46003</v>
      </c>
      <c r="B18" s="230" t="s">
        <v>1349</v>
      </c>
      <c r="D18" s="256">
        <v>47002</v>
      </c>
      <c r="E18" s="257" t="s">
        <v>1346</v>
      </c>
      <c r="F18" s="257" t="s">
        <v>1350</v>
      </c>
      <c r="G18" s="257" t="s">
        <v>1351</v>
      </c>
    </row>
    <row r="19" customHeight="1" spans="1:7">
      <c r="A19" s="255">
        <v>51004</v>
      </c>
      <c r="B19" s="230" t="s">
        <v>1352</v>
      </c>
      <c r="D19" s="256">
        <v>47002</v>
      </c>
      <c r="E19" s="257" t="s">
        <v>1346</v>
      </c>
      <c r="F19" s="257" t="s">
        <v>1353</v>
      </c>
      <c r="G19" s="257" t="s">
        <v>1354</v>
      </c>
    </row>
    <row r="20" customHeight="1" spans="1:7">
      <c r="A20" s="255">
        <v>49001</v>
      </c>
      <c r="B20" s="230" t="s">
        <v>1355</v>
      </c>
      <c r="D20" s="256">
        <v>47002</v>
      </c>
      <c r="E20" s="257" t="s">
        <v>1346</v>
      </c>
      <c r="F20" s="257" t="s">
        <v>1356</v>
      </c>
      <c r="G20" s="257" t="s">
        <v>1357</v>
      </c>
    </row>
    <row r="21" customHeight="1" spans="1:7">
      <c r="A21" s="255">
        <v>50001</v>
      </c>
      <c r="B21" s="230" t="s">
        <v>1358</v>
      </c>
      <c r="D21" s="256">
        <v>47002</v>
      </c>
      <c r="E21" s="257" t="s">
        <v>1346</v>
      </c>
      <c r="F21" s="257" t="s">
        <v>1359</v>
      </c>
      <c r="G21" s="257" t="s">
        <v>1360</v>
      </c>
    </row>
    <row r="22" customHeight="1" spans="1:7">
      <c r="A22" s="255">
        <v>46004</v>
      </c>
      <c r="B22" s="230" t="s">
        <v>1361</v>
      </c>
      <c r="D22" s="256">
        <v>46001</v>
      </c>
      <c r="E22" s="257" t="s">
        <v>1362</v>
      </c>
      <c r="F22" s="257" t="s">
        <v>1363</v>
      </c>
      <c r="G22" s="257" t="s">
        <v>1364</v>
      </c>
    </row>
    <row r="23" customHeight="1" spans="1:7">
      <c r="A23" s="255">
        <v>48004</v>
      </c>
      <c r="B23" s="230" t="s">
        <v>1365</v>
      </c>
      <c r="D23" s="256">
        <v>46001</v>
      </c>
      <c r="E23" s="257" t="s">
        <v>1362</v>
      </c>
      <c r="F23" s="257" t="s">
        <v>1366</v>
      </c>
      <c r="G23" s="257" t="s">
        <v>1367</v>
      </c>
    </row>
    <row r="24" customHeight="1" spans="1:7">
      <c r="A24" s="255">
        <v>51005</v>
      </c>
      <c r="B24" s="230" t="s">
        <v>1368</v>
      </c>
      <c r="D24" s="256">
        <v>46001</v>
      </c>
      <c r="E24" s="257" t="s">
        <v>1362</v>
      </c>
      <c r="F24" s="257" t="s">
        <v>1369</v>
      </c>
      <c r="G24" s="257" t="s">
        <v>1370</v>
      </c>
    </row>
    <row r="25" customHeight="1" spans="1:7">
      <c r="A25" s="255">
        <v>47003</v>
      </c>
      <c r="B25" s="230" t="s">
        <v>1371</v>
      </c>
      <c r="D25" s="256">
        <v>46001</v>
      </c>
      <c r="E25" s="257" t="s">
        <v>1362</v>
      </c>
      <c r="F25" s="257" t="s">
        <v>1372</v>
      </c>
      <c r="G25" s="257" t="s">
        <v>1373</v>
      </c>
    </row>
    <row r="26" customHeight="1" spans="1:7">
      <c r="A26" s="255">
        <v>52003</v>
      </c>
      <c r="B26" s="230" t="s">
        <v>1374</v>
      </c>
      <c r="D26" s="256">
        <v>46001</v>
      </c>
      <c r="E26" s="257" t="s">
        <v>1362</v>
      </c>
      <c r="F26" s="257" t="s">
        <v>1375</v>
      </c>
      <c r="G26" s="257" t="s">
        <v>1376</v>
      </c>
    </row>
    <row r="27" customHeight="1" spans="1:7">
      <c r="A27" s="255">
        <v>50002</v>
      </c>
      <c r="B27" s="230" t="s">
        <v>1377</v>
      </c>
      <c r="D27" s="256">
        <v>46001</v>
      </c>
      <c r="E27" s="257" t="s">
        <v>1362</v>
      </c>
      <c r="F27" s="257" t="s">
        <v>1378</v>
      </c>
      <c r="G27" s="257" t="s">
        <v>1379</v>
      </c>
    </row>
    <row r="28" customHeight="1" spans="1:7">
      <c r="A28" s="255">
        <v>50003</v>
      </c>
      <c r="B28" s="230" t="s">
        <v>1380</v>
      </c>
      <c r="D28" s="256">
        <v>46001</v>
      </c>
      <c r="E28" s="257" t="s">
        <v>1362</v>
      </c>
      <c r="F28" s="257" t="s">
        <v>1381</v>
      </c>
      <c r="G28" s="257" t="s">
        <v>1382</v>
      </c>
    </row>
    <row r="29" customHeight="1" spans="1:7">
      <c r="A29" s="255">
        <v>50004</v>
      </c>
      <c r="B29" s="230" t="s">
        <v>1383</v>
      </c>
      <c r="D29" s="256">
        <v>46001</v>
      </c>
      <c r="E29" s="257" t="s">
        <v>1362</v>
      </c>
      <c r="F29" s="257" t="s">
        <v>1384</v>
      </c>
      <c r="G29" s="257" t="s">
        <v>1385</v>
      </c>
    </row>
    <row r="30" customHeight="1" spans="1:7">
      <c r="A30" s="255">
        <v>48005</v>
      </c>
      <c r="B30" s="230" t="s">
        <v>1386</v>
      </c>
      <c r="D30" s="256">
        <v>46001</v>
      </c>
      <c r="E30" s="257" t="s">
        <v>1362</v>
      </c>
      <c r="F30" s="257" t="s">
        <v>1387</v>
      </c>
      <c r="G30" s="257" t="s">
        <v>1388</v>
      </c>
    </row>
    <row r="31" customHeight="1" spans="1:7">
      <c r="A31" s="255">
        <v>46005</v>
      </c>
      <c r="B31" s="230" t="s">
        <v>1389</v>
      </c>
      <c r="D31" s="256">
        <v>46001</v>
      </c>
      <c r="E31" s="257" t="s">
        <v>1362</v>
      </c>
      <c r="F31" s="257" t="s">
        <v>1390</v>
      </c>
      <c r="G31" s="257" t="s">
        <v>1391</v>
      </c>
    </row>
    <row r="32" customHeight="1" spans="1:7">
      <c r="A32" s="255">
        <v>53002</v>
      </c>
      <c r="B32" s="230" t="s">
        <v>1392</v>
      </c>
      <c r="D32" s="256">
        <v>46001</v>
      </c>
      <c r="E32" s="257" t="s">
        <v>1362</v>
      </c>
      <c r="F32" s="257" t="s">
        <v>1393</v>
      </c>
      <c r="G32" s="257" t="s">
        <v>1394</v>
      </c>
    </row>
    <row r="33" customHeight="1" spans="1:7">
      <c r="A33" s="255">
        <v>48006</v>
      </c>
      <c r="B33" s="230" t="s">
        <v>1395</v>
      </c>
      <c r="D33" s="256">
        <v>46001</v>
      </c>
      <c r="E33" s="257" t="s">
        <v>1362</v>
      </c>
      <c r="F33" s="257" t="s">
        <v>1396</v>
      </c>
      <c r="G33" s="257" t="s">
        <v>1397</v>
      </c>
    </row>
    <row r="34" customHeight="1" spans="1:7">
      <c r="A34" s="255">
        <v>49002</v>
      </c>
      <c r="B34" s="230" t="s">
        <v>1398</v>
      </c>
      <c r="D34" s="256">
        <v>46001</v>
      </c>
      <c r="E34" s="257" t="s">
        <v>1362</v>
      </c>
      <c r="F34" s="257" t="s">
        <v>1399</v>
      </c>
      <c r="G34" s="257" t="s">
        <v>1400</v>
      </c>
    </row>
    <row r="35" customHeight="1" spans="1:7">
      <c r="A35" s="255">
        <v>49003</v>
      </c>
      <c r="B35" s="230" t="s">
        <v>1401</v>
      </c>
      <c r="D35" s="256">
        <v>46001</v>
      </c>
      <c r="E35" s="257" t="s">
        <v>1362</v>
      </c>
      <c r="F35" s="257" t="s">
        <v>1402</v>
      </c>
      <c r="G35" s="257" t="s">
        <v>1403</v>
      </c>
    </row>
    <row r="36" customHeight="1" spans="1:7">
      <c r="A36" s="255">
        <v>46006</v>
      </c>
      <c r="B36" s="230" t="s">
        <v>1404</v>
      </c>
      <c r="D36" s="256">
        <v>46001</v>
      </c>
      <c r="E36" s="257" t="s">
        <v>1362</v>
      </c>
      <c r="F36" s="257" t="s">
        <v>1405</v>
      </c>
      <c r="G36" s="257" t="s">
        <v>1406</v>
      </c>
    </row>
    <row r="37" customHeight="1" spans="1:7">
      <c r="A37" s="255">
        <v>100001</v>
      </c>
      <c r="B37" s="230" t="s">
        <v>1407</v>
      </c>
      <c r="D37" s="256">
        <v>46001</v>
      </c>
      <c r="E37" s="257" t="s">
        <v>1362</v>
      </c>
      <c r="F37" s="257" t="s">
        <v>1408</v>
      </c>
      <c r="G37" s="257" t="s">
        <v>1409</v>
      </c>
    </row>
    <row r="38" customHeight="1" spans="1:7">
      <c r="A38" s="255">
        <v>53003</v>
      </c>
      <c r="B38" s="230" t="s">
        <v>1410</v>
      </c>
      <c r="D38" s="256">
        <v>46001</v>
      </c>
      <c r="E38" s="257" t="s">
        <v>1362</v>
      </c>
      <c r="F38" s="257" t="s">
        <v>1411</v>
      </c>
      <c r="G38" s="257" t="s">
        <v>1412</v>
      </c>
    </row>
    <row r="39" customHeight="1" spans="1:7">
      <c r="A39" s="255">
        <v>50005</v>
      </c>
      <c r="B39" s="230" t="s">
        <v>1413</v>
      </c>
      <c r="D39" s="256">
        <v>46001</v>
      </c>
      <c r="E39" s="257" t="s">
        <v>1362</v>
      </c>
      <c r="F39" s="257" t="s">
        <v>1414</v>
      </c>
      <c r="G39" s="257" t="s">
        <v>1415</v>
      </c>
    </row>
    <row r="40" customHeight="1" spans="1:7">
      <c r="A40" s="255">
        <v>46007</v>
      </c>
      <c r="B40" s="230" t="s">
        <v>1416</v>
      </c>
      <c r="D40" s="256">
        <v>46001</v>
      </c>
      <c r="E40" s="257" t="s">
        <v>1362</v>
      </c>
      <c r="F40" s="257" t="s">
        <v>1417</v>
      </c>
      <c r="G40" s="257" t="s">
        <v>1418</v>
      </c>
    </row>
    <row r="41" customHeight="1" spans="1:7">
      <c r="A41" s="255">
        <v>49004</v>
      </c>
      <c r="B41" s="230" t="s">
        <v>1419</v>
      </c>
      <c r="D41" s="256">
        <v>46001</v>
      </c>
      <c r="E41" s="257" t="s">
        <v>1362</v>
      </c>
      <c r="F41" s="257" t="s">
        <v>1420</v>
      </c>
      <c r="G41" s="257" t="s">
        <v>1421</v>
      </c>
    </row>
    <row r="42" customHeight="1" spans="1:7">
      <c r="A42" s="255">
        <v>51006</v>
      </c>
      <c r="B42" s="230" t="s">
        <v>1422</v>
      </c>
      <c r="D42" s="256">
        <v>46001</v>
      </c>
      <c r="E42" s="257" t="s">
        <v>1362</v>
      </c>
      <c r="F42" s="257" t="s">
        <v>1423</v>
      </c>
      <c r="G42" s="257" t="s">
        <v>1424</v>
      </c>
    </row>
    <row r="43" customHeight="1" spans="1:7">
      <c r="A43" s="255">
        <v>48008</v>
      </c>
      <c r="B43" s="230" t="s">
        <v>1425</v>
      </c>
      <c r="D43" s="256">
        <v>46001</v>
      </c>
      <c r="E43" s="257" t="s">
        <v>1362</v>
      </c>
      <c r="F43" s="257" t="s">
        <v>1426</v>
      </c>
      <c r="G43" s="257" t="s">
        <v>1427</v>
      </c>
    </row>
    <row r="44" customHeight="1" spans="1:7">
      <c r="A44" s="255">
        <v>49005</v>
      </c>
      <c r="B44" s="230" t="s">
        <v>1428</v>
      </c>
      <c r="D44" s="256">
        <v>46001</v>
      </c>
      <c r="E44" s="257" t="s">
        <v>1362</v>
      </c>
      <c r="F44" s="257" t="s">
        <v>1429</v>
      </c>
      <c r="G44" s="257" t="s">
        <v>1430</v>
      </c>
    </row>
    <row r="45" customHeight="1" spans="1:7">
      <c r="A45" s="255">
        <v>51007</v>
      </c>
      <c r="B45" s="230" t="s">
        <v>1431</v>
      </c>
      <c r="D45" s="256">
        <v>46001</v>
      </c>
      <c r="E45" s="257" t="s">
        <v>1362</v>
      </c>
      <c r="F45" s="257" t="s">
        <v>1432</v>
      </c>
      <c r="G45" s="257" t="s">
        <v>1433</v>
      </c>
    </row>
    <row r="46" customHeight="1" spans="1:7">
      <c r="A46" s="255">
        <v>46008</v>
      </c>
      <c r="B46" s="230" t="s">
        <v>1434</v>
      </c>
      <c r="D46" s="256">
        <v>46001</v>
      </c>
      <c r="E46" s="257" t="s">
        <v>1362</v>
      </c>
      <c r="F46" s="257" t="s">
        <v>1435</v>
      </c>
      <c r="G46" s="257" t="s">
        <v>1436</v>
      </c>
    </row>
    <row r="47" customHeight="1" spans="1:7">
      <c r="A47" s="255">
        <v>100002</v>
      </c>
      <c r="B47" s="230" t="s">
        <v>1437</v>
      </c>
      <c r="D47" s="256">
        <v>46001</v>
      </c>
      <c r="E47" s="257" t="s">
        <v>1362</v>
      </c>
      <c r="F47" s="257" t="s">
        <v>1438</v>
      </c>
      <c r="G47" s="257" t="s">
        <v>1439</v>
      </c>
    </row>
    <row r="48" customHeight="1" spans="1:7">
      <c r="A48" s="255">
        <v>45003</v>
      </c>
      <c r="B48" s="230" t="s">
        <v>1440</v>
      </c>
      <c r="D48" s="256">
        <v>46001</v>
      </c>
      <c r="E48" s="257" t="s">
        <v>1362</v>
      </c>
      <c r="F48" s="257" t="s">
        <v>1441</v>
      </c>
      <c r="G48" s="257" t="s">
        <v>1442</v>
      </c>
    </row>
    <row r="49" customHeight="1" spans="1:7">
      <c r="A49" s="255">
        <v>50006</v>
      </c>
      <c r="B49" s="230" t="s">
        <v>1443</v>
      </c>
      <c r="D49" s="256">
        <v>46001</v>
      </c>
      <c r="E49" s="257" t="s">
        <v>1362</v>
      </c>
      <c r="F49" s="257" t="s">
        <v>1444</v>
      </c>
      <c r="G49" s="257" t="s">
        <v>1445</v>
      </c>
    </row>
    <row r="50" customHeight="1" spans="1:7">
      <c r="A50" s="255">
        <v>50007</v>
      </c>
      <c r="B50" s="230" t="s">
        <v>1446</v>
      </c>
      <c r="D50" s="256">
        <v>51001</v>
      </c>
      <c r="E50" s="257" t="s">
        <v>1447</v>
      </c>
      <c r="F50" s="257" t="s">
        <v>1448</v>
      </c>
      <c r="G50" s="257" t="s">
        <v>1449</v>
      </c>
    </row>
    <row r="51" customHeight="1" spans="1:7">
      <c r="A51" s="255">
        <v>50008</v>
      </c>
      <c r="B51" s="230" t="s">
        <v>1450</v>
      </c>
      <c r="D51" s="256">
        <v>51001</v>
      </c>
      <c r="E51" s="257" t="s">
        <v>1447</v>
      </c>
      <c r="F51" s="257" t="s">
        <v>1451</v>
      </c>
      <c r="G51" s="257" t="s">
        <v>1452</v>
      </c>
    </row>
    <row r="52" customHeight="1" spans="1:7">
      <c r="A52" s="255">
        <v>45004</v>
      </c>
      <c r="B52" s="230" t="s">
        <v>1453</v>
      </c>
      <c r="D52" s="256">
        <v>51001</v>
      </c>
      <c r="E52" s="257" t="s">
        <v>1447</v>
      </c>
      <c r="F52" s="257" t="s">
        <v>1454</v>
      </c>
      <c r="G52" s="257" t="s">
        <v>1455</v>
      </c>
    </row>
    <row r="53" customHeight="1" spans="1:7">
      <c r="A53" s="255">
        <v>52004</v>
      </c>
      <c r="B53" s="230" t="s">
        <v>1456</v>
      </c>
      <c r="D53" s="256">
        <v>51001</v>
      </c>
      <c r="E53" s="257" t="s">
        <v>1447</v>
      </c>
      <c r="F53" s="257" t="s">
        <v>1457</v>
      </c>
      <c r="G53" s="257" t="s">
        <v>1458</v>
      </c>
    </row>
    <row r="54" customHeight="1" spans="1:7">
      <c r="A54" s="255">
        <v>49006</v>
      </c>
      <c r="B54" s="230" t="s">
        <v>1459</v>
      </c>
      <c r="D54" s="256">
        <v>51001</v>
      </c>
      <c r="E54" s="257" t="s">
        <v>1447</v>
      </c>
      <c r="F54" s="257" t="s">
        <v>1460</v>
      </c>
      <c r="G54" s="257" t="s">
        <v>1461</v>
      </c>
    </row>
    <row r="55" customHeight="1" spans="1:7">
      <c r="A55" s="255">
        <v>53004</v>
      </c>
      <c r="B55" s="230" t="s">
        <v>1462</v>
      </c>
      <c r="D55" s="256">
        <v>51001</v>
      </c>
      <c r="E55" s="257" t="s">
        <v>1447</v>
      </c>
      <c r="F55" s="257" t="s">
        <v>1463</v>
      </c>
      <c r="G55" s="257" t="s">
        <v>1464</v>
      </c>
    </row>
    <row r="56" customHeight="1" spans="1:7">
      <c r="A56" s="255">
        <v>37015</v>
      </c>
      <c r="B56" s="230" t="s">
        <v>1465</v>
      </c>
      <c r="D56" s="256">
        <v>51001</v>
      </c>
      <c r="E56" s="257" t="s">
        <v>1447</v>
      </c>
      <c r="F56" s="257" t="s">
        <v>1466</v>
      </c>
      <c r="G56" s="257" t="s">
        <v>1467</v>
      </c>
    </row>
    <row r="57" customHeight="1" spans="1:7">
      <c r="A57" s="255">
        <v>51008</v>
      </c>
      <c r="B57" s="230" t="s">
        <v>1468</v>
      </c>
      <c r="D57" s="256">
        <v>51001</v>
      </c>
      <c r="E57" s="257" t="s">
        <v>1447</v>
      </c>
      <c r="F57" s="257" t="s">
        <v>1469</v>
      </c>
      <c r="G57" s="257" t="s">
        <v>1470</v>
      </c>
    </row>
    <row r="58" customHeight="1" spans="1:7">
      <c r="A58" s="255">
        <v>51010</v>
      </c>
      <c r="B58" s="230" t="s">
        <v>1471</v>
      </c>
      <c r="D58" s="256">
        <v>51001</v>
      </c>
      <c r="E58" s="257" t="s">
        <v>1447</v>
      </c>
      <c r="F58" s="257" t="s">
        <v>1472</v>
      </c>
      <c r="G58" s="257" t="s">
        <v>1473</v>
      </c>
    </row>
    <row r="59" customHeight="1" spans="1:7">
      <c r="A59" s="255">
        <v>48010</v>
      </c>
      <c r="B59" s="230" t="s">
        <v>1474</v>
      </c>
      <c r="D59" s="256">
        <v>51001</v>
      </c>
      <c r="E59" s="257" t="s">
        <v>1447</v>
      </c>
      <c r="F59" s="257" t="s">
        <v>1475</v>
      </c>
      <c r="G59" s="257" t="s">
        <v>1476</v>
      </c>
    </row>
    <row r="60" customHeight="1" spans="1:7">
      <c r="A60" s="255">
        <v>51009</v>
      </c>
      <c r="B60" s="230" t="s">
        <v>1477</v>
      </c>
      <c r="D60" s="256">
        <v>51001</v>
      </c>
      <c r="E60" s="257" t="s">
        <v>1447</v>
      </c>
      <c r="F60" s="257" t="s">
        <v>1478</v>
      </c>
      <c r="G60" s="257" t="s">
        <v>1479</v>
      </c>
    </row>
    <row r="61" customHeight="1" spans="1:7">
      <c r="A61" s="255">
        <v>50009</v>
      </c>
      <c r="B61" s="230" t="s">
        <v>1480</v>
      </c>
      <c r="D61" s="256">
        <v>51001</v>
      </c>
      <c r="E61" s="257" t="s">
        <v>1447</v>
      </c>
      <c r="F61" s="257" t="s">
        <v>1481</v>
      </c>
      <c r="G61" s="257" t="s">
        <v>1482</v>
      </c>
    </row>
    <row r="62" customHeight="1" spans="1:7">
      <c r="A62" s="255">
        <v>53005</v>
      </c>
      <c r="B62" s="230" t="s">
        <v>1483</v>
      </c>
      <c r="D62" s="256">
        <v>51001</v>
      </c>
      <c r="E62" s="257" t="s">
        <v>1447</v>
      </c>
      <c r="F62" s="257" t="s">
        <v>1484</v>
      </c>
      <c r="G62" s="257" t="s">
        <v>1485</v>
      </c>
    </row>
    <row r="63" customHeight="1" spans="1:7">
      <c r="A63" s="255">
        <v>52005</v>
      </c>
      <c r="B63" s="230" t="s">
        <v>1486</v>
      </c>
      <c r="D63" s="256">
        <v>51001</v>
      </c>
      <c r="E63" s="257" t="s">
        <v>1447</v>
      </c>
      <c r="F63" s="257" t="s">
        <v>1487</v>
      </c>
      <c r="G63" s="257" t="s">
        <v>1488</v>
      </c>
    </row>
    <row r="64" customHeight="1" spans="1:7">
      <c r="A64" s="255">
        <v>50010</v>
      </c>
      <c r="B64" s="230" t="s">
        <v>1489</v>
      </c>
      <c r="D64" s="256">
        <v>51001</v>
      </c>
      <c r="E64" s="257" t="s">
        <v>1447</v>
      </c>
      <c r="F64" s="257" t="s">
        <v>1490</v>
      </c>
      <c r="G64" s="257" t="s">
        <v>1491</v>
      </c>
    </row>
    <row r="65" customHeight="1" spans="1:7">
      <c r="A65" s="255">
        <v>52006</v>
      </c>
      <c r="B65" s="230" t="s">
        <v>1492</v>
      </c>
      <c r="D65" s="256">
        <v>51001</v>
      </c>
      <c r="E65" s="257" t="s">
        <v>1447</v>
      </c>
      <c r="F65" s="257" t="s">
        <v>1493</v>
      </c>
      <c r="G65" s="257" t="s">
        <v>1494</v>
      </c>
    </row>
    <row r="66" customHeight="1" spans="1:7">
      <c r="A66" s="255">
        <v>46009</v>
      </c>
      <c r="B66" s="230" t="s">
        <v>1495</v>
      </c>
      <c r="D66" s="256">
        <v>51001</v>
      </c>
      <c r="E66" s="257" t="s">
        <v>1447</v>
      </c>
      <c r="F66" s="257" t="s">
        <v>1496</v>
      </c>
      <c r="G66" s="257" t="s">
        <v>1497</v>
      </c>
    </row>
    <row r="67" customHeight="1" spans="1:7">
      <c r="A67" s="255">
        <v>50011</v>
      </c>
      <c r="B67" s="230" t="s">
        <v>1498</v>
      </c>
      <c r="D67" s="256">
        <v>51001</v>
      </c>
      <c r="E67" s="257" t="s">
        <v>1447</v>
      </c>
      <c r="F67" s="257" t="s">
        <v>1499</v>
      </c>
      <c r="G67" s="257" t="s">
        <v>1500</v>
      </c>
    </row>
    <row r="68" customHeight="1" spans="1:7">
      <c r="A68" s="255">
        <v>51011</v>
      </c>
      <c r="B68" s="230" t="s">
        <v>1501</v>
      </c>
      <c r="D68" s="256">
        <v>51001</v>
      </c>
      <c r="E68" s="257" t="s">
        <v>1447</v>
      </c>
      <c r="F68" s="257" t="s">
        <v>1502</v>
      </c>
      <c r="G68" s="257" t="s">
        <v>1503</v>
      </c>
    </row>
    <row r="69" customHeight="1" spans="1:7">
      <c r="A69" s="255">
        <v>51012</v>
      </c>
      <c r="B69" s="230" t="s">
        <v>1504</v>
      </c>
      <c r="D69" s="256">
        <v>51001</v>
      </c>
      <c r="E69" s="257" t="s">
        <v>1447</v>
      </c>
      <c r="F69" s="257" t="s">
        <v>1505</v>
      </c>
      <c r="G69" s="257" t="s">
        <v>1506</v>
      </c>
    </row>
    <row r="70" customHeight="1" spans="1:7">
      <c r="A70" s="255">
        <v>52007</v>
      </c>
      <c r="B70" s="230" t="s">
        <v>1507</v>
      </c>
      <c r="D70" s="256">
        <v>51001</v>
      </c>
      <c r="E70" s="257" t="s">
        <v>1447</v>
      </c>
      <c r="F70" s="257" t="s">
        <v>1508</v>
      </c>
      <c r="G70" s="257" t="s">
        <v>1509</v>
      </c>
    </row>
    <row r="71" customHeight="1" spans="1:7">
      <c r="A71" s="255">
        <v>37022</v>
      </c>
      <c r="B71" s="230" t="s">
        <v>1510</v>
      </c>
      <c r="D71" s="256">
        <v>51001</v>
      </c>
      <c r="E71" s="257" t="s">
        <v>1447</v>
      </c>
      <c r="F71" s="257" t="s">
        <v>1511</v>
      </c>
      <c r="G71" s="257" t="s">
        <v>1512</v>
      </c>
    </row>
    <row r="72" customHeight="1" spans="1:7">
      <c r="A72" s="255">
        <v>53006</v>
      </c>
      <c r="B72" s="230" t="s">
        <v>1513</v>
      </c>
      <c r="D72" s="256">
        <v>51001</v>
      </c>
      <c r="E72" s="257" t="s">
        <v>1447</v>
      </c>
      <c r="F72" s="257" t="s">
        <v>1514</v>
      </c>
      <c r="G72" s="257" t="s">
        <v>1515</v>
      </c>
    </row>
    <row r="73" customHeight="1" spans="1:7">
      <c r="A73" s="255">
        <v>46010</v>
      </c>
      <c r="B73" s="230" t="s">
        <v>1516</v>
      </c>
      <c r="D73" s="256">
        <v>51001</v>
      </c>
      <c r="E73" s="257" t="s">
        <v>1447</v>
      </c>
      <c r="F73" s="257" t="s">
        <v>1517</v>
      </c>
      <c r="G73" s="257" t="s">
        <v>1518</v>
      </c>
    </row>
    <row r="74" customHeight="1" spans="1:7">
      <c r="A74" s="255">
        <v>51013</v>
      </c>
      <c r="B74" s="230" t="s">
        <v>1519</v>
      </c>
      <c r="D74" s="256">
        <v>51001</v>
      </c>
      <c r="E74" s="257" t="s">
        <v>1447</v>
      </c>
      <c r="F74" s="257" t="s">
        <v>1520</v>
      </c>
      <c r="G74" s="257" t="s">
        <v>1521</v>
      </c>
    </row>
    <row r="75" customHeight="1" spans="1:7">
      <c r="A75" s="255">
        <v>49007</v>
      </c>
      <c r="B75" s="230" t="s">
        <v>1522</v>
      </c>
      <c r="D75" s="256">
        <v>51001</v>
      </c>
      <c r="E75" s="257" t="s">
        <v>1447</v>
      </c>
      <c r="F75" s="257" t="s">
        <v>1523</v>
      </c>
      <c r="G75" s="257" t="s">
        <v>1524</v>
      </c>
    </row>
    <row r="76" customHeight="1" spans="1:7">
      <c r="A76" s="255">
        <v>48011</v>
      </c>
      <c r="B76" s="230" t="s">
        <v>1525</v>
      </c>
      <c r="D76" s="256">
        <v>53001</v>
      </c>
      <c r="E76" s="257" t="s">
        <v>1526</v>
      </c>
      <c r="F76" s="257" t="s">
        <v>1527</v>
      </c>
      <c r="G76" s="257" t="s">
        <v>1528</v>
      </c>
    </row>
    <row r="77" customHeight="1" spans="1:7">
      <c r="A77" s="255">
        <v>48012</v>
      </c>
      <c r="B77" s="230" t="s">
        <v>1529</v>
      </c>
      <c r="D77" s="256">
        <v>53001</v>
      </c>
      <c r="E77" s="257" t="s">
        <v>1526</v>
      </c>
      <c r="F77" s="257" t="s">
        <v>1530</v>
      </c>
      <c r="G77" s="257" t="s">
        <v>1531</v>
      </c>
    </row>
    <row r="78" customHeight="1" spans="1:7">
      <c r="A78" s="255">
        <v>52008</v>
      </c>
      <c r="B78" s="230" t="s">
        <v>1532</v>
      </c>
      <c r="D78" s="256">
        <v>53001</v>
      </c>
      <c r="E78" s="257" t="s">
        <v>1526</v>
      </c>
      <c r="F78" s="257" t="s">
        <v>1533</v>
      </c>
      <c r="G78" s="257" t="s">
        <v>1534</v>
      </c>
    </row>
    <row r="79" customHeight="1" spans="1:7">
      <c r="A79" s="255">
        <v>52009</v>
      </c>
      <c r="B79" s="230" t="s">
        <v>1535</v>
      </c>
      <c r="D79" s="256">
        <v>53001</v>
      </c>
      <c r="E79" s="257" t="s">
        <v>1526</v>
      </c>
      <c r="F79" s="257" t="s">
        <v>1536</v>
      </c>
      <c r="G79" s="257" t="s">
        <v>1537</v>
      </c>
    </row>
    <row r="80" customHeight="1" spans="1:7">
      <c r="A80" s="255">
        <v>50012</v>
      </c>
      <c r="B80" s="230" t="s">
        <v>1538</v>
      </c>
      <c r="D80" s="256">
        <v>53001</v>
      </c>
      <c r="E80" s="257" t="s">
        <v>1526</v>
      </c>
      <c r="F80" s="257" t="s">
        <v>1539</v>
      </c>
      <c r="G80" s="257" t="s">
        <v>1540</v>
      </c>
    </row>
    <row r="81" customHeight="1" spans="1:7">
      <c r="A81" s="255">
        <v>47022</v>
      </c>
      <c r="B81" s="230" t="s">
        <v>1541</v>
      </c>
      <c r="D81" s="256">
        <v>53001</v>
      </c>
      <c r="E81" s="257" t="s">
        <v>1526</v>
      </c>
      <c r="F81" s="257" t="s">
        <v>1542</v>
      </c>
      <c r="G81" s="257" t="s">
        <v>1543</v>
      </c>
    </row>
    <row r="82" customHeight="1" spans="1:7">
      <c r="A82" s="255">
        <v>51014</v>
      </c>
      <c r="B82" s="230" t="s">
        <v>1544</v>
      </c>
      <c r="D82" s="256">
        <v>53001</v>
      </c>
      <c r="E82" s="257" t="s">
        <v>1526</v>
      </c>
      <c r="F82" s="257" t="s">
        <v>1545</v>
      </c>
      <c r="G82" s="257" t="s">
        <v>1546</v>
      </c>
    </row>
    <row r="83" customHeight="1" spans="1:7">
      <c r="A83" s="255">
        <v>52010</v>
      </c>
      <c r="B83" s="230" t="s">
        <v>1547</v>
      </c>
      <c r="D83" s="256">
        <v>53001</v>
      </c>
      <c r="E83" s="257" t="s">
        <v>1526</v>
      </c>
      <c r="F83" s="257" t="s">
        <v>1548</v>
      </c>
      <c r="G83" s="257" t="s">
        <v>1549</v>
      </c>
    </row>
    <row r="84" customHeight="1" spans="1:7">
      <c r="A84" s="255">
        <v>52011</v>
      </c>
      <c r="B84" s="230" t="s">
        <v>1550</v>
      </c>
      <c r="D84" s="256">
        <v>53001</v>
      </c>
      <c r="E84" s="257" t="s">
        <v>1526</v>
      </c>
      <c r="F84" s="257" t="s">
        <v>1551</v>
      </c>
      <c r="G84" s="257" t="s">
        <v>1552</v>
      </c>
    </row>
    <row r="85" customHeight="1" spans="1:7">
      <c r="A85" s="255">
        <v>51015</v>
      </c>
      <c r="B85" s="230" t="s">
        <v>1553</v>
      </c>
      <c r="D85" s="256">
        <v>53001</v>
      </c>
      <c r="E85" s="257" t="s">
        <v>1526</v>
      </c>
      <c r="F85" s="257" t="s">
        <v>1554</v>
      </c>
      <c r="G85" s="257" t="s">
        <v>1555</v>
      </c>
    </row>
    <row r="86" customHeight="1" spans="1:7">
      <c r="A86" s="255">
        <v>53007</v>
      </c>
      <c r="B86" s="230" t="s">
        <v>1556</v>
      </c>
      <c r="D86" s="256">
        <v>53001</v>
      </c>
      <c r="E86" s="257" t="s">
        <v>1526</v>
      </c>
      <c r="F86" s="257" t="s">
        <v>1557</v>
      </c>
      <c r="G86" s="257" t="s">
        <v>1558</v>
      </c>
    </row>
    <row r="87" customHeight="1" spans="1:7">
      <c r="A87" s="255">
        <v>51016</v>
      </c>
      <c r="B87" s="230" t="s">
        <v>1559</v>
      </c>
      <c r="D87" s="256">
        <v>53001</v>
      </c>
      <c r="E87" s="257" t="s">
        <v>1526</v>
      </c>
      <c r="F87" s="257" t="s">
        <v>1560</v>
      </c>
      <c r="G87" s="257" t="s">
        <v>1561</v>
      </c>
    </row>
    <row r="88" customHeight="1" spans="1:7">
      <c r="A88" s="255">
        <v>53008</v>
      </c>
      <c r="B88" s="230" t="s">
        <v>1562</v>
      </c>
      <c r="D88" s="256">
        <v>53001</v>
      </c>
      <c r="E88" s="257" t="s">
        <v>1526</v>
      </c>
      <c r="F88" s="257" t="s">
        <v>1563</v>
      </c>
      <c r="G88" s="257" t="s">
        <v>1564</v>
      </c>
    </row>
    <row r="89" customHeight="1" spans="1:7">
      <c r="A89" s="255">
        <v>52012</v>
      </c>
      <c r="B89" s="230" t="s">
        <v>1565</v>
      </c>
      <c r="D89" s="256">
        <v>53001</v>
      </c>
      <c r="E89" s="257" t="s">
        <v>1526</v>
      </c>
      <c r="F89" s="257" t="s">
        <v>1566</v>
      </c>
      <c r="G89" s="257" t="s">
        <v>1567</v>
      </c>
    </row>
    <row r="90" customHeight="1" spans="1:7">
      <c r="A90" s="255">
        <v>49008</v>
      </c>
      <c r="B90" s="230" t="s">
        <v>1568</v>
      </c>
      <c r="D90" s="256">
        <v>53001</v>
      </c>
      <c r="E90" s="257" t="s">
        <v>1526</v>
      </c>
      <c r="F90" s="257" t="s">
        <v>1569</v>
      </c>
      <c r="G90" s="257" t="s">
        <v>1570</v>
      </c>
    </row>
    <row r="91" customHeight="1" spans="1:7">
      <c r="A91" s="255">
        <v>45005</v>
      </c>
      <c r="B91" s="230" t="s">
        <v>1571</v>
      </c>
      <c r="D91" s="256">
        <v>53001</v>
      </c>
      <c r="E91" s="257" t="s">
        <v>1526</v>
      </c>
      <c r="F91" s="257" t="s">
        <v>1572</v>
      </c>
      <c r="G91" s="257" t="s">
        <v>1573</v>
      </c>
    </row>
    <row r="92" customHeight="1" spans="1:7">
      <c r="A92" s="255">
        <v>46011</v>
      </c>
      <c r="B92" s="230" t="s">
        <v>1574</v>
      </c>
      <c r="D92" s="256">
        <v>53001</v>
      </c>
      <c r="E92" s="257" t="s">
        <v>1526</v>
      </c>
      <c r="F92" s="257" t="s">
        <v>1575</v>
      </c>
      <c r="G92" s="257" t="s">
        <v>1576</v>
      </c>
    </row>
    <row r="93" customHeight="1" spans="1:7">
      <c r="A93" s="255">
        <v>51017</v>
      </c>
      <c r="B93" s="230" t="s">
        <v>1577</v>
      </c>
      <c r="D93" s="256">
        <v>53001</v>
      </c>
      <c r="E93" s="257" t="s">
        <v>1526</v>
      </c>
      <c r="F93" s="257" t="s">
        <v>1578</v>
      </c>
      <c r="G93" s="257" t="s">
        <v>1497</v>
      </c>
    </row>
    <row r="94" customHeight="1" spans="1:7">
      <c r="A94" s="255">
        <v>50013</v>
      </c>
      <c r="B94" s="230" t="s">
        <v>1579</v>
      </c>
      <c r="D94" s="256">
        <v>53001</v>
      </c>
      <c r="E94" s="257" t="s">
        <v>1526</v>
      </c>
      <c r="F94" s="257" t="s">
        <v>1580</v>
      </c>
      <c r="G94" s="257" t="s">
        <v>1581</v>
      </c>
    </row>
    <row r="95" customHeight="1" spans="1:7">
      <c r="A95" s="255">
        <v>47004</v>
      </c>
      <c r="B95" s="230" t="s">
        <v>1582</v>
      </c>
      <c r="D95" s="256">
        <v>53001</v>
      </c>
      <c r="E95" s="257" t="s">
        <v>1526</v>
      </c>
      <c r="F95" s="257" t="s">
        <v>1583</v>
      </c>
      <c r="G95" s="257" t="s">
        <v>1584</v>
      </c>
    </row>
    <row r="96" customHeight="1" spans="1:7">
      <c r="A96" s="255">
        <v>48013</v>
      </c>
      <c r="B96" s="230" t="s">
        <v>1585</v>
      </c>
      <c r="D96" s="256">
        <v>53001</v>
      </c>
      <c r="E96" s="257" t="s">
        <v>1526</v>
      </c>
      <c r="F96" s="257" t="s">
        <v>1586</v>
      </c>
      <c r="G96" s="257" t="s">
        <v>1587</v>
      </c>
    </row>
    <row r="97" customHeight="1" spans="1:7">
      <c r="A97" s="255">
        <v>48014</v>
      </c>
      <c r="B97" s="230" t="s">
        <v>1588</v>
      </c>
      <c r="D97" s="256">
        <v>51002</v>
      </c>
      <c r="E97" s="257" t="s">
        <v>1589</v>
      </c>
      <c r="F97" s="257" t="s">
        <v>1590</v>
      </c>
      <c r="G97" s="257" t="s">
        <v>1591</v>
      </c>
    </row>
    <row r="98" customHeight="1" spans="1:7">
      <c r="A98" s="255">
        <v>46012</v>
      </c>
      <c r="B98" s="230" t="s">
        <v>1592</v>
      </c>
      <c r="D98" s="256">
        <v>51002</v>
      </c>
      <c r="E98" s="257" t="s">
        <v>1589</v>
      </c>
      <c r="F98" s="257" t="s">
        <v>1593</v>
      </c>
      <c r="G98" s="257" t="s">
        <v>1594</v>
      </c>
    </row>
    <row r="99" customHeight="1" spans="1:7">
      <c r="A99" s="255">
        <v>50014</v>
      </c>
      <c r="B99" s="230" t="s">
        <v>1595</v>
      </c>
      <c r="D99" s="256">
        <v>51002</v>
      </c>
      <c r="E99" s="257" t="s">
        <v>1589</v>
      </c>
      <c r="F99" s="257" t="s">
        <v>1596</v>
      </c>
      <c r="G99" s="257" t="s">
        <v>1597</v>
      </c>
    </row>
    <row r="100" customHeight="1" spans="1:7">
      <c r="A100" s="255">
        <v>48015</v>
      </c>
      <c r="B100" s="230" t="s">
        <v>1598</v>
      </c>
      <c r="D100" s="256">
        <v>51002</v>
      </c>
      <c r="E100" s="257" t="s">
        <v>1589</v>
      </c>
      <c r="F100" s="257" t="s">
        <v>1599</v>
      </c>
      <c r="G100" s="257" t="s">
        <v>1600</v>
      </c>
    </row>
    <row r="101" customHeight="1" spans="1:7">
      <c r="A101" s="255">
        <v>48016</v>
      </c>
      <c r="B101" s="230" t="s">
        <v>1601</v>
      </c>
      <c r="D101" s="256">
        <v>51002</v>
      </c>
      <c r="E101" s="257" t="s">
        <v>1589</v>
      </c>
      <c r="F101" s="257" t="s">
        <v>1602</v>
      </c>
      <c r="G101" s="257" t="s">
        <v>1603</v>
      </c>
    </row>
    <row r="102" customHeight="1" spans="1:7">
      <c r="A102" s="255">
        <v>45006</v>
      </c>
      <c r="B102" s="230" t="s">
        <v>1604</v>
      </c>
      <c r="D102" s="256">
        <v>51002</v>
      </c>
      <c r="E102" s="257" t="s">
        <v>1589</v>
      </c>
      <c r="F102" s="257" t="s">
        <v>1605</v>
      </c>
      <c r="G102" s="257" t="s">
        <v>1606</v>
      </c>
    </row>
    <row r="103" customHeight="1" spans="1:7">
      <c r="A103" s="255">
        <v>48017</v>
      </c>
      <c r="B103" s="230" t="s">
        <v>1607</v>
      </c>
      <c r="D103" s="256">
        <v>51002</v>
      </c>
      <c r="E103" s="257" t="s">
        <v>1589</v>
      </c>
      <c r="F103" s="257" t="s">
        <v>1608</v>
      </c>
      <c r="G103" s="257" t="s">
        <v>1609</v>
      </c>
    </row>
    <row r="104" customHeight="1" spans="1:7">
      <c r="A104" s="255">
        <v>48018</v>
      </c>
      <c r="B104" s="230" t="s">
        <v>1610</v>
      </c>
      <c r="D104" s="256">
        <v>51002</v>
      </c>
      <c r="E104" s="257" t="s">
        <v>1589</v>
      </c>
      <c r="F104" s="257" t="s">
        <v>1611</v>
      </c>
      <c r="G104" s="257" t="s">
        <v>1612</v>
      </c>
    </row>
    <row r="105" customHeight="1" spans="1:7">
      <c r="A105" s="255">
        <v>45007</v>
      </c>
      <c r="B105" s="230" t="s">
        <v>1613</v>
      </c>
      <c r="D105" s="256">
        <v>51002</v>
      </c>
      <c r="E105" s="257" t="s">
        <v>1589</v>
      </c>
      <c r="F105" s="257" t="s">
        <v>1614</v>
      </c>
      <c r="G105" s="257" t="s">
        <v>1615</v>
      </c>
    </row>
    <row r="106" customHeight="1" spans="1:7">
      <c r="A106" s="255">
        <v>51018</v>
      </c>
      <c r="B106" s="230" t="s">
        <v>1616</v>
      </c>
      <c r="D106" s="256">
        <v>51002</v>
      </c>
      <c r="E106" s="257" t="s">
        <v>1589</v>
      </c>
      <c r="F106" s="257" t="s">
        <v>1617</v>
      </c>
      <c r="G106" s="257" t="s">
        <v>1618</v>
      </c>
    </row>
    <row r="107" customHeight="1" spans="1:7">
      <c r="A107" s="255">
        <v>53009</v>
      </c>
      <c r="B107" s="230" t="s">
        <v>1619</v>
      </c>
      <c r="D107" s="256">
        <v>51002</v>
      </c>
      <c r="E107" s="257" t="s">
        <v>1589</v>
      </c>
      <c r="F107" s="257" t="s">
        <v>1620</v>
      </c>
      <c r="G107" s="257" t="s">
        <v>1621</v>
      </c>
    </row>
    <row r="108" customHeight="1" spans="1:7">
      <c r="A108" s="255">
        <v>46013</v>
      </c>
      <c r="B108" s="230" t="s">
        <v>1622</v>
      </c>
      <c r="D108" s="256">
        <v>51002</v>
      </c>
      <c r="E108" s="257" t="s">
        <v>1589</v>
      </c>
      <c r="F108" s="257" t="s">
        <v>1623</v>
      </c>
      <c r="G108" s="257" t="s">
        <v>1624</v>
      </c>
    </row>
    <row r="109" customHeight="1" spans="1:7">
      <c r="A109" s="255">
        <v>46014</v>
      </c>
      <c r="B109" s="230" t="s">
        <v>1625</v>
      </c>
      <c r="D109" s="256">
        <v>51002</v>
      </c>
      <c r="E109" s="257" t="s">
        <v>1589</v>
      </c>
      <c r="F109" s="257" t="s">
        <v>1626</v>
      </c>
      <c r="G109" s="257" t="s">
        <v>1627</v>
      </c>
    </row>
    <row r="110" customHeight="1" spans="1:7">
      <c r="A110" s="255">
        <v>45008</v>
      </c>
      <c r="B110" s="230" t="s">
        <v>1628</v>
      </c>
      <c r="D110" s="256">
        <v>51002</v>
      </c>
      <c r="E110" s="257" t="s">
        <v>1589</v>
      </c>
      <c r="F110" s="257" t="s">
        <v>1629</v>
      </c>
      <c r="G110" s="257" t="s">
        <v>1630</v>
      </c>
    </row>
    <row r="111" customHeight="1" spans="1:7">
      <c r="A111" s="255">
        <v>48019</v>
      </c>
      <c r="B111" s="230" t="s">
        <v>1631</v>
      </c>
      <c r="D111" s="256">
        <v>51002</v>
      </c>
      <c r="E111" s="257" t="s">
        <v>1589</v>
      </c>
      <c r="F111" s="257" t="s">
        <v>1632</v>
      </c>
      <c r="G111" s="257" t="s">
        <v>1633</v>
      </c>
    </row>
    <row r="112" customHeight="1" spans="1:7">
      <c r="A112" s="255">
        <v>52013</v>
      </c>
      <c r="B112" s="230" t="s">
        <v>1634</v>
      </c>
      <c r="D112" s="256">
        <v>51002</v>
      </c>
      <c r="E112" s="257" t="s">
        <v>1589</v>
      </c>
      <c r="F112" s="257" t="s">
        <v>1635</v>
      </c>
      <c r="G112" s="257" t="s">
        <v>1636</v>
      </c>
    </row>
    <row r="113" customHeight="1" spans="1:7">
      <c r="A113" s="255">
        <v>46015</v>
      </c>
      <c r="B113" s="230" t="s">
        <v>1637</v>
      </c>
      <c r="D113" s="256">
        <v>51002</v>
      </c>
      <c r="E113" s="257" t="s">
        <v>1589</v>
      </c>
      <c r="F113" s="257" t="s">
        <v>1638</v>
      </c>
      <c r="G113" s="257" t="s">
        <v>1639</v>
      </c>
    </row>
    <row r="114" customHeight="1" spans="1:7">
      <c r="A114" s="255">
        <v>48020</v>
      </c>
      <c r="B114" s="230" t="s">
        <v>1640</v>
      </c>
      <c r="D114" s="256">
        <v>51002</v>
      </c>
      <c r="E114" s="257" t="s">
        <v>1589</v>
      </c>
      <c r="F114" s="257" t="s">
        <v>1641</v>
      </c>
      <c r="G114" s="257" t="s">
        <v>1642</v>
      </c>
    </row>
    <row r="115" customHeight="1" spans="1:7">
      <c r="A115" s="255">
        <v>53010</v>
      </c>
      <c r="B115" s="230" t="s">
        <v>1643</v>
      </c>
      <c r="D115" s="256">
        <v>51002</v>
      </c>
      <c r="E115" s="257" t="s">
        <v>1589</v>
      </c>
      <c r="F115" s="257" t="s">
        <v>1644</v>
      </c>
      <c r="G115" s="257" t="s">
        <v>1645</v>
      </c>
    </row>
    <row r="116" customHeight="1" spans="1:7">
      <c r="A116" s="255">
        <v>46016</v>
      </c>
      <c r="B116" s="230" t="s">
        <v>1646</v>
      </c>
      <c r="D116" s="256">
        <v>51002</v>
      </c>
      <c r="E116" s="257" t="s">
        <v>1589</v>
      </c>
      <c r="F116" s="257" t="s">
        <v>1647</v>
      </c>
      <c r="G116" s="257" t="s">
        <v>1648</v>
      </c>
    </row>
    <row r="117" customHeight="1" spans="1:7">
      <c r="A117" s="255">
        <v>37029</v>
      </c>
      <c r="B117" s="230" t="s">
        <v>1649</v>
      </c>
      <c r="D117" s="256">
        <v>51002</v>
      </c>
      <c r="E117" s="257" t="s">
        <v>1589</v>
      </c>
      <c r="F117" s="257" t="s">
        <v>1650</v>
      </c>
      <c r="G117" s="257" t="s">
        <v>1651</v>
      </c>
    </row>
    <row r="118" customHeight="1" spans="1:7">
      <c r="A118" s="255">
        <v>48021</v>
      </c>
      <c r="B118" s="230" t="s">
        <v>1652</v>
      </c>
      <c r="D118" s="256">
        <v>51002</v>
      </c>
      <c r="E118" s="257" t="s">
        <v>1589</v>
      </c>
      <c r="F118" s="257" t="s">
        <v>1653</v>
      </c>
      <c r="G118" s="257" t="s">
        <v>1654</v>
      </c>
    </row>
    <row r="119" customHeight="1" spans="1:7">
      <c r="A119" s="255">
        <v>53011</v>
      </c>
      <c r="B119" s="230" t="s">
        <v>1655</v>
      </c>
      <c r="D119" s="256">
        <v>51002</v>
      </c>
      <c r="E119" s="257" t="s">
        <v>1589</v>
      </c>
      <c r="F119" s="257" t="s">
        <v>1656</v>
      </c>
      <c r="G119" s="257" t="s">
        <v>1657</v>
      </c>
    </row>
    <row r="120" customHeight="1" spans="1:7">
      <c r="A120" s="255">
        <v>50015</v>
      </c>
      <c r="B120" s="230" t="s">
        <v>1658</v>
      </c>
      <c r="D120" s="256">
        <v>51002</v>
      </c>
      <c r="E120" s="257" t="s">
        <v>1589</v>
      </c>
      <c r="F120" s="257" t="s">
        <v>1659</v>
      </c>
      <c r="G120" s="257" t="s">
        <v>1660</v>
      </c>
    </row>
    <row r="121" customHeight="1" spans="1:7">
      <c r="A121" s="255">
        <v>48022</v>
      </c>
      <c r="B121" s="230" t="s">
        <v>1661</v>
      </c>
      <c r="D121" s="256">
        <v>51002</v>
      </c>
      <c r="E121" s="257" t="s">
        <v>1589</v>
      </c>
      <c r="F121" s="257" t="s">
        <v>1662</v>
      </c>
      <c r="G121" s="257" t="s">
        <v>1663</v>
      </c>
    </row>
    <row r="122" customHeight="1" spans="1:7">
      <c r="A122" s="255">
        <v>48023</v>
      </c>
      <c r="B122" s="230" t="s">
        <v>1664</v>
      </c>
      <c r="D122" s="256">
        <v>51002</v>
      </c>
      <c r="E122" s="257" t="s">
        <v>1589</v>
      </c>
      <c r="F122" s="257" t="s">
        <v>1665</v>
      </c>
      <c r="G122" s="257" t="s">
        <v>1666</v>
      </c>
    </row>
    <row r="123" customHeight="1" spans="1:7">
      <c r="A123" s="255">
        <v>53012</v>
      </c>
      <c r="B123" s="230" t="s">
        <v>1667</v>
      </c>
      <c r="D123" s="256">
        <v>51002</v>
      </c>
      <c r="E123" s="257" t="s">
        <v>1589</v>
      </c>
      <c r="F123" s="257" t="s">
        <v>1668</v>
      </c>
      <c r="G123" s="257" t="s">
        <v>1669</v>
      </c>
    </row>
    <row r="124" customHeight="1" spans="1:7">
      <c r="A124" s="255">
        <v>50016</v>
      </c>
      <c r="B124" s="230" t="s">
        <v>1670</v>
      </c>
      <c r="D124" s="256">
        <v>51002</v>
      </c>
      <c r="E124" s="257" t="s">
        <v>1589</v>
      </c>
      <c r="F124" s="257" t="s">
        <v>1671</v>
      </c>
      <c r="G124" s="257" t="s">
        <v>1672</v>
      </c>
    </row>
    <row r="125" customHeight="1" spans="1:7">
      <c r="A125" s="255">
        <v>47005</v>
      </c>
      <c r="B125" s="230" t="s">
        <v>1673</v>
      </c>
      <c r="D125" s="256">
        <v>51002</v>
      </c>
      <c r="E125" s="257" t="s">
        <v>1589</v>
      </c>
      <c r="F125" s="257" t="s">
        <v>1674</v>
      </c>
      <c r="G125" s="257" t="s">
        <v>1675</v>
      </c>
    </row>
    <row r="126" customHeight="1" spans="1:7">
      <c r="A126" s="255">
        <v>47006</v>
      </c>
      <c r="B126" s="230" t="s">
        <v>1676</v>
      </c>
      <c r="D126" s="256">
        <v>51002</v>
      </c>
      <c r="E126" s="257" t="s">
        <v>1589</v>
      </c>
      <c r="F126" s="257" t="s">
        <v>1677</v>
      </c>
      <c r="G126" s="257" t="s">
        <v>1678</v>
      </c>
    </row>
    <row r="127" customHeight="1" spans="1:7">
      <c r="A127" s="255">
        <v>50017</v>
      </c>
      <c r="B127" s="230" t="s">
        <v>1679</v>
      </c>
      <c r="D127" s="256">
        <v>51002</v>
      </c>
      <c r="E127" s="257" t="s">
        <v>1589</v>
      </c>
      <c r="F127" s="257" t="s">
        <v>1680</v>
      </c>
      <c r="G127" s="257" t="s">
        <v>1681</v>
      </c>
    </row>
    <row r="128" customHeight="1" spans="1:7">
      <c r="A128" s="255">
        <v>48024</v>
      </c>
      <c r="B128" s="230" t="s">
        <v>1682</v>
      </c>
      <c r="D128" s="256">
        <v>51002</v>
      </c>
      <c r="E128" s="257" t="s">
        <v>1589</v>
      </c>
      <c r="F128" s="257" t="s">
        <v>1683</v>
      </c>
      <c r="G128" s="257" t="s">
        <v>1684</v>
      </c>
    </row>
    <row r="129" customHeight="1" spans="1:7">
      <c r="A129" s="255">
        <v>51019</v>
      </c>
      <c r="B129" s="230" t="s">
        <v>1685</v>
      </c>
      <c r="D129" s="256">
        <v>51002</v>
      </c>
      <c r="E129" s="257" t="s">
        <v>1589</v>
      </c>
      <c r="F129" s="257" t="s">
        <v>1686</v>
      </c>
      <c r="G129" s="257" t="s">
        <v>1687</v>
      </c>
    </row>
    <row r="130" customHeight="1" spans="1:7">
      <c r="A130" s="255">
        <v>45009</v>
      </c>
      <c r="B130" s="230" t="s">
        <v>1688</v>
      </c>
      <c r="D130" s="256">
        <v>51002</v>
      </c>
      <c r="E130" s="257" t="s">
        <v>1589</v>
      </c>
      <c r="F130" s="257" t="s">
        <v>1689</v>
      </c>
      <c r="G130" s="257" t="s">
        <v>1690</v>
      </c>
    </row>
    <row r="131" customHeight="1" spans="1:7">
      <c r="A131" s="255">
        <v>49009</v>
      </c>
      <c r="B131" s="230" t="s">
        <v>1691</v>
      </c>
      <c r="D131" s="256">
        <v>51002</v>
      </c>
      <c r="E131" s="257" t="s">
        <v>1589</v>
      </c>
      <c r="F131" s="257" t="s">
        <v>1692</v>
      </c>
      <c r="G131" s="257" t="s">
        <v>1693</v>
      </c>
    </row>
    <row r="132" customHeight="1" spans="1:7">
      <c r="A132" s="255">
        <v>48025</v>
      </c>
      <c r="B132" s="230" t="s">
        <v>1694</v>
      </c>
      <c r="D132" s="256">
        <v>51002</v>
      </c>
      <c r="E132" s="257" t="s">
        <v>1589</v>
      </c>
      <c r="F132" s="257" t="s">
        <v>1695</v>
      </c>
      <c r="G132" s="257" t="s">
        <v>1696</v>
      </c>
    </row>
    <row r="133" customHeight="1" spans="1:7">
      <c r="A133" s="255">
        <v>50018</v>
      </c>
      <c r="B133" s="230" t="s">
        <v>1697</v>
      </c>
      <c r="D133" s="256">
        <v>51002</v>
      </c>
      <c r="E133" s="257" t="s">
        <v>1589</v>
      </c>
      <c r="F133" s="257" t="s">
        <v>1698</v>
      </c>
      <c r="G133" s="257" t="s">
        <v>1699</v>
      </c>
    </row>
    <row r="134" customHeight="1" spans="1:7">
      <c r="A134" s="255">
        <v>51020</v>
      </c>
      <c r="B134" s="230" t="s">
        <v>1700</v>
      </c>
      <c r="D134" s="256">
        <v>51002</v>
      </c>
      <c r="E134" s="257" t="s">
        <v>1589</v>
      </c>
      <c r="F134" s="257" t="s">
        <v>1701</v>
      </c>
      <c r="G134" s="257" t="s">
        <v>1702</v>
      </c>
    </row>
    <row r="135" customHeight="1" spans="1:7">
      <c r="A135" s="255">
        <v>46017</v>
      </c>
      <c r="B135" s="230" t="s">
        <v>1703</v>
      </c>
      <c r="D135" s="256">
        <v>51002</v>
      </c>
      <c r="E135" s="257" t="s">
        <v>1589</v>
      </c>
      <c r="F135" s="257" t="s">
        <v>1704</v>
      </c>
      <c r="G135" s="257" t="s">
        <v>1705</v>
      </c>
    </row>
    <row r="136" customHeight="1" spans="1:7">
      <c r="A136" s="255">
        <v>51021</v>
      </c>
      <c r="B136" s="230" t="s">
        <v>1706</v>
      </c>
      <c r="D136" s="256">
        <v>51002</v>
      </c>
      <c r="E136" s="257" t="s">
        <v>1589</v>
      </c>
      <c r="F136" s="257" t="s">
        <v>1707</v>
      </c>
      <c r="G136" s="257" t="s">
        <v>1708</v>
      </c>
    </row>
    <row r="137" customHeight="1" spans="1:7">
      <c r="A137" s="255">
        <v>53013</v>
      </c>
      <c r="B137" s="230" t="s">
        <v>1709</v>
      </c>
      <c r="D137" s="256">
        <v>51002</v>
      </c>
      <c r="E137" s="257" t="s">
        <v>1589</v>
      </c>
      <c r="F137" s="257" t="s">
        <v>1710</v>
      </c>
      <c r="G137" s="257" t="s">
        <v>1711</v>
      </c>
    </row>
    <row r="138" customHeight="1" spans="1:7">
      <c r="A138" s="255">
        <v>53014</v>
      </c>
      <c r="B138" s="230" t="s">
        <v>1712</v>
      </c>
      <c r="D138" s="256">
        <v>51002</v>
      </c>
      <c r="E138" s="257" t="s">
        <v>1589</v>
      </c>
      <c r="F138" s="257" t="s">
        <v>1713</v>
      </c>
      <c r="G138" s="257" t="s">
        <v>1714</v>
      </c>
    </row>
    <row r="139" customHeight="1" spans="1:7">
      <c r="A139" s="255">
        <v>49010</v>
      </c>
      <c r="B139" s="230" t="s">
        <v>1715</v>
      </c>
      <c r="D139" s="256">
        <v>51002</v>
      </c>
      <c r="E139" s="257" t="s">
        <v>1589</v>
      </c>
      <c r="F139" s="257" t="s">
        <v>1716</v>
      </c>
      <c r="G139" s="257" t="s">
        <v>1717</v>
      </c>
    </row>
    <row r="140" customHeight="1" spans="1:7">
      <c r="A140" s="255">
        <v>49011</v>
      </c>
      <c r="B140" s="230" t="s">
        <v>1718</v>
      </c>
      <c r="D140" s="256">
        <v>51002</v>
      </c>
      <c r="E140" s="257" t="s">
        <v>1589</v>
      </c>
      <c r="F140" s="257" t="s">
        <v>1719</v>
      </c>
      <c r="G140" s="257" t="s">
        <v>1720</v>
      </c>
    </row>
    <row r="141" customHeight="1" spans="1:7">
      <c r="A141" s="255">
        <v>51022</v>
      </c>
      <c r="B141" s="230" t="s">
        <v>1721</v>
      </c>
      <c r="D141" s="256">
        <v>51002</v>
      </c>
      <c r="E141" s="257" t="s">
        <v>1589</v>
      </c>
      <c r="F141" s="257" t="s">
        <v>1722</v>
      </c>
      <c r="G141" s="257" t="s">
        <v>1723</v>
      </c>
    </row>
    <row r="142" customHeight="1" spans="1:7">
      <c r="A142" s="255">
        <v>47007</v>
      </c>
      <c r="B142" s="230" t="s">
        <v>1724</v>
      </c>
      <c r="D142" s="256">
        <v>51002</v>
      </c>
      <c r="E142" s="257" t="s">
        <v>1589</v>
      </c>
      <c r="F142" s="257" t="s">
        <v>1725</v>
      </c>
      <c r="G142" s="257" t="s">
        <v>1726</v>
      </c>
    </row>
    <row r="143" customHeight="1" spans="1:7">
      <c r="A143" s="255">
        <v>48026</v>
      </c>
      <c r="B143" s="230" t="s">
        <v>1727</v>
      </c>
      <c r="D143" s="256">
        <v>51002</v>
      </c>
      <c r="E143" s="257" t="s">
        <v>1589</v>
      </c>
      <c r="F143" s="257" t="s">
        <v>1728</v>
      </c>
      <c r="G143" s="257" t="s">
        <v>1729</v>
      </c>
    </row>
    <row r="144" customHeight="1" spans="1:7">
      <c r="A144" s="255">
        <v>45010</v>
      </c>
      <c r="B144" s="230" t="s">
        <v>1730</v>
      </c>
      <c r="D144" s="256">
        <v>51002</v>
      </c>
      <c r="E144" s="257" t="s">
        <v>1589</v>
      </c>
      <c r="F144" s="257" t="s">
        <v>1731</v>
      </c>
      <c r="G144" s="257" t="s">
        <v>1732</v>
      </c>
    </row>
    <row r="145" customHeight="1" spans="1:7">
      <c r="A145" s="255">
        <v>47008</v>
      </c>
      <c r="B145" s="230" t="s">
        <v>1733</v>
      </c>
      <c r="D145" s="256">
        <v>51002</v>
      </c>
      <c r="E145" s="257" t="s">
        <v>1589</v>
      </c>
      <c r="F145" s="257" t="s">
        <v>1734</v>
      </c>
      <c r="G145" s="257" t="s">
        <v>1735</v>
      </c>
    </row>
    <row r="146" customHeight="1" spans="1:7">
      <c r="A146" s="255">
        <v>53015</v>
      </c>
      <c r="B146" s="230" t="s">
        <v>1736</v>
      </c>
      <c r="D146" s="256">
        <v>51002</v>
      </c>
      <c r="E146" s="257" t="s">
        <v>1589</v>
      </c>
      <c r="F146" s="257" t="s">
        <v>1737</v>
      </c>
      <c r="G146" s="257" t="s">
        <v>1738</v>
      </c>
    </row>
    <row r="147" customHeight="1" spans="1:7">
      <c r="A147" s="255">
        <v>46018</v>
      </c>
      <c r="B147" s="230" t="s">
        <v>1739</v>
      </c>
      <c r="D147" s="256">
        <v>51002</v>
      </c>
      <c r="E147" s="257" t="s">
        <v>1589</v>
      </c>
      <c r="F147" s="257" t="s">
        <v>1740</v>
      </c>
      <c r="G147" s="257" t="s">
        <v>1741</v>
      </c>
    </row>
    <row r="148" customHeight="1" spans="1:7">
      <c r="A148" s="255">
        <v>46019</v>
      </c>
      <c r="B148" s="230" t="s">
        <v>1742</v>
      </c>
      <c r="D148" s="256">
        <v>51002</v>
      </c>
      <c r="E148" s="257" t="s">
        <v>1589</v>
      </c>
      <c r="F148" s="257" t="s">
        <v>1743</v>
      </c>
      <c r="G148" s="257" t="s">
        <v>1744</v>
      </c>
    </row>
    <row r="149" customHeight="1" spans="1:7">
      <c r="A149" s="255">
        <v>46020</v>
      </c>
      <c r="B149" s="230" t="s">
        <v>1745</v>
      </c>
      <c r="D149" s="256">
        <v>51002</v>
      </c>
      <c r="E149" s="257" t="s">
        <v>1589</v>
      </c>
      <c r="F149" s="257" t="s">
        <v>1746</v>
      </c>
      <c r="G149" s="257" t="s">
        <v>1747</v>
      </c>
    </row>
    <row r="150" customHeight="1" spans="1:7">
      <c r="A150" s="255">
        <v>47009</v>
      </c>
      <c r="B150" s="230" t="s">
        <v>1748</v>
      </c>
      <c r="D150" s="256">
        <v>51002</v>
      </c>
      <c r="E150" s="257" t="s">
        <v>1589</v>
      </c>
      <c r="F150" s="257" t="s">
        <v>1749</v>
      </c>
      <c r="G150" s="257" t="s">
        <v>1750</v>
      </c>
    </row>
    <row r="151" customHeight="1" spans="1:7">
      <c r="A151" s="255">
        <v>48027</v>
      </c>
      <c r="B151" s="230" t="s">
        <v>1751</v>
      </c>
      <c r="D151" s="256">
        <v>51002</v>
      </c>
      <c r="E151" s="257" t="s">
        <v>1589</v>
      </c>
      <c r="F151" s="257" t="s">
        <v>1752</v>
      </c>
      <c r="G151" s="257" t="s">
        <v>1753</v>
      </c>
    </row>
    <row r="152" customHeight="1" spans="1:7">
      <c r="A152" s="255">
        <v>52014</v>
      </c>
      <c r="B152" s="230" t="s">
        <v>1754</v>
      </c>
      <c r="D152" s="256">
        <v>51002</v>
      </c>
      <c r="E152" s="257" t="s">
        <v>1589</v>
      </c>
      <c r="F152" s="257" t="s">
        <v>1755</v>
      </c>
      <c r="G152" s="257" t="s">
        <v>1756</v>
      </c>
    </row>
    <row r="153" customHeight="1" spans="1:7">
      <c r="A153" s="255">
        <v>47010</v>
      </c>
      <c r="B153" s="230" t="s">
        <v>1757</v>
      </c>
      <c r="D153" s="256">
        <v>51002</v>
      </c>
      <c r="E153" s="257" t="s">
        <v>1589</v>
      </c>
      <c r="F153" s="257" t="s">
        <v>1758</v>
      </c>
      <c r="G153" s="257" t="s">
        <v>1759</v>
      </c>
    </row>
    <row r="154" customHeight="1" spans="1:7">
      <c r="A154" s="255">
        <v>53016</v>
      </c>
      <c r="B154" s="230" t="s">
        <v>1760</v>
      </c>
      <c r="D154" s="256">
        <v>51002</v>
      </c>
      <c r="E154" s="257" t="s">
        <v>1589</v>
      </c>
      <c r="F154" s="257" t="s">
        <v>1761</v>
      </c>
      <c r="G154" s="257" t="s">
        <v>1762</v>
      </c>
    </row>
    <row r="155" customHeight="1" spans="1:7">
      <c r="A155" s="255">
        <v>51025</v>
      </c>
      <c r="B155" s="230" t="s">
        <v>1763</v>
      </c>
      <c r="D155" s="256">
        <v>51002</v>
      </c>
      <c r="E155" s="257" t="s">
        <v>1589</v>
      </c>
      <c r="F155" s="257" t="s">
        <v>1764</v>
      </c>
      <c r="G155" s="257" t="s">
        <v>1765</v>
      </c>
    </row>
    <row r="156" customHeight="1" spans="1:7">
      <c r="A156" s="255">
        <v>46021</v>
      </c>
      <c r="B156" s="230" t="s">
        <v>1766</v>
      </c>
      <c r="D156" s="256">
        <v>51002</v>
      </c>
      <c r="E156" s="257" t="s">
        <v>1589</v>
      </c>
      <c r="F156" s="257" t="s">
        <v>1767</v>
      </c>
      <c r="G156" s="257" t="s">
        <v>1768</v>
      </c>
    </row>
    <row r="157" customHeight="1" spans="1:7">
      <c r="A157" s="255">
        <v>50019</v>
      </c>
      <c r="B157" s="230" t="s">
        <v>1769</v>
      </c>
      <c r="D157" s="256">
        <v>51002</v>
      </c>
      <c r="E157" s="257" t="s">
        <v>1589</v>
      </c>
      <c r="F157" s="257" t="s">
        <v>1770</v>
      </c>
      <c r="G157" s="257" t="s">
        <v>1771</v>
      </c>
    </row>
    <row r="158" customHeight="1" spans="1:7">
      <c r="A158" s="255">
        <v>47011</v>
      </c>
      <c r="B158" s="230" t="s">
        <v>1772</v>
      </c>
      <c r="D158" s="256">
        <v>51002</v>
      </c>
      <c r="E158" s="257" t="s">
        <v>1589</v>
      </c>
      <c r="F158" s="257" t="s">
        <v>1773</v>
      </c>
      <c r="G158" s="257" t="s">
        <v>1774</v>
      </c>
    </row>
    <row r="159" customHeight="1" spans="1:7">
      <c r="A159" s="255">
        <v>48028</v>
      </c>
      <c r="B159" s="230" t="s">
        <v>1775</v>
      </c>
      <c r="D159" s="256">
        <v>51002</v>
      </c>
      <c r="E159" s="257" t="s">
        <v>1589</v>
      </c>
      <c r="F159" s="257" t="s">
        <v>1776</v>
      </c>
      <c r="G159" s="257" t="s">
        <v>1777</v>
      </c>
    </row>
    <row r="160" customHeight="1" spans="1:7">
      <c r="A160" s="255">
        <v>51023</v>
      </c>
      <c r="B160" s="230" t="s">
        <v>1778</v>
      </c>
      <c r="D160" s="256">
        <v>52002</v>
      </c>
      <c r="E160" s="257" t="s">
        <v>1779</v>
      </c>
      <c r="F160" s="257" t="s">
        <v>1780</v>
      </c>
      <c r="G160" s="257" t="s">
        <v>1781</v>
      </c>
    </row>
    <row r="161" customHeight="1" spans="1:7">
      <c r="A161" s="255">
        <v>100003</v>
      </c>
      <c r="B161" s="230" t="s">
        <v>1782</v>
      </c>
      <c r="D161" s="256">
        <v>52002</v>
      </c>
      <c r="E161" s="257" t="s">
        <v>1779</v>
      </c>
      <c r="F161" s="257" t="s">
        <v>1783</v>
      </c>
      <c r="G161" s="257" t="s">
        <v>1784</v>
      </c>
    </row>
    <row r="162" customHeight="1" spans="1:7">
      <c r="A162" s="255">
        <v>52015</v>
      </c>
      <c r="B162" s="230" t="s">
        <v>1785</v>
      </c>
      <c r="D162" s="256">
        <v>52002</v>
      </c>
      <c r="E162" s="257" t="s">
        <v>1779</v>
      </c>
      <c r="F162" s="257" t="s">
        <v>1786</v>
      </c>
      <c r="G162" s="257" t="s">
        <v>1787</v>
      </c>
    </row>
    <row r="163" customHeight="1" spans="1:7">
      <c r="A163" s="255">
        <v>51024</v>
      </c>
      <c r="B163" s="230" t="s">
        <v>1788</v>
      </c>
      <c r="D163" s="256">
        <v>52002</v>
      </c>
      <c r="E163" s="257" t="s">
        <v>1779</v>
      </c>
      <c r="F163" s="257" t="s">
        <v>1789</v>
      </c>
      <c r="G163" s="257" t="s">
        <v>1790</v>
      </c>
    </row>
    <row r="164" customHeight="1" spans="1:7">
      <c r="A164" s="255">
        <v>52016</v>
      </c>
      <c r="B164" s="230" t="s">
        <v>1791</v>
      </c>
      <c r="D164" s="256">
        <v>52002</v>
      </c>
      <c r="E164" s="257" t="s">
        <v>1779</v>
      </c>
      <c r="F164" s="257" t="s">
        <v>1792</v>
      </c>
      <c r="G164" s="257" t="s">
        <v>1793</v>
      </c>
    </row>
    <row r="165" customHeight="1" spans="1:7">
      <c r="A165" s="255">
        <v>52017</v>
      </c>
      <c r="B165" s="230" t="s">
        <v>1794</v>
      </c>
      <c r="D165" s="256">
        <v>52002</v>
      </c>
      <c r="E165" s="257" t="s">
        <v>1779</v>
      </c>
      <c r="F165" s="257" t="s">
        <v>1795</v>
      </c>
      <c r="G165" s="257" t="s">
        <v>1796</v>
      </c>
    </row>
    <row r="166" customHeight="1" spans="1:7">
      <c r="A166" s="255">
        <v>53027</v>
      </c>
      <c r="B166" s="230" t="s">
        <v>1797</v>
      </c>
      <c r="D166" s="256">
        <v>52002</v>
      </c>
      <c r="E166" s="257" t="s">
        <v>1779</v>
      </c>
      <c r="F166" s="257" t="s">
        <v>1798</v>
      </c>
      <c r="G166" s="257" t="s">
        <v>1799</v>
      </c>
    </row>
    <row r="167" customHeight="1" spans="1:7">
      <c r="A167" s="255">
        <v>50020</v>
      </c>
      <c r="B167" s="230" t="s">
        <v>1800</v>
      </c>
      <c r="D167" s="256">
        <v>52002</v>
      </c>
      <c r="E167" s="257" t="s">
        <v>1779</v>
      </c>
      <c r="F167" s="257" t="s">
        <v>1801</v>
      </c>
      <c r="G167" s="257" t="s">
        <v>1802</v>
      </c>
    </row>
    <row r="168" customHeight="1" spans="1:7">
      <c r="A168" s="255">
        <v>48030</v>
      </c>
      <c r="B168" s="230" t="s">
        <v>1803</v>
      </c>
      <c r="D168" s="256">
        <v>52002</v>
      </c>
      <c r="E168" s="257" t="s">
        <v>1779</v>
      </c>
      <c r="F168" s="257" t="s">
        <v>1804</v>
      </c>
      <c r="G168" s="257" t="s">
        <v>1805</v>
      </c>
    </row>
    <row r="169" customHeight="1" spans="1:7">
      <c r="A169" s="255">
        <v>51026</v>
      </c>
      <c r="B169" s="230" t="s">
        <v>1806</v>
      </c>
      <c r="D169" s="256">
        <v>52002</v>
      </c>
      <c r="E169" s="257" t="s">
        <v>1779</v>
      </c>
      <c r="F169" s="257" t="s">
        <v>1807</v>
      </c>
      <c r="G169" s="257" t="s">
        <v>1808</v>
      </c>
    </row>
    <row r="170" customHeight="1" spans="1:7">
      <c r="A170" s="255">
        <v>50021</v>
      </c>
      <c r="B170" s="230" t="s">
        <v>1809</v>
      </c>
      <c r="D170" s="256">
        <v>52002</v>
      </c>
      <c r="E170" s="257" t="s">
        <v>1779</v>
      </c>
      <c r="F170" s="257" t="s">
        <v>1810</v>
      </c>
      <c r="G170" s="257" t="s">
        <v>1811</v>
      </c>
    </row>
    <row r="171" customHeight="1" spans="1:7">
      <c r="A171" s="255">
        <v>52018</v>
      </c>
      <c r="B171" s="230" t="s">
        <v>1812</v>
      </c>
      <c r="D171" s="256">
        <v>52002</v>
      </c>
      <c r="E171" s="257" t="s">
        <v>1779</v>
      </c>
      <c r="F171" s="257" t="s">
        <v>1813</v>
      </c>
      <c r="G171" s="257" t="s">
        <v>1814</v>
      </c>
    </row>
    <row r="172" customHeight="1" spans="1:7">
      <c r="A172" s="255">
        <v>53017</v>
      </c>
      <c r="B172" s="230" t="s">
        <v>1815</v>
      </c>
      <c r="D172" s="256">
        <v>52002</v>
      </c>
      <c r="E172" s="257" t="s">
        <v>1779</v>
      </c>
      <c r="F172" s="257" t="s">
        <v>1816</v>
      </c>
      <c r="G172" s="257" t="s">
        <v>1817</v>
      </c>
    </row>
    <row r="173" customHeight="1" spans="1:7">
      <c r="A173" s="255">
        <v>45011</v>
      </c>
      <c r="B173" s="230" t="s">
        <v>1818</v>
      </c>
      <c r="D173" s="256">
        <v>52002</v>
      </c>
      <c r="E173" s="257" t="s">
        <v>1779</v>
      </c>
      <c r="F173" s="257" t="s">
        <v>1819</v>
      </c>
      <c r="G173" s="257" t="s">
        <v>1820</v>
      </c>
    </row>
    <row r="174" customHeight="1" spans="1:7">
      <c r="A174" s="255">
        <v>50022</v>
      </c>
      <c r="B174" s="230" t="s">
        <v>1821</v>
      </c>
      <c r="D174" s="256">
        <v>45001</v>
      </c>
      <c r="E174" s="257" t="s">
        <v>1822</v>
      </c>
      <c r="F174" s="257" t="s">
        <v>1823</v>
      </c>
      <c r="G174" s="257" t="s">
        <v>1824</v>
      </c>
    </row>
    <row r="175" customHeight="1" spans="1:7">
      <c r="A175" s="255">
        <v>45012</v>
      </c>
      <c r="B175" s="230" t="s">
        <v>1825</v>
      </c>
      <c r="D175" s="256">
        <v>45001</v>
      </c>
      <c r="E175" s="257" t="s">
        <v>1822</v>
      </c>
      <c r="F175" s="257" t="s">
        <v>1826</v>
      </c>
      <c r="G175" s="257" t="s">
        <v>1827</v>
      </c>
    </row>
    <row r="176" customHeight="1" spans="1:7">
      <c r="A176" s="255">
        <v>52019</v>
      </c>
      <c r="B176" s="230" t="s">
        <v>1828</v>
      </c>
      <c r="D176" s="256">
        <v>45001</v>
      </c>
      <c r="E176" s="257" t="s">
        <v>1822</v>
      </c>
      <c r="F176" s="257" t="s">
        <v>1829</v>
      </c>
      <c r="G176" s="257" t="s">
        <v>1830</v>
      </c>
    </row>
    <row r="177" customHeight="1" spans="1:7">
      <c r="A177" s="255">
        <v>53018</v>
      </c>
      <c r="B177" s="230" t="s">
        <v>1831</v>
      </c>
      <c r="D177" s="256">
        <v>45001</v>
      </c>
      <c r="E177" s="257" t="s">
        <v>1822</v>
      </c>
      <c r="F177" s="257" t="s">
        <v>1832</v>
      </c>
      <c r="G177" s="257" t="s">
        <v>1833</v>
      </c>
    </row>
    <row r="178" customHeight="1" spans="1:7">
      <c r="A178" s="255">
        <v>50023</v>
      </c>
      <c r="B178" s="230" t="s">
        <v>1834</v>
      </c>
      <c r="D178" s="256">
        <v>45001</v>
      </c>
      <c r="E178" s="257" t="s">
        <v>1822</v>
      </c>
      <c r="F178" s="257" t="s">
        <v>1835</v>
      </c>
      <c r="G178" s="257" t="s">
        <v>1836</v>
      </c>
    </row>
    <row r="179" customHeight="1" spans="1:7">
      <c r="A179" s="255">
        <v>51027</v>
      </c>
      <c r="B179" s="230" t="s">
        <v>1837</v>
      </c>
      <c r="D179" s="256">
        <v>45001</v>
      </c>
      <c r="E179" s="257" t="s">
        <v>1822</v>
      </c>
      <c r="F179" s="257" t="s">
        <v>1838</v>
      </c>
      <c r="G179" s="257" t="s">
        <v>1839</v>
      </c>
    </row>
    <row r="180" customHeight="1" spans="1:7">
      <c r="A180" s="255">
        <v>50024</v>
      </c>
      <c r="B180" s="230" t="s">
        <v>1840</v>
      </c>
      <c r="D180" s="256">
        <v>45001</v>
      </c>
      <c r="E180" s="257" t="s">
        <v>1822</v>
      </c>
      <c r="F180" s="257" t="s">
        <v>1841</v>
      </c>
      <c r="G180" s="257" t="s">
        <v>1842</v>
      </c>
    </row>
    <row r="181" customHeight="1" spans="1:7">
      <c r="A181" s="255">
        <v>48031</v>
      </c>
      <c r="B181" s="230" t="s">
        <v>1843</v>
      </c>
      <c r="D181" s="256">
        <v>45001</v>
      </c>
      <c r="E181" s="257" t="s">
        <v>1822</v>
      </c>
      <c r="F181" s="257" t="s">
        <v>1844</v>
      </c>
      <c r="G181" s="257" t="s">
        <v>1845</v>
      </c>
    </row>
    <row r="182" customHeight="1" spans="1:7">
      <c r="A182" s="255">
        <v>50025</v>
      </c>
      <c r="B182" s="230" t="s">
        <v>1846</v>
      </c>
      <c r="D182" s="256">
        <v>45001</v>
      </c>
      <c r="E182" s="257" t="s">
        <v>1822</v>
      </c>
      <c r="F182" s="257" t="s">
        <v>1847</v>
      </c>
      <c r="G182" s="257" t="s">
        <v>1848</v>
      </c>
    </row>
    <row r="183" customHeight="1" spans="1:7">
      <c r="A183" s="255">
        <v>48032</v>
      </c>
      <c r="B183" s="230" t="s">
        <v>1849</v>
      </c>
      <c r="D183" s="256">
        <v>45001</v>
      </c>
      <c r="E183" s="257" t="s">
        <v>1822</v>
      </c>
      <c r="F183" s="257" t="s">
        <v>1850</v>
      </c>
      <c r="G183" s="257" t="s">
        <v>1851</v>
      </c>
    </row>
    <row r="184" customHeight="1" spans="1:7">
      <c r="A184" s="255">
        <v>51028</v>
      </c>
      <c r="B184" s="230" t="s">
        <v>1852</v>
      </c>
      <c r="D184" s="256">
        <v>45001</v>
      </c>
      <c r="E184" s="257" t="s">
        <v>1822</v>
      </c>
      <c r="F184" s="257" t="s">
        <v>1853</v>
      </c>
      <c r="G184" s="257" t="s">
        <v>1854</v>
      </c>
    </row>
    <row r="185" customHeight="1" spans="1:7">
      <c r="A185" s="255">
        <v>46022</v>
      </c>
      <c r="B185" s="230" t="s">
        <v>1855</v>
      </c>
      <c r="D185" s="256">
        <v>45001</v>
      </c>
      <c r="E185" s="257" t="s">
        <v>1822</v>
      </c>
      <c r="F185" s="257" t="s">
        <v>1856</v>
      </c>
      <c r="G185" s="257" t="s">
        <v>1857</v>
      </c>
    </row>
    <row r="186" customHeight="1" spans="1:7">
      <c r="A186" s="255">
        <v>47012</v>
      </c>
      <c r="B186" s="230" t="s">
        <v>1858</v>
      </c>
      <c r="D186" s="256">
        <v>45001</v>
      </c>
      <c r="E186" s="257" t="s">
        <v>1822</v>
      </c>
      <c r="F186" s="257" t="s">
        <v>1859</v>
      </c>
      <c r="G186" s="257" t="s">
        <v>1860</v>
      </c>
    </row>
    <row r="187" customHeight="1" spans="1:7">
      <c r="A187" s="255">
        <v>51029</v>
      </c>
      <c r="B187" s="230" t="s">
        <v>1861</v>
      </c>
      <c r="D187" s="256">
        <v>45001</v>
      </c>
      <c r="E187" s="257" t="s">
        <v>1822</v>
      </c>
      <c r="F187" s="257" t="s">
        <v>1862</v>
      </c>
      <c r="G187" s="257" t="s">
        <v>1863</v>
      </c>
    </row>
    <row r="188" customHeight="1" spans="1:7">
      <c r="A188" s="255">
        <v>52020</v>
      </c>
      <c r="B188" s="230" t="s">
        <v>1864</v>
      </c>
      <c r="D188" s="256">
        <v>45001</v>
      </c>
      <c r="E188" s="257" t="s">
        <v>1822</v>
      </c>
      <c r="F188" s="257" t="s">
        <v>1865</v>
      </c>
      <c r="G188" s="257" t="s">
        <v>1866</v>
      </c>
    </row>
    <row r="189" customHeight="1" spans="1:7">
      <c r="A189" s="255">
        <v>46023</v>
      </c>
      <c r="B189" s="230" t="s">
        <v>1867</v>
      </c>
      <c r="D189" s="256">
        <v>45001</v>
      </c>
      <c r="E189" s="257" t="s">
        <v>1822</v>
      </c>
      <c r="F189" s="257" t="s">
        <v>1868</v>
      </c>
      <c r="G189" s="257" t="s">
        <v>1869</v>
      </c>
    </row>
    <row r="190" customHeight="1" spans="1:7">
      <c r="A190" s="255">
        <v>52021</v>
      </c>
      <c r="B190" s="230" t="s">
        <v>1870</v>
      </c>
      <c r="D190" s="256">
        <v>45001</v>
      </c>
      <c r="E190" s="257" t="s">
        <v>1822</v>
      </c>
      <c r="F190" s="257" t="s">
        <v>1871</v>
      </c>
      <c r="G190" s="257" t="s">
        <v>1872</v>
      </c>
    </row>
    <row r="191" customHeight="1" spans="1:7">
      <c r="A191" s="255">
        <v>46024</v>
      </c>
      <c r="B191" s="230" t="s">
        <v>1873</v>
      </c>
      <c r="D191" s="256">
        <v>45001</v>
      </c>
      <c r="E191" s="257" t="s">
        <v>1822</v>
      </c>
      <c r="F191" s="257" t="s">
        <v>1874</v>
      </c>
      <c r="G191" s="257" t="s">
        <v>1875</v>
      </c>
    </row>
    <row r="192" customHeight="1" spans="1:7">
      <c r="A192" s="255">
        <v>47013</v>
      </c>
      <c r="B192" s="230" t="s">
        <v>1876</v>
      </c>
      <c r="D192" s="256">
        <v>45001</v>
      </c>
      <c r="E192" s="257" t="s">
        <v>1822</v>
      </c>
      <c r="F192" s="257" t="s">
        <v>1877</v>
      </c>
      <c r="G192" s="257" t="s">
        <v>1878</v>
      </c>
    </row>
    <row r="193" customHeight="1" spans="1:7">
      <c r="A193" s="255">
        <v>46025</v>
      </c>
      <c r="B193" s="230" t="s">
        <v>1879</v>
      </c>
      <c r="D193" s="256">
        <v>45001</v>
      </c>
      <c r="E193" s="257" t="s">
        <v>1822</v>
      </c>
      <c r="F193" s="257" t="s">
        <v>1880</v>
      </c>
      <c r="G193" s="257" t="s">
        <v>1881</v>
      </c>
    </row>
    <row r="194" customHeight="1" spans="1:7">
      <c r="A194" s="255">
        <v>51030</v>
      </c>
      <c r="B194" s="230" t="s">
        <v>1882</v>
      </c>
      <c r="D194" s="256">
        <v>45001</v>
      </c>
      <c r="E194" s="257" t="s">
        <v>1822</v>
      </c>
      <c r="F194" s="257" t="s">
        <v>1883</v>
      </c>
      <c r="G194" s="257" t="s">
        <v>1884</v>
      </c>
    </row>
    <row r="195" customHeight="1" spans="1:7">
      <c r="A195" s="255">
        <v>49012</v>
      </c>
      <c r="B195" s="230" t="s">
        <v>1885</v>
      </c>
      <c r="D195" s="256">
        <v>45001</v>
      </c>
      <c r="E195" s="257" t="s">
        <v>1822</v>
      </c>
      <c r="F195" s="257" t="s">
        <v>1886</v>
      </c>
      <c r="G195" s="257" t="s">
        <v>1887</v>
      </c>
    </row>
    <row r="196" customHeight="1" spans="1:7">
      <c r="A196" s="255">
        <v>50026</v>
      </c>
      <c r="B196" s="230" t="s">
        <v>1888</v>
      </c>
      <c r="D196" s="256">
        <v>45001</v>
      </c>
      <c r="E196" s="257" t="s">
        <v>1822</v>
      </c>
      <c r="F196" s="257" t="s">
        <v>1889</v>
      </c>
      <c r="G196" s="257" t="s">
        <v>1890</v>
      </c>
    </row>
    <row r="197" customHeight="1" spans="1:7">
      <c r="A197" s="255">
        <v>47014</v>
      </c>
      <c r="B197" s="230" t="s">
        <v>1891</v>
      </c>
      <c r="D197" s="256">
        <v>45001</v>
      </c>
      <c r="E197" s="257" t="s">
        <v>1822</v>
      </c>
      <c r="F197" s="257" t="s">
        <v>1892</v>
      </c>
      <c r="G197" s="257" t="s">
        <v>1893</v>
      </c>
    </row>
    <row r="198" customHeight="1" spans="1:7">
      <c r="A198" s="255">
        <v>47015</v>
      </c>
      <c r="B198" s="230" t="s">
        <v>1894</v>
      </c>
      <c r="D198" s="256">
        <v>45001</v>
      </c>
      <c r="E198" s="257" t="s">
        <v>1822</v>
      </c>
      <c r="F198" s="257" t="s">
        <v>1895</v>
      </c>
      <c r="G198" s="257" t="s">
        <v>1896</v>
      </c>
    </row>
    <row r="199" customHeight="1" spans="1:7">
      <c r="A199" s="255">
        <v>53019</v>
      </c>
      <c r="B199" s="230" t="s">
        <v>1897</v>
      </c>
      <c r="D199" s="256">
        <v>45001</v>
      </c>
      <c r="E199" s="257" t="s">
        <v>1822</v>
      </c>
      <c r="F199" s="257" t="s">
        <v>1898</v>
      </c>
      <c r="G199" s="257" t="s">
        <v>1899</v>
      </c>
    </row>
    <row r="200" customHeight="1" spans="1:7">
      <c r="A200" s="255">
        <v>45013</v>
      </c>
      <c r="B200" s="230" t="s">
        <v>1900</v>
      </c>
      <c r="D200" s="256">
        <v>45001</v>
      </c>
      <c r="E200" s="257" t="s">
        <v>1822</v>
      </c>
      <c r="F200" s="257" t="s">
        <v>1901</v>
      </c>
      <c r="G200" s="257" t="s">
        <v>1902</v>
      </c>
    </row>
    <row r="201" customHeight="1" spans="1:7">
      <c r="A201" s="255">
        <v>52022</v>
      </c>
      <c r="B201" s="230" t="s">
        <v>1903</v>
      </c>
      <c r="D201" s="256">
        <v>45001</v>
      </c>
      <c r="E201" s="257" t="s">
        <v>1822</v>
      </c>
      <c r="F201" s="257" t="s">
        <v>1904</v>
      </c>
      <c r="G201" s="257" t="s">
        <v>1905</v>
      </c>
    </row>
    <row r="202" customHeight="1" spans="1:7">
      <c r="A202" s="255">
        <v>100004</v>
      </c>
      <c r="B202" s="230" t="s">
        <v>1906</v>
      </c>
      <c r="D202" s="256">
        <v>45001</v>
      </c>
      <c r="E202" s="257" t="s">
        <v>1822</v>
      </c>
      <c r="F202" s="257" t="s">
        <v>1907</v>
      </c>
      <c r="G202" s="257" t="s">
        <v>1908</v>
      </c>
    </row>
    <row r="203" customHeight="1" spans="1:7">
      <c r="A203" s="255">
        <v>50027</v>
      </c>
      <c r="B203" s="230" t="s">
        <v>1909</v>
      </c>
      <c r="D203" s="256">
        <v>45001</v>
      </c>
      <c r="E203" s="257" t="s">
        <v>1822</v>
      </c>
      <c r="F203" s="257" t="s">
        <v>1910</v>
      </c>
      <c r="G203" s="257" t="s">
        <v>1911</v>
      </c>
    </row>
    <row r="204" customHeight="1" spans="1:7">
      <c r="A204" s="255">
        <v>50028</v>
      </c>
      <c r="B204" s="230" t="s">
        <v>1912</v>
      </c>
      <c r="D204" s="256">
        <v>45001</v>
      </c>
      <c r="E204" s="257" t="s">
        <v>1822</v>
      </c>
      <c r="F204" s="257" t="s">
        <v>1913</v>
      </c>
      <c r="G204" s="257" t="s">
        <v>1914</v>
      </c>
    </row>
    <row r="205" customHeight="1" spans="1:7">
      <c r="A205" s="255">
        <v>48033</v>
      </c>
      <c r="B205" s="230" t="s">
        <v>1915</v>
      </c>
      <c r="D205" s="256">
        <v>51003</v>
      </c>
      <c r="E205" s="257" t="s">
        <v>1916</v>
      </c>
      <c r="F205" s="257" t="s">
        <v>1917</v>
      </c>
      <c r="G205" s="257" t="s">
        <v>1918</v>
      </c>
    </row>
    <row r="206" customHeight="1" spans="1:7">
      <c r="A206" s="255">
        <v>47016</v>
      </c>
      <c r="B206" s="230" t="s">
        <v>1919</v>
      </c>
      <c r="D206" s="256">
        <v>51003</v>
      </c>
      <c r="E206" s="257" t="s">
        <v>1916</v>
      </c>
      <c r="F206" s="257" t="s">
        <v>1920</v>
      </c>
      <c r="G206" s="257" t="s">
        <v>1921</v>
      </c>
    </row>
    <row r="207" customHeight="1" spans="1:7">
      <c r="A207" s="255">
        <v>50029</v>
      </c>
      <c r="B207" s="230" t="s">
        <v>1922</v>
      </c>
      <c r="D207" s="256">
        <v>51003</v>
      </c>
      <c r="E207" s="257" t="s">
        <v>1916</v>
      </c>
      <c r="F207" s="257" t="s">
        <v>1923</v>
      </c>
      <c r="G207" s="257" t="s">
        <v>1924</v>
      </c>
    </row>
    <row r="208" customHeight="1" spans="1:7">
      <c r="A208" s="255">
        <v>45014</v>
      </c>
      <c r="B208" s="230" t="s">
        <v>1925</v>
      </c>
      <c r="D208" s="256">
        <v>51003</v>
      </c>
      <c r="E208" s="257" t="s">
        <v>1916</v>
      </c>
      <c r="F208" s="257" t="s">
        <v>1926</v>
      </c>
      <c r="G208" s="257" t="s">
        <v>1927</v>
      </c>
    </row>
    <row r="209" customHeight="1" spans="1:7">
      <c r="A209" s="255">
        <v>51031</v>
      </c>
      <c r="B209" s="230" t="s">
        <v>1928</v>
      </c>
      <c r="D209" s="256">
        <v>51003</v>
      </c>
      <c r="E209" s="257" t="s">
        <v>1916</v>
      </c>
      <c r="F209" s="257" t="s">
        <v>1929</v>
      </c>
      <c r="G209" s="257" t="s">
        <v>1930</v>
      </c>
    </row>
    <row r="210" customHeight="1" spans="1:7">
      <c r="A210" s="255">
        <v>46026</v>
      </c>
      <c r="B210" s="230" t="s">
        <v>1931</v>
      </c>
      <c r="D210" s="256">
        <v>51003</v>
      </c>
      <c r="E210" s="257" t="s">
        <v>1916</v>
      </c>
      <c r="F210" s="257" t="s">
        <v>1932</v>
      </c>
      <c r="G210" s="257" t="s">
        <v>1933</v>
      </c>
    </row>
    <row r="211" customHeight="1" spans="1:7">
      <c r="A211" s="255">
        <v>49013</v>
      </c>
      <c r="B211" s="230" t="s">
        <v>1934</v>
      </c>
      <c r="D211" s="256">
        <v>51003</v>
      </c>
      <c r="E211" s="257" t="s">
        <v>1916</v>
      </c>
      <c r="F211" s="257" t="s">
        <v>1935</v>
      </c>
      <c r="G211" s="257" t="s">
        <v>1936</v>
      </c>
    </row>
    <row r="212" customHeight="1" spans="1:7">
      <c r="A212" s="255">
        <v>49014</v>
      </c>
      <c r="B212" s="230" t="s">
        <v>1937</v>
      </c>
      <c r="D212" s="256">
        <v>51003</v>
      </c>
      <c r="E212" s="257" t="s">
        <v>1916</v>
      </c>
      <c r="F212" s="257" t="s">
        <v>1938</v>
      </c>
      <c r="G212" s="257" t="s">
        <v>1939</v>
      </c>
    </row>
    <row r="213" customHeight="1" spans="1:7">
      <c r="A213" s="255">
        <v>100005</v>
      </c>
      <c r="B213" s="230" t="s">
        <v>1940</v>
      </c>
      <c r="D213" s="256">
        <v>51003</v>
      </c>
      <c r="E213" s="257" t="s">
        <v>1916</v>
      </c>
      <c r="F213" s="257" t="s">
        <v>1941</v>
      </c>
      <c r="G213" s="257" t="s">
        <v>1942</v>
      </c>
    </row>
    <row r="214" customHeight="1" spans="1:7">
      <c r="A214" s="255">
        <v>51032</v>
      </c>
      <c r="B214" s="230" t="s">
        <v>1943</v>
      </c>
      <c r="D214" s="256">
        <v>51003</v>
      </c>
      <c r="E214" s="257" t="s">
        <v>1916</v>
      </c>
      <c r="F214" s="257" t="s">
        <v>1944</v>
      </c>
      <c r="G214" s="257" t="s">
        <v>1945</v>
      </c>
    </row>
    <row r="215" customHeight="1" spans="1:7">
      <c r="A215" s="255">
        <v>51041</v>
      </c>
      <c r="B215" s="230" t="s">
        <v>1946</v>
      </c>
      <c r="D215" s="256">
        <v>51003</v>
      </c>
      <c r="E215" s="257" t="s">
        <v>1916</v>
      </c>
      <c r="F215" s="257" t="s">
        <v>1947</v>
      </c>
      <c r="G215" s="257" t="s">
        <v>1948</v>
      </c>
    </row>
    <row r="216" customHeight="1" spans="1:7">
      <c r="A216" s="255">
        <v>47017</v>
      </c>
      <c r="B216" s="230" t="s">
        <v>1949</v>
      </c>
      <c r="D216" s="256">
        <v>51003</v>
      </c>
      <c r="E216" s="257" t="s">
        <v>1916</v>
      </c>
      <c r="F216" s="257" t="s">
        <v>1950</v>
      </c>
      <c r="G216" s="257" t="s">
        <v>1951</v>
      </c>
    </row>
    <row r="217" customHeight="1" spans="1:7">
      <c r="A217" s="255">
        <v>52023</v>
      </c>
      <c r="B217" s="230" t="s">
        <v>1952</v>
      </c>
      <c r="D217" s="256">
        <v>51003</v>
      </c>
      <c r="E217" s="257" t="s">
        <v>1916</v>
      </c>
      <c r="F217" s="257" t="s">
        <v>1953</v>
      </c>
      <c r="G217" s="257" t="s">
        <v>1954</v>
      </c>
    </row>
    <row r="218" customHeight="1" spans="1:7">
      <c r="A218" s="255">
        <v>52024</v>
      </c>
      <c r="B218" s="230" t="s">
        <v>1955</v>
      </c>
      <c r="D218" s="256">
        <v>51003</v>
      </c>
      <c r="E218" s="257" t="s">
        <v>1916</v>
      </c>
      <c r="F218" s="257" t="s">
        <v>1956</v>
      </c>
      <c r="G218" s="257" t="s">
        <v>1957</v>
      </c>
    </row>
    <row r="219" customHeight="1" spans="1:7">
      <c r="A219" s="255">
        <v>52025</v>
      </c>
      <c r="B219" s="230" t="s">
        <v>1958</v>
      </c>
      <c r="D219" s="256">
        <v>51003</v>
      </c>
      <c r="E219" s="257" t="s">
        <v>1916</v>
      </c>
      <c r="F219" s="257" t="s">
        <v>1959</v>
      </c>
      <c r="G219" s="257" t="s">
        <v>1960</v>
      </c>
    </row>
    <row r="220" customHeight="1" spans="1:7">
      <c r="A220" s="255">
        <v>52026</v>
      </c>
      <c r="B220" s="230" t="s">
        <v>1961</v>
      </c>
      <c r="D220" s="256">
        <v>51003</v>
      </c>
      <c r="E220" s="257" t="s">
        <v>1916</v>
      </c>
      <c r="F220" s="257" t="s">
        <v>1962</v>
      </c>
      <c r="G220" s="257" t="s">
        <v>1963</v>
      </c>
    </row>
    <row r="221" customHeight="1" spans="1:7">
      <c r="A221" s="255">
        <v>48035</v>
      </c>
      <c r="B221" s="230" t="s">
        <v>1964</v>
      </c>
      <c r="D221" s="256">
        <v>51003</v>
      </c>
      <c r="E221" s="257" t="s">
        <v>1916</v>
      </c>
      <c r="F221" s="257" t="s">
        <v>1965</v>
      </c>
      <c r="G221" s="257" t="s">
        <v>1966</v>
      </c>
    </row>
    <row r="222" customHeight="1" spans="1:7">
      <c r="A222" s="255">
        <v>48036</v>
      </c>
      <c r="B222" s="230" t="s">
        <v>1967</v>
      </c>
      <c r="D222" s="256">
        <v>51003</v>
      </c>
      <c r="E222" s="257" t="s">
        <v>1916</v>
      </c>
      <c r="F222" s="257" t="s">
        <v>1968</v>
      </c>
      <c r="G222" s="257" t="s">
        <v>1969</v>
      </c>
    </row>
    <row r="223" customHeight="1" spans="1:7">
      <c r="A223" s="255">
        <v>49015</v>
      </c>
      <c r="B223" s="230" t="s">
        <v>1970</v>
      </c>
      <c r="D223" s="256">
        <v>46002</v>
      </c>
      <c r="E223" s="257" t="s">
        <v>1971</v>
      </c>
      <c r="F223" s="257" t="s">
        <v>1972</v>
      </c>
      <c r="G223" s="257" t="s">
        <v>1973</v>
      </c>
    </row>
    <row r="224" customHeight="1" spans="1:7">
      <c r="A224" s="255">
        <v>49016</v>
      </c>
      <c r="B224" s="230" t="s">
        <v>1974</v>
      </c>
      <c r="D224" s="256">
        <v>46002</v>
      </c>
      <c r="E224" s="257" t="s">
        <v>1971</v>
      </c>
      <c r="F224" s="257" t="s">
        <v>1975</v>
      </c>
      <c r="G224" s="257" t="s">
        <v>1976</v>
      </c>
    </row>
    <row r="225" customHeight="1" spans="1:7">
      <c r="A225" s="255">
        <v>50030</v>
      </c>
      <c r="B225" s="230" t="s">
        <v>1977</v>
      </c>
      <c r="D225" s="256">
        <v>46002</v>
      </c>
      <c r="E225" s="257" t="s">
        <v>1971</v>
      </c>
      <c r="F225" s="257" t="s">
        <v>1978</v>
      </c>
      <c r="G225" s="257" t="s">
        <v>1979</v>
      </c>
    </row>
    <row r="226" customHeight="1" spans="1:7">
      <c r="A226" s="255">
        <v>53020</v>
      </c>
      <c r="B226" s="230" t="s">
        <v>1980</v>
      </c>
      <c r="D226" s="256">
        <v>46002</v>
      </c>
      <c r="E226" s="257" t="s">
        <v>1971</v>
      </c>
      <c r="F226" s="257" t="s">
        <v>1981</v>
      </c>
      <c r="G226" s="257" t="s">
        <v>1982</v>
      </c>
    </row>
    <row r="227" customHeight="1" spans="1:7">
      <c r="A227" s="255">
        <v>53021</v>
      </c>
      <c r="B227" s="230" t="s">
        <v>1983</v>
      </c>
      <c r="D227" s="256">
        <v>46002</v>
      </c>
      <c r="E227" s="257" t="s">
        <v>1971</v>
      </c>
      <c r="F227" s="257" t="s">
        <v>1984</v>
      </c>
      <c r="G227" s="257" t="s">
        <v>1985</v>
      </c>
    </row>
    <row r="228" customHeight="1" spans="1:7">
      <c r="A228" s="255">
        <v>49017</v>
      </c>
      <c r="B228" s="230" t="s">
        <v>1986</v>
      </c>
      <c r="D228" s="256">
        <v>46002</v>
      </c>
      <c r="E228" s="257" t="s">
        <v>1971</v>
      </c>
      <c r="F228" s="257" t="s">
        <v>1987</v>
      </c>
      <c r="G228" s="257" t="s">
        <v>1988</v>
      </c>
    </row>
    <row r="229" customHeight="1" spans="1:7">
      <c r="A229" s="255">
        <v>48037</v>
      </c>
      <c r="B229" s="230" t="s">
        <v>1989</v>
      </c>
      <c r="D229" s="256">
        <v>46002</v>
      </c>
      <c r="E229" s="257" t="s">
        <v>1971</v>
      </c>
      <c r="F229" s="257" t="s">
        <v>1990</v>
      </c>
      <c r="G229" s="257" t="s">
        <v>1991</v>
      </c>
    </row>
    <row r="230" customHeight="1" spans="1:7">
      <c r="A230" s="255">
        <v>47018</v>
      </c>
      <c r="B230" s="230" t="s">
        <v>1992</v>
      </c>
      <c r="D230" s="256">
        <v>46002</v>
      </c>
      <c r="E230" s="257" t="s">
        <v>1971</v>
      </c>
      <c r="F230" s="257" t="s">
        <v>1993</v>
      </c>
      <c r="G230" s="257" t="s">
        <v>1994</v>
      </c>
    </row>
    <row r="231" customHeight="1" spans="1:7">
      <c r="A231" s="255">
        <v>52027</v>
      </c>
      <c r="B231" s="230" t="s">
        <v>1995</v>
      </c>
      <c r="D231" s="256">
        <v>46002</v>
      </c>
      <c r="E231" s="257" t="s">
        <v>1971</v>
      </c>
      <c r="F231" s="257" t="s">
        <v>1996</v>
      </c>
      <c r="G231" s="257" t="s">
        <v>1997</v>
      </c>
    </row>
    <row r="232" customHeight="1" spans="1:7">
      <c r="A232" s="255">
        <v>48038</v>
      </c>
      <c r="B232" s="230" t="s">
        <v>1998</v>
      </c>
      <c r="D232" s="256">
        <v>46002</v>
      </c>
      <c r="E232" s="257" t="s">
        <v>1971</v>
      </c>
      <c r="F232" s="257" t="s">
        <v>1999</v>
      </c>
      <c r="G232" s="257" t="s">
        <v>2000</v>
      </c>
    </row>
    <row r="233" customHeight="1" spans="1:7">
      <c r="A233" s="255">
        <v>52028</v>
      </c>
      <c r="B233" s="230" t="s">
        <v>2001</v>
      </c>
      <c r="D233" s="256">
        <v>46002</v>
      </c>
      <c r="E233" s="257" t="s">
        <v>1971</v>
      </c>
      <c r="F233" s="257" t="s">
        <v>2002</v>
      </c>
      <c r="G233" s="257" t="s">
        <v>2003</v>
      </c>
    </row>
    <row r="234" customHeight="1" spans="1:7">
      <c r="A234" s="255">
        <v>52029</v>
      </c>
      <c r="B234" s="230" t="s">
        <v>2004</v>
      </c>
      <c r="D234" s="256">
        <v>46002</v>
      </c>
      <c r="E234" s="257" t="s">
        <v>1971</v>
      </c>
      <c r="F234" s="257" t="s">
        <v>2005</v>
      </c>
      <c r="G234" s="257" t="s">
        <v>2006</v>
      </c>
    </row>
    <row r="235" customHeight="1" spans="1:7">
      <c r="A235" s="255">
        <v>51033</v>
      </c>
      <c r="B235" s="230" t="s">
        <v>2007</v>
      </c>
      <c r="D235" s="256">
        <v>46002</v>
      </c>
      <c r="E235" s="257" t="s">
        <v>1971</v>
      </c>
      <c r="F235" s="257" t="s">
        <v>2008</v>
      </c>
      <c r="G235" s="257" t="s">
        <v>2009</v>
      </c>
    </row>
    <row r="236" customHeight="1" spans="1:7">
      <c r="A236" s="255">
        <v>50031</v>
      </c>
      <c r="B236" s="230" t="s">
        <v>2010</v>
      </c>
      <c r="D236" s="256">
        <v>46002</v>
      </c>
      <c r="E236" s="257" t="s">
        <v>1971</v>
      </c>
      <c r="F236" s="257" t="s">
        <v>2011</v>
      </c>
      <c r="G236" s="257" t="s">
        <v>2012</v>
      </c>
    </row>
    <row r="237" customHeight="1" spans="1:7">
      <c r="A237" s="255">
        <v>48039</v>
      </c>
      <c r="B237" s="230" t="s">
        <v>2013</v>
      </c>
      <c r="D237" s="256">
        <v>46002</v>
      </c>
      <c r="E237" s="257" t="s">
        <v>1971</v>
      </c>
      <c r="F237" s="257" t="s">
        <v>2014</v>
      </c>
      <c r="G237" s="257" t="s">
        <v>2015</v>
      </c>
    </row>
    <row r="238" customHeight="1" spans="1:7">
      <c r="A238" s="255">
        <v>47019</v>
      </c>
      <c r="B238" s="230" t="s">
        <v>2016</v>
      </c>
      <c r="D238" s="256">
        <v>46002</v>
      </c>
      <c r="E238" s="257" t="s">
        <v>1971</v>
      </c>
      <c r="F238" s="257" t="s">
        <v>2017</v>
      </c>
      <c r="G238" s="257" t="s">
        <v>2018</v>
      </c>
    </row>
    <row r="239" customHeight="1" spans="1:7">
      <c r="A239" s="255">
        <v>50032</v>
      </c>
      <c r="B239" s="230" t="s">
        <v>2019</v>
      </c>
      <c r="D239" s="256">
        <v>46002</v>
      </c>
      <c r="E239" s="257" t="s">
        <v>1971</v>
      </c>
      <c r="F239" s="257" t="s">
        <v>2020</v>
      </c>
      <c r="G239" s="257" t="s">
        <v>2021</v>
      </c>
    </row>
    <row r="240" customHeight="1" spans="1:7">
      <c r="A240" s="255">
        <v>48040</v>
      </c>
      <c r="B240" s="230" t="s">
        <v>2022</v>
      </c>
      <c r="D240" s="256">
        <v>46002</v>
      </c>
      <c r="E240" s="257" t="s">
        <v>1971</v>
      </c>
      <c r="F240" s="257" t="s">
        <v>2023</v>
      </c>
      <c r="G240" s="257" t="s">
        <v>2024</v>
      </c>
    </row>
    <row r="241" customHeight="1" spans="1:7">
      <c r="A241" s="255">
        <v>52030</v>
      </c>
      <c r="B241" s="230" t="s">
        <v>2025</v>
      </c>
      <c r="D241" s="256">
        <v>46002</v>
      </c>
      <c r="E241" s="257" t="s">
        <v>1971</v>
      </c>
      <c r="F241" s="257" t="s">
        <v>2026</v>
      </c>
      <c r="G241" s="257" t="s">
        <v>2027</v>
      </c>
    </row>
    <row r="242" customHeight="1" spans="1:7">
      <c r="A242" s="255">
        <v>46027</v>
      </c>
      <c r="B242" s="230" t="s">
        <v>2028</v>
      </c>
      <c r="D242" s="256">
        <v>46002</v>
      </c>
      <c r="E242" s="257" t="s">
        <v>1971</v>
      </c>
      <c r="F242" s="257" t="s">
        <v>2029</v>
      </c>
      <c r="G242" s="257" t="s">
        <v>2030</v>
      </c>
    </row>
    <row r="243" customHeight="1" spans="1:7">
      <c r="A243" s="255">
        <v>49018</v>
      </c>
      <c r="B243" s="230" t="s">
        <v>2031</v>
      </c>
      <c r="D243" s="256">
        <v>46002</v>
      </c>
      <c r="E243" s="257" t="s">
        <v>1971</v>
      </c>
      <c r="F243" s="257" t="s">
        <v>2032</v>
      </c>
      <c r="G243" s="257" t="s">
        <v>2033</v>
      </c>
    </row>
    <row r="244" customHeight="1" spans="1:7">
      <c r="A244" s="255">
        <v>51034</v>
      </c>
      <c r="B244" s="230" t="s">
        <v>2034</v>
      </c>
      <c r="D244" s="256">
        <v>46002</v>
      </c>
      <c r="E244" s="257" t="s">
        <v>1971</v>
      </c>
      <c r="F244" s="257" t="s">
        <v>2035</v>
      </c>
      <c r="G244" s="257" t="s">
        <v>2036</v>
      </c>
    </row>
    <row r="245" customHeight="1" spans="1:7">
      <c r="A245" s="255">
        <v>50033</v>
      </c>
      <c r="B245" s="230" t="s">
        <v>2037</v>
      </c>
      <c r="D245" s="256">
        <v>46002</v>
      </c>
      <c r="E245" s="257" t="s">
        <v>1971</v>
      </c>
      <c r="F245" s="257" t="s">
        <v>2038</v>
      </c>
      <c r="G245" s="257" t="s">
        <v>2039</v>
      </c>
    </row>
    <row r="246" customHeight="1" spans="1:7">
      <c r="A246" s="255">
        <v>53022</v>
      </c>
      <c r="B246" s="230" t="s">
        <v>2040</v>
      </c>
      <c r="D246" s="256">
        <v>46002</v>
      </c>
      <c r="E246" s="257" t="s">
        <v>1971</v>
      </c>
      <c r="F246" s="257" t="s">
        <v>2041</v>
      </c>
      <c r="G246" s="257" t="s">
        <v>2042</v>
      </c>
    </row>
    <row r="247" customHeight="1" spans="1:7">
      <c r="A247" s="255">
        <v>50034</v>
      </c>
      <c r="B247" s="230" t="s">
        <v>2043</v>
      </c>
      <c r="D247" s="256">
        <v>46002</v>
      </c>
      <c r="E247" s="257" t="s">
        <v>1971</v>
      </c>
      <c r="F247" s="257" t="s">
        <v>2044</v>
      </c>
      <c r="G247" s="257" t="s">
        <v>2045</v>
      </c>
    </row>
    <row r="248" customHeight="1" spans="1:7">
      <c r="A248" s="255">
        <v>50035</v>
      </c>
      <c r="B248" s="230" t="s">
        <v>2046</v>
      </c>
      <c r="D248" s="256">
        <v>46002</v>
      </c>
      <c r="E248" s="257" t="s">
        <v>1971</v>
      </c>
      <c r="F248" s="257" t="s">
        <v>2047</v>
      </c>
      <c r="G248" s="257" t="s">
        <v>2048</v>
      </c>
    </row>
    <row r="249" customHeight="1" spans="1:7">
      <c r="A249" s="255">
        <v>52031</v>
      </c>
      <c r="B249" s="230" t="s">
        <v>2049</v>
      </c>
      <c r="D249" s="256">
        <v>46002</v>
      </c>
      <c r="E249" s="257" t="s">
        <v>1971</v>
      </c>
      <c r="F249" s="257" t="s">
        <v>2050</v>
      </c>
      <c r="G249" s="257" t="s">
        <v>2051</v>
      </c>
    </row>
    <row r="250" customHeight="1" spans="1:7">
      <c r="A250" s="255">
        <v>49019</v>
      </c>
      <c r="B250" s="230" t="s">
        <v>2052</v>
      </c>
      <c r="D250" s="256">
        <v>46002</v>
      </c>
      <c r="E250" s="257" t="s">
        <v>1971</v>
      </c>
      <c r="F250" s="257" t="s">
        <v>2053</v>
      </c>
      <c r="G250" s="257" t="s">
        <v>1741</v>
      </c>
    </row>
    <row r="251" customHeight="1" spans="1:7">
      <c r="A251" s="255">
        <v>48041</v>
      </c>
      <c r="B251" s="230" t="s">
        <v>2054</v>
      </c>
      <c r="D251" s="256">
        <v>46002</v>
      </c>
      <c r="E251" s="257" t="s">
        <v>1971</v>
      </c>
      <c r="F251" s="257" t="s">
        <v>2055</v>
      </c>
      <c r="G251" s="257" t="s">
        <v>2056</v>
      </c>
    </row>
    <row r="252" customHeight="1" spans="1:7">
      <c r="A252" s="255">
        <v>53023</v>
      </c>
      <c r="B252" s="230" t="s">
        <v>2057</v>
      </c>
      <c r="D252" s="256">
        <v>46002</v>
      </c>
      <c r="E252" s="257" t="s">
        <v>1971</v>
      </c>
      <c r="F252" s="257" t="s">
        <v>2058</v>
      </c>
      <c r="G252" s="257" t="s">
        <v>2059</v>
      </c>
    </row>
    <row r="253" customHeight="1" spans="1:7">
      <c r="A253" s="255">
        <v>53024</v>
      </c>
      <c r="B253" s="230" t="s">
        <v>2060</v>
      </c>
      <c r="D253" s="256">
        <v>46002</v>
      </c>
      <c r="E253" s="257" t="s">
        <v>1971</v>
      </c>
      <c r="F253" s="257" t="s">
        <v>2061</v>
      </c>
      <c r="G253" s="257" t="s">
        <v>2062</v>
      </c>
    </row>
    <row r="254" customHeight="1" spans="1:7">
      <c r="A254" s="255">
        <v>48042</v>
      </c>
      <c r="B254" s="230" t="s">
        <v>2063</v>
      </c>
      <c r="D254" s="256">
        <v>46002</v>
      </c>
      <c r="E254" s="257" t="s">
        <v>1971</v>
      </c>
      <c r="F254" s="257" t="s">
        <v>2064</v>
      </c>
      <c r="G254" s="257" t="s">
        <v>2065</v>
      </c>
    </row>
    <row r="255" customHeight="1" spans="1:7">
      <c r="A255" s="255">
        <v>53025</v>
      </c>
      <c r="B255" s="230" t="s">
        <v>2066</v>
      </c>
      <c r="D255" s="256">
        <v>46002</v>
      </c>
      <c r="E255" s="257" t="s">
        <v>1971</v>
      </c>
      <c r="F255" s="257" t="s">
        <v>2067</v>
      </c>
      <c r="G255" s="257" t="s">
        <v>2068</v>
      </c>
    </row>
    <row r="256" customHeight="1" spans="1:7">
      <c r="A256" s="255">
        <v>53028</v>
      </c>
      <c r="B256" s="230" t="s">
        <v>2069</v>
      </c>
      <c r="D256" s="256">
        <v>48001</v>
      </c>
      <c r="E256" s="257" t="s">
        <v>2070</v>
      </c>
      <c r="F256" s="257" t="s">
        <v>2071</v>
      </c>
      <c r="G256" s="257" t="s">
        <v>2072</v>
      </c>
    </row>
    <row r="257" customHeight="1" spans="1:7">
      <c r="A257" s="255">
        <v>46028</v>
      </c>
      <c r="B257" s="230" t="s">
        <v>2073</v>
      </c>
      <c r="D257" s="256">
        <v>48001</v>
      </c>
      <c r="E257" s="257" t="s">
        <v>2070</v>
      </c>
      <c r="F257" s="257" t="s">
        <v>2074</v>
      </c>
      <c r="G257" s="257" t="s">
        <v>2075</v>
      </c>
    </row>
    <row r="258" customHeight="1" spans="1:7">
      <c r="A258" s="255">
        <v>47020</v>
      </c>
      <c r="B258" s="230" t="s">
        <v>2076</v>
      </c>
      <c r="D258" s="256">
        <v>48001</v>
      </c>
      <c r="E258" s="257" t="s">
        <v>2070</v>
      </c>
      <c r="F258" s="257" t="s">
        <v>2077</v>
      </c>
      <c r="G258" s="257" t="s">
        <v>2078</v>
      </c>
    </row>
    <row r="259" customHeight="1" spans="1:7">
      <c r="A259" s="255">
        <v>51035</v>
      </c>
      <c r="B259" s="230" t="s">
        <v>2079</v>
      </c>
      <c r="D259" s="256">
        <v>48001</v>
      </c>
      <c r="E259" s="257" t="s">
        <v>2070</v>
      </c>
      <c r="F259" s="257" t="s">
        <v>2080</v>
      </c>
      <c r="G259" s="257" t="s">
        <v>2081</v>
      </c>
    </row>
    <row r="260" customHeight="1" spans="1:7">
      <c r="A260" s="255">
        <v>48043</v>
      </c>
      <c r="B260" s="230" t="s">
        <v>2082</v>
      </c>
      <c r="D260" s="256">
        <v>48001</v>
      </c>
      <c r="E260" s="257" t="s">
        <v>2070</v>
      </c>
      <c r="F260" s="257" t="s">
        <v>2083</v>
      </c>
      <c r="G260" s="257" t="s">
        <v>2084</v>
      </c>
    </row>
    <row r="261" customHeight="1" spans="1:7">
      <c r="A261" s="255">
        <v>52032</v>
      </c>
      <c r="B261" s="230" t="s">
        <v>2085</v>
      </c>
      <c r="D261" s="256">
        <v>48001</v>
      </c>
      <c r="E261" s="257" t="s">
        <v>2070</v>
      </c>
      <c r="F261" s="257" t="s">
        <v>2086</v>
      </c>
      <c r="G261" s="257" t="s">
        <v>2087</v>
      </c>
    </row>
    <row r="262" customHeight="1" spans="1:7">
      <c r="A262" s="255">
        <v>48044</v>
      </c>
      <c r="B262" s="230" t="s">
        <v>2088</v>
      </c>
      <c r="D262" s="256">
        <v>48001</v>
      </c>
      <c r="E262" s="257" t="s">
        <v>2070</v>
      </c>
      <c r="F262" s="257" t="s">
        <v>2089</v>
      </c>
      <c r="G262" s="257" t="s">
        <v>2090</v>
      </c>
    </row>
    <row r="263" customHeight="1" spans="1:7">
      <c r="A263" s="255">
        <v>46029</v>
      </c>
      <c r="B263" s="230" t="s">
        <v>2091</v>
      </c>
      <c r="D263" s="256">
        <v>48001</v>
      </c>
      <c r="E263" s="257" t="s">
        <v>2070</v>
      </c>
      <c r="F263" s="257" t="s">
        <v>2092</v>
      </c>
      <c r="G263" s="257" t="s">
        <v>2093</v>
      </c>
    </row>
    <row r="264" customHeight="1" spans="1:7">
      <c r="A264" s="255">
        <v>52033</v>
      </c>
      <c r="B264" s="230" t="s">
        <v>2094</v>
      </c>
      <c r="D264" s="256">
        <v>48001</v>
      </c>
      <c r="E264" s="257" t="s">
        <v>2070</v>
      </c>
      <c r="F264" s="257" t="s">
        <v>2095</v>
      </c>
      <c r="G264" s="257" t="s">
        <v>2096</v>
      </c>
    </row>
    <row r="265" customHeight="1" spans="1:7">
      <c r="A265" s="255">
        <v>53026</v>
      </c>
      <c r="B265" s="230" t="s">
        <v>2097</v>
      </c>
      <c r="D265" s="256">
        <v>48001</v>
      </c>
      <c r="E265" s="257" t="s">
        <v>2070</v>
      </c>
      <c r="F265" s="257" t="s">
        <v>2098</v>
      </c>
      <c r="G265" s="257" t="s">
        <v>2099</v>
      </c>
    </row>
    <row r="266" customHeight="1" spans="1:7">
      <c r="A266" s="255">
        <v>52034</v>
      </c>
      <c r="B266" s="230" t="s">
        <v>2100</v>
      </c>
      <c r="D266" s="256">
        <v>48001</v>
      </c>
      <c r="E266" s="257" t="s">
        <v>2070</v>
      </c>
      <c r="F266" s="257" t="s">
        <v>2101</v>
      </c>
      <c r="G266" s="257" t="s">
        <v>2102</v>
      </c>
    </row>
    <row r="267" customHeight="1" spans="1:7">
      <c r="A267" s="255">
        <v>46030</v>
      </c>
      <c r="B267" s="230" t="s">
        <v>2103</v>
      </c>
      <c r="D267" s="256">
        <v>48001</v>
      </c>
      <c r="E267" s="257" t="s">
        <v>2070</v>
      </c>
      <c r="F267" s="257" t="s">
        <v>2104</v>
      </c>
      <c r="G267" s="257" t="s">
        <v>2105</v>
      </c>
    </row>
    <row r="268" customHeight="1" spans="1:7">
      <c r="A268" s="255">
        <v>51036</v>
      </c>
      <c r="B268" s="230" t="s">
        <v>2106</v>
      </c>
      <c r="D268" s="256">
        <v>48001</v>
      </c>
      <c r="E268" s="257" t="s">
        <v>2070</v>
      </c>
      <c r="F268" s="257" t="s">
        <v>2107</v>
      </c>
      <c r="G268" s="257" t="s">
        <v>2108</v>
      </c>
    </row>
    <row r="269" customHeight="1" spans="1:7">
      <c r="A269" s="255">
        <v>51037</v>
      </c>
      <c r="B269" s="230" t="s">
        <v>2109</v>
      </c>
      <c r="D269" s="256">
        <v>48001</v>
      </c>
      <c r="E269" s="257" t="s">
        <v>2070</v>
      </c>
      <c r="F269" s="257" t="s">
        <v>2110</v>
      </c>
      <c r="G269" s="257" t="s">
        <v>2111</v>
      </c>
    </row>
    <row r="270" customHeight="1" spans="1:7">
      <c r="A270" s="255">
        <v>49020</v>
      </c>
      <c r="B270" s="230" t="s">
        <v>2112</v>
      </c>
      <c r="D270" s="256">
        <v>48001</v>
      </c>
      <c r="E270" s="257" t="s">
        <v>2070</v>
      </c>
      <c r="F270" s="257" t="s">
        <v>2113</v>
      </c>
      <c r="G270" s="257" t="s">
        <v>2114</v>
      </c>
    </row>
    <row r="271" customHeight="1" spans="1:7">
      <c r="A271" s="255">
        <v>51038</v>
      </c>
      <c r="B271" s="230" t="s">
        <v>2115</v>
      </c>
      <c r="D271" s="256">
        <v>48001</v>
      </c>
      <c r="E271" s="257" t="s">
        <v>2070</v>
      </c>
      <c r="F271" s="257" t="s">
        <v>2116</v>
      </c>
      <c r="G271" s="257" t="s">
        <v>2117</v>
      </c>
    </row>
    <row r="272" customHeight="1" spans="1:7">
      <c r="A272" s="255">
        <v>48045</v>
      </c>
      <c r="B272" s="230" t="s">
        <v>2118</v>
      </c>
      <c r="D272" s="256">
        <v>48001</v>
      </c>
      <c r="E272" s="257" t="s">
        <v>2070</v>
      </c>
      <c r="F272" s="257" t="s">
        <v>2119</v>
      </c>
      <c r="G272" s="257" t="s">
        <v>2120</v>
      </c>
    </row>
    <row r="273" customHeight="1" spans="1:7">
      <c r="A273" s="255">
        <v>51039</v>
      </c>
      <c r="B273" s="230" t="s">
        <v>2121</v>
      </c>
      <c r="D273" s="256">
        <v>48001</v>
      </c>
      <c r="E273" s="257" t="s">
        <v>2070</v>
      </c>
      <c r="F273" s="257" t="s">
        <v>2122</v>
      </c>
      <c r="G273" s="257" t="s">
        <v>2123</v>
      </c>
    </row>
    <row r="274" customHeight="1" spans="1:7">
      <c r="A274" s="255">
        <v>50036</v>
      </c>
      <c r="B274" s="230" t="s">
        <v>2124</v>
      </c>
      <c r="D274" s="256">
        <v>48001</v>
      </c>
      <c r="E274" s="257" t="s">
        <v>2070</v>
      </c>
      <c r="F274" s="257" t="s">
        <v>2125</v>
      </c>
      <c r="G274" s="257" t="s">
        <v>2126</v>
      </c>
    </row>
    <row r="275" customHeight="1" spans="1:7">
      <c r="A275" s="255">
        <v>52035</v>
      </c>
      <c r="B275" s="230" t="s">
        <v>2127</v>
      </c>
      <c r="D275" s="256">
        <v>48001</v>
      </c>
      <c r="E275" s="257" t="s">
        <v>2070</v>
      </c>
      <c r="F275" s="257" t="s">
        <v>2128</v>
      </c>
      <c r="G275" s="257" t="s">
        <v>2129</v>
      </c>
    </row>
    <row r="276" customHeight="1" spans="1:7">
      <c r="A276" s="255">
        <v>52036</v>
      </c>
      <c r="B276" s="230" t="s">
        <v>2130</v>
      </c>
      <c r="D276" s="256">
        <v>48001</v>
      </c>
      <c r="E276" s="257" t="s">
        <v>2070</v>
      </c>
      <c r="F276" s="257" t="s">
        <v>2131</v>
      </c>
      <c r="G276" s="257" t="s">
        <v>1702</v>
      </c>
    </row>
    <row r="277" customHeight="1" spans="1:7">
      <c r="A277" s="255">
        <v>45015</v>
      </c>
      <c r="B277" s="230" t="s">
        <v>2132</v>
      </c>
      <c r="D277" s="256">
        <v>48001</v>
      </c>
      <c r="E277" s="257" t="s">
        <v>2070</v>
      </c>
      <c r="F277" s="257" t="s">
        <v>2133</v>
      </c>
      <c r="G277" s="257" t="s">
        <v>2134</v>
      </c>
    </row>
    <row r="278" customHeight="1" spans="1:7">
      <c r="A278" s="255">
        <v>47021</v>
      </c>
      <c r="B278" s="230" t="s">
        <v>2135</v>
      </c>
      <c r="D278" s="256">
        <v>48001</v>
      </c>
      <c r="E278" s="257" t="s">
        <v>2070</v>
      </c>
      <c r="F278" s="257" t="s">
        <v>2136</v>
      </c>
      <c r="G278" s="257" t="s">
        <v>2137</v>
      </c>
    </row>
    <row r="279" customHeight="1" spans="1:7">
      <c r="A279" s="255">
        <v>46031</v>
      </c>
      <c r="B279" s="230" t="s">
        <v>2138</v>
      </c>
      <c r="D279" s="256">
        <v>48001</v>
      </c>
      <c r="E279" s="257" t="s">
        <v>2070</v>
      </c>
      <c r="F279" s="257" t="s">
        <v>2139</v>
      </c>
      <c r="G279" s="257" t="s">
        <v>2140</v>
      </c>
    </row>
    <row r="280" customHeight="1" spans="1:7">
      <c r="A280" s="255">
        <v>48046</v>
      </c>
      <c r="B280" s="230" t="s">
        <v>2141</v>
      </c>
      <c r="D280" s="256">
        <v>48001</v>
      </c>
      <c r="E280" s="257" t="s">
        <v>2070</v>
      </c>
      <c r="F280" s="257" t="s">
        <v>2142</v>
      </c>
      <c r="G280" s="257" t="s">
        <v>2143</v>
      </c>
    </row>
    <row r="281" customHeight="1" spans="1:7">
      <c r="A281" s="255">
        <v>100006</v>
      </c>
      <c r="B281" s="230" t="s">
        <v>2144</v>
      </c>
      <c r="D281" s="256">
        <v>48001</v>
      </c>
      <c r="E281" s="257" t="s">
        <v>2070</v>
      </c>
      <c r="F281" s="257" t="s">
        <v>2145</v>
      </c>
      <c r="G281" s="257" t="s">
        <v>2146</v>
      </c>
    </row>
    <row r="282" customHeight="1" spans="1:7">
      <c r="A282" s="255">
        <v>50037</v>
      </c>
      <c r="B282" s="230" t="s">
        <v>2147</v>
      </c>
      <c r="D282" s="256">
        <v>48001</v>
      </c>
      <c r="E282" s="257" t="s">
        <v>2070</v>
      </c>
      <c r="F282" s="257" t="s">
        <v>2148</v>
      </c>
      <c r="G282" s="257" t="s">
        <v>2149</v>
      </c>
    </row>
    <row r="283" customHeight="1" spans="1:7">
      <c r="A283" s="255">
        <v>46032</v>
      </c>
      <c r="B283" s="230" t="s">
        <v>2150</v>
      </c>
      <c r="D283" s="256">
        <v>48001</v>
      </c>
      <c r="E283" s="257" t="s">
        <v>2070</v>
      </c>
      <c r="F283" s="257" t="s">
        <v>2151</v>
      </c>
      <c r="G283" s="257" t="s">
        <v>2152</v>
      </c>
    </row>
    <row r="284" customHeight="1" spans="1:7">
      <c r="A284" s="255">
        <v>100007</v>
      </c>
      <c r="B284" s="230" t="s">
        <v>2153</v>
      </c>
      <c r="D284" s="256">
        <v>48001</v>
      </c>
      <c r="E284" s="257" t="s">
        <v>2070</v>
      </c>
      <c r="F284" s="257" t="s">
        <v>2154</v>
      </c>
      <c r="G284" s="257" t="s">
        <v>2155</v>
      </c>
    </row>
    <row r="285" customHeight="1" spans="1:7">
      <c r="A285" s="255">
        <v>46033</v>
      </c>
      <c r="B285" s="230" t="s">
        <v>2156</v>
      </c>
      <c r="D285" s="256">
        <v>48001</v>
      </c>
      <c r="E285" s="257" t="s">
        <v>2070</v>
      </c>
      <c r="F285" s="257" t="s">
        <v>2157</v>
      </c>
      <c r="G285" s="257" t="s">
        <v>2158</v>
      </c>
    </row>
    <row r="286" customHeight="1" spans="1:7">
      <c r="A286" s="255">
        <v>48049</v>
      </c>
      <c r="B286" s="230" t="s">
        <v>2159</v>
      </c>
      <c r="D286" s="256">
        <v>48001</v>
      </c>
      <c r="E286" s="257" t="s">
        <v>2070</v>
      </c>
      <c r="F286" s="257" t="s">
        <v>2160</v>
      </c>
      <c r="G286" s="257" t="s">
        <v>2161</v>
      </c>
    </row>
    <row r="287" customHeight="1" spans="1:7">
      <c r="A287" s="255">
        <v>50038</v>
      </c>
      <c r="B287" s="230" t="s">
        <v>2162</v>
      </c>
      <c r="D287" s="256">
        <v>48001</v>
      </c>
      <c r="E287" s="257" t="s">
        <v>2070</v>
      </c>
      <c r="F287" s="257" t="s">
        <v>2163</v>
      </c>
      <c r="G287" s="257" t="s">
        <v>2164</v>
      </c>
    </row>
    <row r="288" customHeight="1" spans="1:7">
      <c r="A288" s="255">
        <v>46034</v>
      </c>
      <c r="B288" s="230" t="s">
        <v>2165</v>
      </c>
      <c r="D288" s="256">
        <v>48001</v>
      </c>
      <c r="E288" s="257" t="s">
        <v>2070</v>
      </c>
      <c r="F288" s="257" t="s">
        <v>2166</v>
      </c>
      <c r="G288" s="257" t="s">
        <v>2167</v>
      </c>
    </row>
    <row r="289" customHeight="1" spans="1:7">
      <c r="A289" s="255">
        <v>46035</v>
      </c>
      <c r="B289" s="230" t="s">
        <v>2168</v>
      </c>
      <c r="D289" s="256">
        <v>48001</v>
      </c>
      <c r="E289" s="257" t="s">
        <v>2070</v>
      </c>
      <c r="F289" s="257" t="s">
        <v>2169</v>
      </c>
      <c r="G289" s="257" t="s">
        <v>2170</v>
      </c>
    </row>
    <row r="290" customHeight="1" spans="1:7">
      <c r="A290" s="255">
        <v>45016</v>
      </c>
      <c r="B290" s="230" t="s">
        <v>2171</v>
      </c>
      <c r="D290" s="256">
        <v>48001</v>
      </c>
      <c r="E290" s="257" t="s">
        <v>2070</v>
      </c>
      <c r="F290" s="257" t="s">
        <v>2172</v>
      </c>
      <c r="G290" s="257" t="s">
        <v>2173</v>
      </c>
    </row>
    <row r="291" customHeight="1" spans="1:7">
      <c r="A291" s="255">
        <v>48050</v>
      </c>
      <c r="B291" s="230" t="s">
        <v>2174</v>
      </c>
      <c r="D291" s="256">
        <v>48001</v>
      </c>
      <c r="E291" s="257" t="s">
        <v>2070</v>
      </c>
      <c r="F291" s="257" t="s">
        <v>2175</v>
      </c>
      <c r="G291" s="257" t="s">
        <v>2176</v>
      </c>
    </row>
    <row r="292" customHeight="1" spans="1:7">
      <c r="A292" s="255">
        <v>50039</v>
      </c>
      <c r="B292" s="230" t="s">
        <v>2177</v>
      </c>
      <c r="D292" s="256">
        <v>48001</v>
      </c>
      <c r="E292" s="257" t="s">
        <v>2070</v>
      </c>
      <c r="F292" s="257" t="s">
        <v>2178</v>
      </c>
      <c r="G292" s="257" t="s">
        <v>2179</v>
      </c>
    </row>
    <row r="293" customHeight="1" spans="1:7">
      <c r="A293" s="255">
        <v>45017</v>
      </c>
      <c r="B293" s="230" t="s">
        <v>2180</v>
      </c>
      <c r="D293" s="256">
        <v>48001</v>
      </c>
      <c r="E293" s="257" t="s">
        <v>2070</v>
      </c>
      <c r="F293" s="257" t="s">
        <v>2181</v>
      </c>
      <c r="G293" s="257" t="s">
        <v>2182</v>
      </c>
    </row>
    <row r="294" customHeight="1" spans="1:7">
      <c r="A294" s="255">
        <v>48052</v>
      </c>
      <c r="B294" s="230" t="s">
        <v>2183</v>
      </c>
      <c r="D294" s="256">
        <v>48001</v>
      </c>
      <c r="E294" s="257" t="s">
        <v>2070</v>
      </c>
      <c r="F294" s="257" t="s">
        <v>2184</v>
      </c>
      <c r="G294" s="257" t="s">
        <v>2185</v>
      </c>
    </row>
    <row r="295" customHeight="1" spans="1:7">
      <c r="A295" s="255">
        <v>51040</v>
      </c>
      <c r="B295" s="230" t="s">
        <v>2186</v>
      </c>
      <c r="D295" s="256">
        <v>48001</v>
      </c>
      <c r="E295" s="257" t="s">
        <v>2070</v>
      </c>
      <c r="F295" s="257" t="s">
        <v>2187</v>
      </c>
      <c r="G295" s="257" t="s">
        <v>2188</v>
      </c>
    </row>
    <row r="296" customHeight="1" spans="1:7">
      <c r="A296" s="255">
        <v>46036</v>
      </c>
      <c r="B296" s="230" t="s">
        <v>2189</v>
      </c>
      <c r="D296" s="256">
        <v>45002</v>
      </c>
      <c r="E296" s="257" t="s">
        <v>2190</v>
      </c>
      <c r="F296" s="257" t="s">
        <v>2191</v>
      </c>
      <c r="G296" s="257" t="s">
        <v>2192</v>
      </c>
    </row>
    <row r="297" customHeight="1" spans="1:7">
      <c r="A297" s="255">
        <v>48053</v>
      </c>
      <c r="B297" s="230" t="s">
        <v>2193</v>
      </c>
      <c r="D297" s="256">
        <v>45002</v>
      </c>
      <c r="E297" s="257" t="s">
        <v>2190</v>
      </c>
      <c r="F297" s="257" t="s">
        <v>2194</v>
      </c>
      <c r="G297" s="257" t="s">
        <v>2195</v>
      </c>
    </row>
    <row r="298" customHeight="1" spans="1:7">
      <c r="A298" s="255">
        <v>50040</v>
      </c>
      <c r="B298" s="230" t="s">
        <v>2196</v>
      </c>
      <c r="D298" s="256">
        <v>45002</v>
      </c>
      <c r="E298" s="257" t="s">
        <v>2190</v>
      </c>
      <c r="F298" s="257" t="s">
        <v>2197</v>
      </c>
      <c r="G298" s="257" t="s">
        <v>2198</v>
      </c>
    </row>
    <row r="299" customHeight="1" spans="1:7">
      <c r="A299" s="255">
        <v>50041</v>
      </c>
      <c r="B299" s="230" t="s">
        <v>2199</v>
      </c>
      <c r="D299" s="256">
        <v>45002</v>
      </c>
      <c r="E299" s="257" t="s">
        <v>2190</v>
      </c>
      <c r="F299" s="257" t="s">
        <v>2200</v>
      </c>
      <c r="G299" s="257" t="s">
        <v>2201</v>
      </c>
    </row>
    <row r="300" customHeight="1" spans="1:7">
      <c r="A300" s="255">
        <v>51041</v>
      </c>
      <c r="B300" s="230" t="s">
        <v>1946</v>
      </c>
      <c r="D300" s="256">
        <v>45002</v>
      </c>
      <c r="E300" s="257" t="s">
        <v>2190</v>
      </c>
      <c r="F300" s="257" t="s">
        <v>2202</v>
      </c>
      <c r="G300" s="257" t="s">
        <v>2203</v>
      </c>
    </row>
    <row r="301" customHeight="1" spans="1:7">
      <c r="A301" s="255">
        <v>46037</v>
      </c>
      <c r="B301" s="230" t="s">
        <v>2204</v>
      </c>
      <c r="D301" s="256">
        <v>45002</v>
      </c>
      <c r="E301" s="257" t="s">
        <v>2190</v>
      </c>
      <c r="F301" s="257" t="s">
        <v>2205</v>
      </c>
      <c r="G301" s="257" t="s">
        <v>2206</v>
      </c>
    </row>
    <row r="302" customHeight="1" spans="1:7">
      <c r="A302" s="255">
        <v>47023</v>
      </c>
      <c r="B302" s="230" t="s">
        <v>2207</v>
      </c>
      <c r="D302" s="256">
        <v>45002</v>
      </c>
      <c r="E302" s="257" t="s">
        <v>2190</v>
      </c>
      <c r="F302" s="257" t="s">
        <v>2208</v>
      </c>
      <c r="G302" s="257" t="s">
        <v>2209</v>
      </c>
    </row>
    <row r="303" customHeight="1" spans="1:7">
      <c r="A303" s="255">
        <v>47024</v>
      </c>
      <c r="B303" s="230" t="s">
        <v>2210</v>
      </c>
      <c r="D303" s="256">
        <v>45002</v>
      </c>
      <c r="E303" s="257" t="s">
        <v>2190</v>
      </c>
      <c r="F303" s="257" t="s">
        <v>2211</v>
      </c>
      <c r="G303" s="257" t="s">
        <v>2212</v>
      </c>
    </row>
    <row r="304" customHeight="1" spans="1:7">
      <c r="A304" s="255">
        <v>52037</v>
      </c>
      <c r="B304" s="230" t="s">
        <v>1754</v>
      </c>
      <c r="D304" s="256">
        <v>45002</v>
      </c>
      <c r="E304" s="257" t="s">
        <v>2190</v>
      </c>
      <c r="F304" s="257" t="s">
        <v>2213</v>
      </c>
      <c r="G304" s="257" t="s">
        <v>2214</v>
      </c>
    </row>
    <row r="305" customHeight="1" spans="4:7">
      <c r="D305" s="256">
        <v>45002</v>
      </c>
      <c r="E305" s="257" t="s">
        <v>2190</v>
      </c>
      <c r="F305" s="257" t="s">
        <v>2215</v>
      </c>
      <c r="G305" s="257" t="s">
        <v>2216</v>
      </c>
    </row>
    <row r="306" customHeight="1" spans="4:7">
      <c r="D306" s="256">
        <v>45002</v>
      </c>
      <c r="E306" s="257" t="s">
        <v>2190</v>
      </c>
      <c r="F306" s="257" t="s">
        <v>2217</v>
      </c>
      <c r="G306" s="257" t="s">
        <v>2218</v>
      </c>
    </row>
    <row r="307" customHeight="1" spans="4:7">
      <c r="D307" s="256">
        <v>45002</v>
      </c>
      <c r="E307" s="257" t="s">
        <v>2190</v>
      </c>
      <c r="F307" s="257" t="s">
        <v>2219</v>
      </c>
      <c r="G307" s="257" t="s">
        <v>2220</v>
      </c>
    </row>
    <row r="308" customHeight="1" spans="4:7">
      <c r="D308" s="256">
        <v>45002</v>
      </c>
      <c r="E308" s="257" t="s">
        <v>2190</v>
      </c>
      <c r="F308" s="257" t="s">
        <v>2221</v>
      </c>
      <c r="G308" s="257" t="s">
        <v>2222</v>
      </c>
    </row>
    <row r="309" customHeight="1" spans="4:7">
      <c r="D309" s="256">
        <v>45002</v>
      </c>
      <c r="E309" s="257" t="s">
        <v>2190</v>
      </c>
      <c r="F309" s="257" t="s">
        <v>2223</v>
      </c>
      <c r="G309" s="257" t="s">
        <v>2224</v>
      </c>
    </row>
    <row r="310" customHeight="1" spans="4:7">
      <c r="D310" s="256">
        <v>45002</v>
      </c>
      <c r="E310" s="257" t="s">
        <v>2190</v>
      </c>
      <c r="F310" s="257" t="s">
        <v>2225</v>
      </c>
      <c r="G310" s="257" t="s">
        <v>2226</v>
      </c>
    </row>
    <row r="311" customHeight="1" spans="4:7">
      <c r="D311" s="256">
        <v>45002</v>
      </c>
      <c r="E311" s="257" t="s">
        <v>2190</v>
      </c>
      <c r="F311" s="257" t="s">
        <v>2227</v>
      </c>
      <c r="G311" s="257" t="s">
        <v>2228</v>
      </c>
    </row>
    <row r="312" customHeight="1" spans="4:7">
      <c r="D312" s="256">
        <v>45002</v>
      </c>
      <c r="E312" s="257" t="s">
        <v>2190</v>
      </c>
      <c r="F312" s="257" t="s">
        <v>2229</v>
      </c>
      <c r="G312" s="257" t="s">
        <v>2230</v>
      </c>
    </row>
    <row r="313" customHeight="1" spans="4:7">
      <c r="D313" s="256">
        <v>45002</v>
      </c>
      <c r="E313" s="257" t="s">
        <v>2190</v>
      </c>
      <c r="F313" s="257" t="s">
        <v>2231</v>
      </c>
      <c r="G313" s="257" t="s">
        <v>2232</v>
      </c>
    </row>
    <row r="314" customHeight="1" spans="4:7">
      <c r="D314" s="256">
        <v>45002</v>
      </c>
      <c r="E314" s="257" t="s">
        <v>2190</v>
      </c>
      <c r="F314" s="257" t="s">
        <v>2233</v>
      </c>
      <c r="G314" s="257" t="s">
        <v>2234</v>
      </c>
    </row>
    <row r="315" customHeight="1" spans="4:7">
      <c r="D315" s="256">
        <v>45002</v>
      </c>
      <c r="E315" s="257" t="s">
        <v>2190</v>
      </c>
      <c r="F315" s="257" t="s">
        <v>2235</v>
      </c>
      <c r="G315" s="257" t="s">
        <v>2236</v>
      </c>
    </row>
    <row r="316" customHeight="1" spans="4:7">
      <c r="D316" s="256">
        <v>45002</v>
      </c>
      <c r="E316" s="257" t="s">
        <v>2190</v>
      </c>
      <c r="F316" s="257" t="s">
        <v>2237</v>
      </c>
      <c r="G316" s="257" t="s">
        <v>2238</v>
      </c>
    </row>
    <row r="317" customHeight="1" spans="4:7">
      <c r="D317" s="256">
        <v>45002</v>
      </c>
      <c r="E317" s="257" t="s">
        <v>2190</v>
      </c>
      <c r="F317" s="257" t="s">
        <v>2239</v>
      </c>
      <c r="G317" s="257" t="s">
        <v>2240</v>
      </c>
    </row>
    <row r="318" customHeight="1" spans="4:7">
      <c r="D318" s="256">
        <v>45002</v>
      </c>
      <c r="E318" s="257" t="s">
        <v>2190</v>
      </c>
      <c r="F318" s="257" t="s">
        <v>2241</v>
      </c>
      <c r="G318" s="257" t="s">
        <v>2242</v>
      </c>
    </row>
    <row r="319" customHeight="1" spans="4:7">
      <c r="D319" s="256">
        <v>45002</v>
      </c>
      <c r="E319" s="257" t="s">
        <v>2190</v>
      </c>
      <c r="F319" s="257" t="s">
        <v>2243</v>
      </c>
      <c r="G319" s="257" t="s">
        <v>2244</v>
      </c>
    </row>
    <row r="320" customHeight="1" spans="4:7">
      <c r="D320" s="256">
        <v>45002</v>
      </c>
      <c r="E320" s="257" t="s">
        <v>2190</v>
      </c>
      <c r="F320" s="257" t="s">
        <v>2245</v>
      </c>
      <c r="G320" s="257" t="s">
        <v>2246</v>
      </c>
    </row>
    <row r="321" customHeight="1" spans="4:7">
      <c r="D321" s="256">
        <v>45002</v>
      </c>
      <c r="E321" s="257" t="s">
        <v>2190</v>
      </c>
      <c r="F321" s="257" t="s">
        <v>2247</v>
      </c>
      <c r="G321" s="257" t="s">
        <v>2248</v>
      </c>
    </row>
    <row r="322" customHeight="1" spans="4:7">
      <c r="D322" s="256">
        <v>45002</v>
      </c>
      <c r="E322" s="257" t="s">
        <v>2190</v>
      </c>
      <c r="F322" s="257" t="s">
        <v>2249</v>
      </c>
      <c r="G322" s="257" t="s">
        <v>2250</v>
      </c>
    </row>
    <row r="323" customHeight="1" spans="4:7">
      <c r="D323" s="256">
        <v>45002</v>
      </c>
      <c r="E323" s="257" t="s">
        <v>2190</v>
      </c>
      <c r="F323" s="257" t="s">
        <v>2251</v>
      </c>
      <c r="G323" s="257" t="s">
        <v>2252</v>
      </c>
    </row>
    <row r="324" customHeight="1" spans="4:7">
      <c r="D324" s="256">
        <v>45002</v>
      </c>
      <c r="E324" s="257" t="s">
        <v>2190</v>
      </c>
      <c r="F324" s="257" t="s">
        <v>2253</v>
      </c>
      <c r="G324" s="257" t="s">
        <v>2254</v>
      </c>
    </row>
    <row r="325" customHeight="1" spans="4:7">
      <c r="D325" s="256">
        <v>45002</v>
      </c>
      <c r="E325" s="257" t="s">
        <v>2190</v>
      </c>
      <c r="F325" s="257" t="s">
        <v>2255</v>
      </c>
      <c r="G325" s="257" t="s">
        <v>2256</v>
      </c>
    </row>
    <row r="326" customHeight="1" spans="4:7">
      <c r="D326" s="256">
        <v>48002</v>
      </c>
      <c r="E326" s="257" t="s">
        <v>2257</v>
      </c>
      <c r="F326" s="257" t="s">
        <v>2258</v>
      </c>
      <c r="G326" s="257" t="s">
        <v>2259</v>
      </c>
    </row>
    <row r="327" customHeight="1" spans="4:7">
      <c r="D327" s="256">
        <v>48002</v>
      </c>
      <c r="E327" s="257" t="s">
        <v>2257</v>
      </c>
      <c r="F327" s="257" t="s">
        <v>2260</v>
      </c>
      <c r="G327" s="257" t="s">
        <v>2261</v>
      </c>
    </row>
    <row r="328" customHeight="1" spans="4:7">
      <c r="D328" s="256">
        <v>48002</v>
      </c>
      <c r="E328" s="257" t="s">
        <v>2257</v>
      </c>
      <c r="F328" s="257" t="s">
        <v>2262</v>
      </c>
      <c r="G328" s="257" t="s">
        <v>2263</v>
      </c>
    </row>
    <row r="329" customHeight="1" spans="4:7">
      <c r="D329" s="256">
        <v>48002</v>
      </c>
      <c r="E329" s="257" t="s">
        <v>2257</v>
      </c>
      <c r="F329" s="257" t="s">
        <v>2264</v>
      </c>
      <c r="G329" s="257" t="s">
        <v>2265</v>
      </c>
    </row>
    <row r="330" customHeight="1" spans="4:7">
      <c r="D330" s="256">
        <v>48002</v>
      </c>
      <c r="E330" s="257" t="s">
        <v>2257</v>
      </c>
      <c r="F330" s="257" t="s">
        <v>2266</v>
      </c>
      <c r="G330" s="257" t="s">
        <v>2267</v>
      </c>
    </row>
    <row r="331" customHeight="1" spans="4:7">
      <c r="D331" s="256">
        <v>48002</v>
      </c>
      <c r="E331" s="257" t="s">
        <v>2257</v>
      </c>
      <c r="F331" s="257" t="s">
        <v>2268</v>
      </c>
      <c r="G331" s="257" t="s">
        <v>2269</v>
      </c>
    </row>
    <row r="332" customHeight="1" spans="4:7">
      <c r="D332" s="256">
        <v>48002</v>
      </c>
      <c r="E332" s="257" t="s">
        <v>2257</v>
      </c>
      <c r="F332" s="257" t="s">
        <v>2270</v>
      </c>
      <c r="G332" s="257" t="s">
        <v>2271</v>
      </c>
    </row>
    <row r="333" customHeight="1" spans="4:7">
      <c r="D333" s="256">
        <v>48002</v>
      </c>
      <c r="E333" s="257" t="s">
        <v>2257</v>
      </c>
      <c r="F333" s="257" t="s">
        <v>2272</v>
      </c>
      <c r="G333" s="257" t="s">
        <v>2273</v>
      </c>
    </row>
    <row r="334" customHeight="1" spans="4:7">
      <c r="D334" s="256">
        <v>48002</v>
      </c>
      <c r="E334" s="257" t="s">
        <v>2257</v>
      </c>
      <c r="F334" s="257" t="s">
        <v>2274</v>
      </c>
      <c r="G334" s="257" t="s">
        <v>2275</v>
      </c>
    </row>
    <row r="335" customHeight="1" spans="4:7">
      <c r="D335" s="256">
        <v>48002</v>
      </c>
      <c r="E335" s="257" t="s">
        <v>2257</v>
      </c>
      <c r="F335" s="257" t="s">
        <v>2276</v>
      </c>
      <c r="G335" s="257" t="s">
        <v>2277</v>
      </c>
    </row>
    <row r="336" customHeight="1" spans="4:7">
      <c r="D336" s="256">
        <v>48002</v>
      </c>
      <c r="E336" s="257" t="s">
        <v>2257</v>
      </c>
      <c r="F336" s="257" t="s">
        <v>2278</v>
      </c>
      <c r="G336" s="257" t="s">
        <v>2279</v>
      </c>
    </row>
    <row r="337" customHeight="1" spans="4:7">
      <c r="D337" s="256">
        <v>48002</v>
      </c>
      <c r="E337" s="257" t="s">
        <v>2257</v>
      </c>
      <c r="F337" s="257" t="s">
        <v>2280</v>
      </c>
      <c r="G337" s="257" t="s">
        <v>2281</v>
      </c>
    </row>
    <row r="338" customHeight="1" spans="4:7">
      <c r="D338" s="256">
        <v>48002</v>
      </c>
      <c r="E338" s="257" t="s">
        <v>2257</v>
      </c>
      <c r="F338" s="257" t="s">
        <v>2282</v>
      </c>
      <c r="G338" s="257" t="s">
        <v>2283</v>
      </c>
    </row>
    <row r="339" customHeight="1" spans="4:7">
      <c r="D339" s="256">
        <v>48002</v>
      </c>
      <c r="E339" s="257" t="s">
        <v>2257</v>
      </c>
      <c r="F339" s="257" t="s">
        <v>2284</v>
      </c>
      <c r="G339" s="257" t="s">
        <v>2285</v>
      </c>
    </row>
    <row r="340" customHeight="1" spans="4:7">
      <c r="D340" s="256">
        <v>48003</v>
      </c>
      <c r="E340" s="257" t="s">
        <v>2286</v>
      </c>
      <c r="F340" s="257" t="s">
        <v>2287</v>
      </c>
      <c r="G340" s="257" t="s">
        <v>2288</v>
      </c>
    </row>
    <row r="341" customHeight="1" spans="4:7">
      <c r="D341" s="256">
        <v>48003</v>
      </c>
      <c r="E341" s="257" t="s">
        <v>2286</v>
      </c>
      <c r="F341" s="257" t="s">
        <v>2289</v>
      </c>
      <c r="G341" s="257" t="s">
        <v>2290</v>
      </c>
    </row>
    <row r="342" customHeight="1" spans="4:7">
      <c r="D342" s="256">
        <v>48003</v>
      </c>
      <c r="E342" s="257" t="s">
        <v>2286</v>
      </c>
      <c r="F342" s="257" t="s">
        <v>2291</v>
      </c>
      <c r="G342" s="257" t="s">
        <v>2292</v>
      </c>
    </row>
    <row r="343" customHeight="1" spans="4:7">
      <c r="D343" s="256">
        <v>48003</v>
      </c>
      <c r="E343" s="257" t="s">
        <v>2286</v>
      </c>
      <c r="F343" s="257" t="s">
        <v>2293</v>
      </c>
      <c r="G343" s="257" t="s">
        <v>2294</v>
      </c>
    </row>
    <row r="344" customHeight="1" spans="4:7">
      <c r="D344" s="256">
        <v>48003</v>
      </c>
      <c r="E344" s="257" t="s">
        <v>2286</v>
      </c>
      <c r="F344" s="257" t="s">
        <v>2295</v>
      </c>
      <c r="G344" s="257" t="s">
        <v>2296</v>
      </c>
    </row>
    <row r="345" customHeight="1" spans="4:7">
      <c r="D345" s="256">
        <v>48003</v>
      </c>
      <c r="E345" s="257" t="s">
        <v>2286</v>
      </c>
      <c r="F345" s="257" t="s">
        <v>2297</v>
      </c>
      <c r="G345" s="257" t="s">
        <v>2298</v>
      </c>
    </row>
    <row r="346" customHeight="1" spans="4:7">
      <c r="D346" s="256">
        <v>48003</v>
      </c>
      <c r="E346" s="257" t="s">
        <v>2286</v>
      </c>
      <c r="F346" s="257" t="s">
        <v>2299</v>
      </c>
      <c r="G346" s="257" t="s">
        <v>2300</v>
      </c>
    </row>
    <row r="347" customHeight="1" spans="4:7">
      <c r="D347" s="256">
        <v>48003</v>
      </c>
      <c r="E347" s="257" t="s">
        <v>2286</v>
      </c>
      <c r="F347" s="257" t="s">
        <v>2301</v>
      </c>
      <c r="G347" s="257" t="s">
        <v>2302</v>
      </c>
    </row>
    <row r="348" customHeight="1" spans="4:7">
      <c r="D348" s="256">
        <v>48003</v>
      </c>
      <c r="E348" s="257" t="s">
        <v>2286</v>
      </c>
      <c r="F348" s="257" t="s">
        <v>2303</v>
      </c>
      <c r="G348" s="257" t="s">
        <v>2304</v>
      </c>
    </row>
    <row r="349" customHeight="1" spans="4:7">
      <c r="D349" s="256">
        <v>48003</v>
      </c>
      <c r="E349" s="257" t="s">
        <v>2286</v>
      </c>
      <c r="F349" s="257" t="s">
        <v>2305</v>
      </c>
      <c r="G349" s="257" t="s">
        <v>2306</v>
      </c>
    </row>
    <row r="350" customHeight="1" spans="4:7">
      <c r="D350" s="256">
        <v>48003</v>
      </c>
      <c r="E350" s="257" t="s">
        <v>2286</v>
      </c>
      <c r="F350" s="257" t="s">
        <v>2307</v>
      </c>
      <c r="G350" s="257" t="s">
        <v>2308</v>
      </c>
    </row>
    <row r="351" customHeight="1" spans="4:7">
      <c r="D351" s="256">
        <v>48003</v>
      </c>
      <c r="E351" s="257" t="s">
        <v>2286</v>
      </c>
      <c r="F351" s="257" t="s">
        <v>2309</v>
      </c>
      <c r="G351" s="257" t="s">
        <v>2310</v>
      </c>
    </row>
    <row r="352" customHeight="1" spans="4:7">
      <c r="D352" s="256">
        <v>48003</v>
      </c>
      <c r="E352" s="257" t="s">
        <v>2286</v>
      </c>
      <c r="F352" s="257" t="s">
        <v>2311</v>
      </c>
      <c r="G352" s="257" t="s">
        <v>2312</v>
      </c>
    </row>
    <row r="353" customHeight="1" spans="4:7">
      <c r="D353" s="256">
        <v>48003</v>
      </c>
      <c r="E353" s="257" t="s">
        <v>2286</v>
      </c>
      <c r="F353" s="257" t="s">
        <v>2313</v>
      </c>
      <c r="G353" s="257" t="s">
        <v>2314</v>
      </c>
    </row>
    <row r="354" customHeight="1" spans="4:7">
      <c r="D354" s="256">
        <v>48003</v>
      </c>
      <c r="E354" s="257" t="s">
        <v>2286</v>
      </c>
      <c r="F354" s="257" t="s">
        <v>2315</v>
      </c>
      <c r="G354" s="257" t="s">
        <v>2316</v>
      </c>
    </row>
    <row r="355" customHeight="1" spans="4:7">
      <c r="D355" s="256">
        <v>48003</v>
      </c>
      <c r="E355" s="257" t="s">
        <v>2286</v>
      </c>
      <c r="F355" s="257" t="s">
        <v>2317</v>
      </c>
      <c r="G355" s="257" t="s">
        <v>2318</v>
      </c>
    </row>
    <row r="356" customHeight="1" spans="4:7">
      <c r="D356" s="256">
        <v>48003</v>
      </c>
      <c r="E356" s="257" t="s">
        <v>2286</v>
      </c>
      <c r="F356" s="257" t="s">
        <v>2319</v>
      </c>
      <c r="G356" s="257" t="s">
        <v>2161</v>
      </c>
    </row>
    <row r="357" customHeight="1" spans="4:7">
      <c r="D357" s="256">
        <v>48003</v>
      </c>
      <c r="E357" s="257" t="s">
        <v>2286</v>
      </c>
      <c r="F357" s="257" t="s">
        <v>2320</v>
      </c>
      <c r="G357" s="257" t="s">
        <v>2321</v>
      </c>
    </row>
    <row r="358" customHeight="1" spans="4:7">
      <c r="D358" s="256">
        <v>48003</v>
      </c>
      <c r="E358" s="257" t="s">
        <v>2286</v>
      </c>
      <c r="F358" s="257" t="s">
        <v>2322</v>
      </c>
      <c r="G358" s="257" t="s">
        <v>2323</v>
      </c>
    </row>
    <row r="359" customHeight="1" spans="4:7">
      <c r="D359" s="256">
        <v>48003</v>
      </c>
      <c r="E359" s="257" t="s">
        <v>2286</v>
      </c>
      <c r="F359" s="257" t="s">
        <v>2324</v>
      </c>
      <c r="G359" s="257" t="s">
        <v>2325</v>
      </c>
    </row>
    <row r="360" customHeight="1" spans="4:7">
      <c r="D360" s="256">
        <v>48003</v>
      </c>
      <c r="E360" s="257" t="s">
        <v>2286</v>
      </c>
      <c r="F360" s="257" t="s">
        <v>2326</v>
      </c>
      <c r="G360" s="257" t="s">
        <v>2327</v>
      </c>
    </row>
    <row r="361" customHeight="1" spans="4:7">
      <c r="D361" s="256">
        <v>48003</v>
      </c>
      <c r="E361" s="257" t="s">
        <v>2286</v>
      </c>
      <c r="F361" s="257" t="s">
        <v>2328</v>
      </c>
      <c r="G361" s="257" t="s">
        <v>2329</v>
      </c>
    </row>
    <row r="362" customHeight="1" spans="4:7">
      <c r="D362" s="256">
        <v>48003</v>
      </c>
      <c r="E362" s="257" t="s">
        <v>2286</v>
      </c>
      <c r="F362" s="257" t="s">
        <v>2330</v>
      </c>
      <c r="G362" s="257" t="s">
        <v>1820</v>
      </c>
    </row>
    <row r="363" customHeight="1" spans="4:7">
      <c r="D363" s="256">
        <v>46003</v>
      </c>
      <c r="E363" s="257" t="s">
        <v>2331</v>
      </c>
      <c r="F363" s="257" t="s">
        <v>2332</v>
      </c>
      <c r="G363" s="257" t="s">
        <v>2333</v>
      </c>
    </row>
    <row r="364" customHeight="1" spans="4:7">
      <c r="D364" s="256">
        <v>46003</v>
      </c>
      <c r="E364" s="257" t="s">
        <v>2331</v>
      </c>
      <c r="F364" s="257" t="s">
        <v>2334</v>
      </c>
      <c r="G364" s="257" t="s">
        <v>2335</v>
      </c>
    </row>
    <row r="365" customHeight="1" spans="4:7">
      <c r="D365" s="256">
        <v>46003</v>
      </c>
      <c r="E365" s="257" t="s">
        <v>2331</v>
      </c>
      <c r="F365" s="257" t="s">
        <v>2336</v>
      </c>
      <c r="G365" s="257" t="s">
        <v>2337</v>
      </c>
    </row>
    <row r="366" customHeight="1" spans="4:7">
      <c r="D366" s="256">
        <v>46003</v>
      </c>
      <c r="E366" s="257" t="s">
        <v>2331</v>
      </c>
      <c r="F366" s="257" t="s">
        <v>2338</v>
      </c>
      <c r="G366" s="257" t="s">
        <v>2339</v>
      </c>
    </row>
    <row r="367" customHeight="1" spans="4:7">
      <c r="D367" s="256">
        <v>46003</v>
      </c>
      <c r="E367" s="257" t="s">
        <v>2331</v>
      </c>
      <c r="F367" s="257" t="s">
        <v>2340</v>
      </c>
      <c r="G367" s="257" t="s">
        <v>2341</v>
      </c>
    </row>
    <row r="368" customHeight="1" spans="4:7">
      <c r="D368" s="256">
        <v>46003</v>
      </c>
      <c r="E368" s="257" t="s">
        <v>2331</v>
      </c>
      <c r="F368" s="257" t="s">
        <v>2342</v>
      </c>
      <c r="G368" s="257" t="s">
        <v>2343</v>
      </c>
    </row>
    <row r="369" customHeight="1" spans="4:7">
      <c r="D369" s="256">
        <v>46003</v>
      </c>
      <c r="E369" s="257" t="s">
        <v>2331</v>
      </c>
      <c r="F369" s="257" t="s">
        <v>2344</v>
      </c>
      <c r="G369" s="257" t="s">
        <v>2345</v>
      </c>
    </row>
    <row r="370" customHeight="1" spans="4:7">
      <c r="D370" s="256">
        <v>46003</v>
      </c>
      <c r="E370" s="257" t="s">
        <v>2331</v>
      </c>
      <c r="F370" s="257" t="s">
        <v>2346</v>
      </c>
      <c r="G370" s="257" t="s">
        <v>2347</v>
      </c>
    </row>
    <row r="371" customHeight="1" spans="4:7">
      <c r="D371" s="256">
        <v>46003</v>
      </c>
      <c r="E371" s="257" t="s">
        <v>2331</v>
      </c>
      <c r="F371" s="257" t="s">
        <v>2348</v>
      </c>
      <c r="G371" s="257" t="s">
        <v>2349</v>
      </c>
    </row>
    <row r="372" customHeight="1" spans="4:7">
      <c r="D372" s="256">
        <v>46003</v>
      </c>
      <c r="E372" s="257" t="s">
        <v>2331</v>
      </c>
      <c r="F372" s="257" t="s">
        <v>2350</v>
      </c>
      <c r="G372" s="257" t="s">
        <v>2351</v>
      </c>
    </row>
    <row r="373" customHeight="1" spans="4:7">
      <c r="D373" s="256">
        <v>46003</v>
      </c>
      <c r="E373" s="257" t="s">
        <v>2331</v>
      </c>
      <c r="F373" s="257" t="s">
        <v>2352</v>
      </c>
      <c r="G373" s="257" t="s">
        <v>2353</v>
      </c>
    </row>
    <row r="374" customHeight="1" spans="4:7">
      <c r="D374" s="256">
        <v>46003</v>
      </c>
      <c r="E374" s="257" t="s">
        <v>2331</v>
      </c>
      <c r="F374" s="257" t="s">
        <v>2354</v>
      </c>
      <c r="G374" s="257" t="s">
        <v>2355</v>
      </c>
    </row>
    <row r="375" customHeight="1" spans="4:7">
      <c r="D375" s="256">
        <v>46003</v>
      </c>
      <c r="E375" s="257" t="s">
        <v>2331</v>
      </c>
      <c r="F375" s="257" t="s">
        <v>2356</v>
      </c>
      <c r="G375" s="257" t="s">
        <v>2357</v>
      </c>
    </row>
    <row r="376" customHeight="1" spans="4:7">
      <c r="D376" s="256">
        <v>46003</v>
      </c>
      <c r="E376" s="257" t="s">
        <v>2331</v>
      </c>
      <c r="F376" s="257" t="s">
        <v>2358</v>
      </c>
      <c r="G376" s="257" t="s">
        <v>2359</v>
      </c>
    </row>
    <row r="377" customHeight="1" spans="4:7">
      <c r="D377" s="256">
        <v>46003</v>
      </c>
      <c r="E377" s="257" t="s">
        <v>2331</v>
      </c>
      <c r="F377" s="257" t="s">
        <v>2360</v>
      </c>
      <c r="G377" s="257" t="s">
        <v>2361</v>
      </c>
    </row>
    <row r="378" customHeight="1" spans="4:7">
      <c r="D378" s="256">
        <v>46003</v>
      </c>
      <c r="E378" s="257" t="s">
        <v>2331</v>
      </c>
      <c r="F378" s="257" t="s">
        <v>2362</v>
      </c>
      <c r="G378" s="257" t="s">
        <v>2363</v>
      </c>
    </row>
    <row r="379" customHeight="1" spans="4:7">
      <c r="D379" s="256">
        <v>46003</v>
      </c>
      <c r="E379" s="257" t="s">
        <v>2331</v>
      </c>
      <c r="F379" s="257" t="s">
        <v>2364</v>
      </c>
      <c r="G379" s="257" t="s">
        <v>2365</v>
      </c>
    </row>
    <row r="380" customHeight="1" spans="4:7">
      <c r="D380" s="256">
        <v>46003</v>
      </c>
      <c r="E380" s="257" t="s">
        <v>2331</v>
      </c>
      <c r="F380" s="257" t="s">
        <v>2366</v>
      </c>
      <c r="G380" s="257" t="s">
        <v>2367</v>
      </c>
    </row>
    <row r="381" customHeight="1" spans="4:7">
      <c r="D381" s="256">
        <v>46003</v>
      </c>
      <c r="E381" s="257" t="s">
        <v>2331</v>
      </c>
      <c r="F381" s="257" t="s">
        <v>2368</v>
      </c>
      <c r="G381" s="257" t="s">
        <v>2369</v>
      </c>
    </row>
    <row r="382" customHeight="1" spans="4:7">
      <c r="D382" s="256">
        <v>46003</v>
      </c>
      <c r="E382" s="257" t="s">
        <v>2331</v>
      </c>
      <c r="F382" s="257" t="s">
        <v>2370</v>
      </c>
      <c r="G382" s="257" t="s">
        <v>2371</v>
      </c>
    </row>
    <row r="383" customHeight="1" spans="4:7">
      <c r="D383" s="256">
        <v>46003</v>
      </c>
      <c r="E383" s="257" t="s">
        <v>2331</v>
      </c>
      <c r="F383" s="257" t="s">
        <v>2372</v>
      </c>
      <c r="G383" s="257" t="s">
        <v>2373</v>
      </c>
    </row>
    <row r="384" customHeight="1" spans="4:7">
      <c r="D384" s="256">
        <v>46003</v>
      </c>
      <c r="E384" s="257" t="s">
        <v>2331</v>
      </c>
      <c r="F384" s="257" t="s">
        <v>2374</v>
      </c>
      <c r="G384" s="257" t="s">
        <v>2375</v>
      </c>
    </row>
    <row r="385" customHeight="1" spans="4:7">
      <c r="D385" s="256">
        <v>46003</v>
      </c>
      <c r="E385" s="257" t="s">
        <v>2331</v>
      </c>
      <c r="F385" s="257" t="s">
        <v>2376</v>
      </c>
      <c r="G385" s="257" t="s">
        <v>2377</v>
      </c>
    </row>
    <row r="386" customHeight="1" spans="4:7">
      <c r="D386" s="256">
        <v>46003</v>
      </c>
      <c r="E386" s="257" t="s">
        <v>2331</v>
      </c>
      <c r="F386" s="257" t="s">
        <v>2378</v>
      </c>
      <c r="G386" s="257" t="s">
        <v>2379</v>
      </c>
    </row>
    <row r="387" customHeight="1" spans="4:7">
      <c r="D387" s="256">
        <v>46003</v>
      </c>
      <c r="E387" s="257" t="s">
        <v>2331</v>
      </c>
      <c r="F387" s="257" t="s">
        <v>2380</v>
      </c>
      <c r="G387" s="257" t="s">
        <v>2381</v>
      </c>
    </row>
    <row r="388" customHeight="1" spans="4:7">
      <c r="D388" s="256">
        <v>46003</v>
      </c>
      <c r="E388" s="257" t="s">
        <v>2331</v>
      </c>
      <c r="F388" s="257" t="s">
        <v>2382</v>
      </c>
      <c r="G388" s="257" t="s">
        <v>2383</v>
      </c>
    </row>
    <row r="389" customHeight="1" spans="4:7">
      <c r="D389" s="256">
        <v>46003</v>
      </c>
      <c r="E389" s="257" t="s">
        <v>2331</v>
      </c>
      <c r="F389" s="257" t="s">
        <v>2384</v>
      </c>
      <c r="G389" s="257" t="s">
        <v>2385</v>
      </c>
    </row>
    <row r="390" customHeight="1" spans="4:7">
      <c r="D390" s="256">
        <v>46003</v>
      </c>
      <c r="E390" s="257" t="s">
        <v>2331</v>
      </c>
      <c r="F390" s="257" t="s">
        <v>2386</v>
      </c>
      <c r="G390" s="257" t="s">
        <v>2387</v>
      </c>
    </row>
    <row r="391" customHeight="1" spans="4:7">
      <c r="D391" s="256">
        <v>46003</v>
      </c>
      <c r="E391" s="257" t="s">
        <v>2331</v>
      </c>
      <c r="F391" s="257" t="s">
        <v>2388</v>
      </c>
      <c r="G391" s="257" t="s">
        <v>2389</v>
      </c>
    </row>
    <row r="392" customHeight="1" spans="4:7">
      <c r="D392" s="256">
        <v>46003</v>
      </c>
      <c r="E392" s="257" t="s">
        <v>2331</v>
      </c>
      <c r="F392" s="257" t="s">
        <v>2390</v>
      </c>
      <c r="G392" s="257" t="s">
        <v>2391</v>
      </c>
    </row>
    <row r="393" customHeight="1" spans="4:7">
      <c r="D393" s="256">
        <v>46003</v>
      </c>
      <c r="E393" s="257" t="s">
        <v>2331</v>
      </c>
      <c r="F393" s="257" t="s">
        <v>2392</v>
      </c>
      <c r="G393" s="257" t="s">
        <v>2393</v>
      </c>
    </row>
    <row r="394" customHeight="1" spans="4:7">
      <c r="D394" s="256">
        <v>46003</v>
      </c>
      <c r="E394" s="257" t="s">
        <v>2331</v>
      </c>
      <c r="F394" s="257" t="s">
        <v>2394</v>
      </c>
      <c r="G394" s="257" t="s">
        <v>2395</v>
      </c>
    </row>
    <row r="395" customHeight="1" spans="4:7">
      <c r="D395" s="256">
        <v>51004</v>
      </c>
      <c r="E395" s="257" t="s">
        <v>2396</v>
      </c>
      <c r="F395" s="257" t="s">
        <v>2397</v>
      </c>
      <c r="G395" s="257" t="s">
        <v>2398</v>
      </c>
    </row>
    <row r="396" customHeight="1" spans="4:7">
      <c r="D396" s="256">
        <v>51004</v>
      </c>
      <c r="E396" s="257" t="s">
        <v>2396</v>
      </c>
      <c r="F396" s="257" t="s">
        <v>2399</v>
      </c>
      <c r="G396" s="257" t="s">
        <v>2400</v>
      </c>
    </row>
    <row r="397" customHeight="1" spans="4:7">
      <c r="D397" s="256">
        <v>51004</v>
      </c>
      <c r="E397" s="257" t="s">
        <v>2396</v>
      </c>
      <c r="F397" s="257" t="s">
        <v>2401</v>
      </c>
      <c r="G397" s="257" t="s">
        <v>1609</v>
      </c>
    </row>
    <row r="398" customHeight="1" spans="4:7">
      <c r="D398" s="256">
        <v>51004</v>
      </c>
      <c r="E398" s="257" t="s">
        <v>2396</v>
      </c>
      <c r="F398" s="257" t="s">
        <v>2402</v>
      </c>
      <c r="G398" s="257" t="s">
        <v>2403</v>
      </c>
    </row>
    <row r="399" customHeight="1" spans="4:7">
      <c r="D399" s="256">
        <v>51004</v>
      </c>
      <c r="E399" s="257" t="s">
        <v>2396</v>
      </c>
      <c r="F399" s="257" t="s">
        <v>2404</v>
      </c>
      <c r="G399" s="257" t="s">
        <v>2405</v>
      </c>
    </row>
    <row r="400" customHeight="1" spans="4:7">
      <c r="D400" s="256">
        <v>51004</v>
      </c>
      <c r="E400" s="257" t="s">
        <v>2396</v>
      </c>
      <c r="F400" s="257" t="s">
        <v>2406</v>
      </c>
      <c r="G400" s="257" t="s">
        <v>2407</v>
      </c>
    </row>
    <row r="401" customHeight="1" spans="4:7">
      <c r="D401" s="256">
        <v>51004</v>
      </c>
      <c r="E401" s="257" t="s">
        <v>2396</v>
      </c>
      <c r="F401" s="257" t="s">
        <v>2408</v>
      </c>
      <c r="G401" s="257" t="s">
        <v>2409</v>
      </c>
    </row>
    <row r="402" customHeight="1" spans="4:7">
      <c r="D402" s="256">
        <v>51004</v>
      </c>
      <c r="E402" s="257" t="s">
        <v>2396</v>
      </c>
      <c r="F402" s="257" t="s">
        <v>2410</v>
      </c>
      <c r="G402" s="257" t="s">
        <v>2411</v>
      </c>
    </row>
    <row r="403" customHeight="1" spans="4:7">
      <c r="D403" s="256">
        <v>51004</v>
      </c>
      <c r="E403" s="257" t="s">
        <v>2396</v>
      </c>
      <c r="F403" s="257" t="s">
        <v>2412</v>
      </c>
      <c r="G403" s="257" t="s">
        <v>2413</v>
      </c>
    </row>
    <row r="404" customHeight="1" spans="4:7">
      <c r="D404" s="256">
        <v>51004</v>
      </c>
      <c r="E404" s="257" t="s">
        <v>2396</v>
      </c>
      <c r="F404" s="257" t="s">
        <v>2414</v>
      </c>
      <c r="G404" s="257" t="s">
        <v>2415</v>
      </c>
    </row>
    <row r="405" customHeight="1" spans="4:7">
      <c r="D405" s="256">
        <v>51004</v>
      </c>
      <c r="E405" s="257" t="s">
        <v>2396</v>
      </c>
      <c r="F405" s="257" t="s">
        <v>2416</v>
      </c>
      <c r="G405" s="257" t="s">
        <v>2417</v>
      </c>
    </row>
    <row r="406" customHeight="1" spans="4:7">
      <c r="D406" s="256">
        <v>51004</v>
      </c>
      <c r="E406" s="257" t="s">
        <v>2396</v>
      </c>
      <c r="F406" s="257" t="s">
        <v>2418</v>
      </c>
      <c r="G406" s="257" t="s">
        <v>2419</v>
      </c>
    </row>
    <row r="407" customHeight="1" spans="4:7">
      <c r="D407" s="256">
        <v>51004</v>
      </c>
      <c r="E407" s="257" t="s">
        <v>2396</v>
      </c>
      <c r="F407" s="257" t="s">
        <v>2420</v>
      </c>
      <c r="G407" s="257" t="s">
        <v>2421</v>
      </c>
    </row>
    <row r="408" customHeight="1" spans="4:7">
      <c r="D408" s="256">
        <v>51004</v>
      </c>
      <c r="E408" s="257" t="s">
        <v>2396</v>
      </c>
      <c r="F408" s="257" t="s">
        <v>2422</v>
      </c>
      <c r="G408" s="257" t="s">
        <v>2423</v>
      </c>
    </row>
    <row r="409" customHeight="1" spans="4:7">
      <c r="D409" s="256">
        <v>51004</v>
      </c>
      <c r="E409" s="257" t="s">
        <v>2396</v>
      </c>
      <c r="F409" s="257" t="s">
        <v>2424</v>
      </c>
      <c r="G409" s="257" t="s">
        <v>2425</v>
      </c>
    </row>
    <row r="410" customHeight="1" spans="4:7">
      <c r="D410" s="256">
        <v>51004</v>
      </c>
      <c r="E410" s="257" t="s">
        <v>2396</v>
      </c>
      <c r="F410" s="257" t="s">
        <v>2426</v>
      </c>
      <c r="G410" s="257" t="s">
        <v>2427</v>
      </c>
    </row>
    <row r="411" customHeight="1" spans="4:7">
      <c r="D411" s="256">
        <v>51004</v>
      </c>
      <c r="E411" s="257" t="s">
        <v>2396</v>
      </c>
      <c r="F411" s="257" t="s">
        <v>2428</v>
      </c>
      <c r="G411" s="257" t="s">
        <v>2429</v>
      </c>
    </row>
    <row r="412" customHeight="1" spans="4:7">
      <c r="D412" s="256">
        <v>51004</v>
      </c>
      <c r="E412" s="257" t="s">
        <v>2396</v>
      </c>
      <c r="F412" s="257" t="s">
        <v>2430</v>
      </c>
      <c r="G412" s="257" t="s">
        <v>2431</v>
      </c>
    </row>
    <row r="413" customHeight="1" spans="4:7">
      <c r="D413" s="256">
        <v>51004</v>
      </c>
      <c r="E413" s="257" t="s">
        <v>2396</v>
      </c>
      <c r="F413" s="257" t="s">
        <v>2432</v>
      </c>
      <c r="G413" s="257" t="s">
        <v>2433</v>
      </c>
    </row>
    <row r="414" customHeight="1" spans="4:7">
      <c r="D414" s="256">
        <v>51004</v>
      </c>
      <c r="E414" s="257" t="s">
        <v>2396</v>
      </c>
      <c r="F414" s="257" t="s">
        <v>2434</v>
      </c>
      <c r="G414" s="257" t="s">
        <v>2435</v>
      </c>
    </row>
    <row r="415" customHeight="1" spans="4:7">
      <c r="D415" s="256">
        <v>51004</v>
      </c>
      <c r="E415" s="257" t="s">
        <v>2396</v>
      </c>
      <c r="F415" s="257" t="s">
        <v>2436</v>
      </c>
      <c r="G415" s="257" t="s">
        <v>2437</v>
      </c>
    </row>
    <row r="416" customHeight="1" spans="4:7">
      <c r="D416" s="256">
        <v>51004</v>
      </c>
      <c r="E416" s="257" t="s">
        <v>2396</v>
      </c>
      <c r="F416" s="257" t="s">
        <v>2438</v>
      </c>
      <c r="G416" s="257" t="s">
        <v>2439</v>
      </c>
    </row>
    <row r="417" customHeight="1" spans="4:7">
      <c r="D417" s="256">
        <v>51004</v>
      </c>
      <c r="E417" s="257" t="s">
        <v>2396</v>
      </c>
      <c r="F417" s="257" t="s">
        <v>2440</v>
      </c>
      <c r="G417" s="257" t="s">
        <v>2441</v>
      </c>
    </row>
    <row r="418" customHeight="1" spans="4:7">
      <c r="D418" s="256">
        <v>49001</v>
      </c>
      <c r="E418" s="257" t="s">
        <v>2442</v>
      </c>
      <c r="F418" s="257" t="s">
        <v>2443</v>
      </c>
      <c r="G418" s="257" t="s">
        <v>2444</v>
      </c>
    </row>
    <row r="419" customHeight="1" spans="4:7">
      <c r="D419" s="256">
        <v>49001</v>
      </c>
      <c r="E419" s="257" t="s">
        <v>2442</v>
      </c>
      <c r="F419" s="257" t="s">
        <v>2445</v>
      </c>
      <c r="G419" s="257" t="s">
        <v>2446</v>
      </c>
    </row>
    <row r="420" customHeight="1" spans="4:7">
      <c r="D420" s="256">
        <v>49001</v>
      </c>
      <c r="E420" s="257" t="s">
        <v>2442</v>
      </c>
      <c r="F420" s="257" t="s">
        <v>2447</v>
      </c>
      <c r="G420" s="257" t="s">
        <v>2448</v>
      </c>
    </row>
    <row r="421" customHeight="1" spans="4:7">
      <c r="D421" s="256">
        <v>49001</v>
      </c>
      <c r="E421" s="257" t="s">
        <v>2442</v>
      </c>
      <c r="F421" s="257" t="s">
        <v>2449</v>
      </c>
      <c r="G421" s="257" t="s">
        <v>2450</v>
      </c>
    </row>
    <row r="422" customHeight="1" spans="4:7">
      <c r="D422" s="256">
        <v>49001</v>
      </c>
      <c r="E422" s="257" t="s">
        <v>2442</v>
      </c>
      <c r="F422" s="257" t="s">
        <v>2451</v>
      </c>
      <c r="G422" s="257" t="s">
        <v>2452</v>
      </c>
    </row>
    <row r="423" customHeight="1" spans="4:7">
      <c r="D423" s="256">
        <v>49001</v>
      </c>
      <c r="E423" s="257" t="s">
        <v>2442</v>
      </c>
      <c r="F423" s="257" t="s">
        <v>2453</v>
      </c>
      <c r="G423" s="257" t="s">
        <v>2454</v>
      </c>
    </row>
    <row r="424" customHeight="1" spans="4:7">
      <c r="D424" s="256">
        <v>49001</v>
      </c>
      <c r="E424" s="257" t="s">
        <v>2442</v>
      </c>
      <c r="F424" s="257" t="s">
        <v>2455</v>
      </c>
      <c r="G424" s="257" t="s">
        <v>2456</v>
      </c>
    </row>
    <row r="425" customHeight="1" spans="4:7">
      <c r="D425" s="256">
        <v>50001</v>
      </c>
      <c r="E425" s="257" t="s">
        <v>2457</v>
      </c>
      <c r="F425" s="257" t="s">
        <v>2458</v>
      </c>
      <c r="G425" s="257" t="s">
        <v>2459</v>
      </c>
    </row>
    <row r="426" customHeight="1" spans="4:7">
      <c r="D426" s="256">
        <v>50001</v>
      </c>
      <c r="E426" s="257" t="s">
        <v>2457</v>
      </c>
      <c r="F426" s="257" t="s">
        <v>2460</v>
      </c>
      <c r="G426" s="257" t="s">
        <v>2461</v>
      </c>
    </row>
    <row r="427" customHeight="1" spans="4:7">
      <c r="D427" s="256">
        <v>50001</v>
      </c>
      <c r="E427" s="257" t="s">
        <v>2457</v>
      </c>
      <c r="F427" s="257" t="s">
        <v>2462</v>
      </c>
      <c r="G427" s="257" t="s">
        <v>2463</v>
      </c>
    </row>
    <row r="428" customHeight="1" spans="4:7">
      <c r="D428" s="256">
        <v>50001</v>
      </c>
      <c r="E428" s="257" t="s">
        <v>2457</v>
      </c>
      <c r="F428" s="257" t="s">
        <v>2464</v>
      </c>
      <c r="G428" s="257" t="s">
        <v>2465</v>
      </c>
    </row>
    <row r="429" customHeight="1" spans="4:7">
      <c r="D429" s="256">
        <v>50001</v>
      </c>
      <c r="E429" s="257" t="s">
        <v>2457</v>
      </c>
      <c r="F429" s="257" t="s">
        <v>2466</v>
      </c>
      <c r="G429" s="257" t="s">
        <v>2467</v>
      </c>
    </row>
    <row r="430" customHeight="1" spans="4:7">
      <c r="D430" s="256">
        <v>50001</v>
      </c>
      <c r="E430" s="257" t="s">
        <v>2457</v>
      </c>
      <c r="F430" s="257" t="s">
        <v>2468</v>
      </c>
      <c r="G430" s="257" t="s">
        <v>2469</v>
      </c>
    </row>
    <row r="431" customHeight="1" spans="4:7">
      <c r="D431" s="256">
        <v>50001</v>
      </c>
      <c r="E431" s="257" t="s">
        <v>2457</v>
      </c>
      <c r="F431" s="257" t="s">
        <v>2470</v>
      </c>
      <c r="G431" s="257" t="s">
        <v>2471</v>
      </c>
    </row>
    <row r="432" customHeight="1" spans="4:7">
      <c r="D432" s="256">
        <v>50001</v>
      </c>
      <c r="E432" s="257" t="s">
        <v>2457</v>
      </c>
      <c r="F432" s="257" t="s">
        <v>2472</v>
      </c>
      <c r="G432" s="257" t="s">
        <v>2473</v>
      </c>
    </row>
    <row r="433" customHeight="1" spans="4:7">
      <c r="D433" s="256">
        <v>50001</v>
      </c>
      <c r="E433" s="257" t="s">
        <v>2457</v>
      </c>
      <c r="F433" s="257" t="s">
        <v>2474</v>
      </c>
      <c r="G433" s="257" t="s">
        <v>2475</v>
      </c>
    </row>
    <row r="434" customHeight="1" spans="4:7">
      <c r="D434" s="256">
        <v>50001</v>
      </c>
      <c r="E434" s="257" t="s">
        <v>2457</v>
      </c>
      <c r="F434" s="257" t="s">
        <v>2476</v>
      </c>
      <c r="G434" s="257" t="s">
        <v>2477</v>
      </c>
    </row>
    <row r="435" customHeight="1" spans="4:7">
      <c r="D435" s="256">
        <v>50001</v>
      </c>
      <c r="E435" s="257" t="s">
        <v>2457</v>
      </c>
      <c r="F435" s="257" t="s">
        <v>2478</v>
      </c>
      <c r="G435" s="257" t="s">
        <v>2479</v>
      </c>
    </row>
    <row r="436" customHeight="1" spans="4:7">
      <c r="D436" s="256">
        <v>46004</v>
      </c>
      <c r="E436" s="257" t="s">
        <v>2480</v>
      </c>
      <c r="F436" s="257" t="s">
        <v>2481</v>
      </c>
      <c r="G436" s="257" t="s">
        <v>2482</v>
      </c>
    </row>
    <row r="437" customHeight="1" spans="4:7">
      <c r="D437" s="256">
        <v>46004</v>
      </c>
      <c r="E437" s="257" t="s">
        <v>2480</v>
      </c>
      <c r="F437" s="257" t="s">
        <v>2483</v>
      </c>
      <c r="G437" s="257" t="s">
        <v>2484</v>
      </c>
    </row>
    <row r="438" customHeight="1" spans="4:7">
      <c r="D438" s="256">
        <v>46004</v>
      </c>
      <c r="E438" s="257" t="s">
        <v>2480</v>
      </c>
      <c r="F438" s="257" t="s">
        <v>2485</v>
      </c>
      <c r="G438" s="257" t="s">
        <v>2486</v>
      </c>
    </row>
    <row r="439" customHeight="1" spans="4:7">
      <c r="D439" s="256">
        <v>46004</v>
      </c>
      <c r="E439" s="257" t="s">
        <v>2480</v>
      </c>
      <c r="F439" s="257" t="s">
        <v>2487</v>
      </c>
      <c r="G439" s="257" t="s">
        <v>2488</v>
      </c>
    </row>
    <row r="440" customHeight="1" spans="4:7">
      <c r="D440" s="256">
        <v>46004</v>
      </c>
      <c r="E440" s="257" t="s">
        <v>2480</v>
      </c>
      <c r="F440" s="257" t="s">
        <v>2489</v>
      </c>
      <c r="G440" s="257" t="s">
        <v>2490</v>
      </c>
    </row>
    <row r="441" customHeight="1" spans="4:7">
      <c r="D441" s="256">
        <v>46004</v>
      </c>
      <c r="E441" s="257" t="s">
        <v>2480</v>
      </c>
      <c r="F441" s="257" t="s">
        <v>2491</v>
      </c>
      <c r="G441" s="257" t="s">
        <v>2492</v>
      </c>
    </row>
    <row r="442" customHeight="1" spans="4:7">
      <c r="D442" s="256">
        <v>46004</v>
      </c>
      <c r="E442" s="257" t="s">
        <v>2480</v>
      </c>
      <c r="F442" s="257" t="s">
        <v>2493</v>
      </c>
      <c r="G442" s="257" t="s">
        <v>1994</v>
      </c>
    </row>
    <row r="443" customHeight="1" spans="4:7">
      <c r="D443" s="256">
        <v>46004</v>
      </c>
      <c r="E443" s="257" t="s">
        <v>2480</v>
      </c>
      <c r="F443" s="257" t="s">
        <v>2494</v>
      </c>
      <c r="G443" s="257" t="s">
        <v>2495</v>
      </c>
    </row>
    <row r="444" customHeight="1" spans="4:7">
      <c r="D444" s="256">
        <v>46004</v>
      </c>
      <c r="E444" s="257" t="s">
        <v>2480</v>
      </c>
      <c r="F444" s="257" t="s">
        <v>2496</v>
      </c>
      <c r="G444" s="257" t="s">
        <v>2497</v>
      </c>
    </row>
    <row r="445" customHeight="1" spans="4:7">
      <c r="D445" s="256">
        <v>46004</v>
      </c>
      <c r="E445" s="257" t="s">
        <v>2480</v>
      </c>
      <c r="F445" s="257" t="s">
        <v>2498</v>
      </c>
      <c r="G445" s="257" t="s">
        <v>2499</v>
      </c>
    </row>
    <row r="446" customHeight="1" spans="4:7">
      <c r="D446" s="256">
        <v>46004</v>
      </c>
      <c r="E446" s="257" t="s">
        <v>2480</v>
      </c>
      <c r="F446" s="257" t="s">
        <v>2500</v>
      </c>
      <c r="G446" s="257" t="s">
        <v>2501</v>
      </c>
    </row>
    <row r="447" customHeight="1" spans="4:7">
      <c r="D447" s="256">
        <v>46004</v>
      </c>
      <c r="E447" s="257" t="s">
        <v>2480</v>
      </c>
      <c r="F447" s="257" t="s">
        <v>2502</v>
      </c>
      <c r="G447" s="257" t="s">
        <v>2503</v>
      </c>
    </row>
    <row r="448" customHeight="1" spans="4:7">
      <c r="D448" s="256">
        <v>46004</v>
      </c>
      <c r="E448" s="257" t="s">
        <v>2480</v>
      </c>
      <c r="F448" s="257" t="s">
        <v>2504</v>
      </c>
      <c r="G448" s="257" t="s">
        <v>2505</v>
      </c>
    </row>
    <row r="449" customHeight="1" spans="4:7">
      <c r="D449" s="256">
        <v>46004</v>
      </c>
      <c r="E449" s="257" t="s">
        <v>2480</v>
      </c>
      <c r="F449" s="257" t="s">
        <v>2506</v>
      </c>
      <c r="G449" s="257" t="s">
        <v>2507</v>
      </c>
    </row>
    <row r="450" customHeight="1" spans="4:7">
      <c r="D450" s="256">
        <v>46004</v>
      </c>
      <c r="E450" s="257" t="s">
        <v>2480</v>
      </c>
      <c r="F450" s="257" t="s">
        <v>2508</v>
      </c>
      <c r="G450" s="257" t="s">
        <v>2509</v>
      </c>
    </row>
    <row r="451" customHeight="1" spans="4:7">
      <c r="D451" s="256">
        <v>46004</v>
      </c>
      <c r="E451" s="257" t="s">
        <v>2480</v>
      </c>
      <c r="F451" s="257" t="s">
        <v>2510</v>
      </c>
      <c r="G451" s="257" t="s">
        <v>2511</v>
      </c>
    </row>
    <row r="452" customHeight="1" spans="4:7">
      <c r="D452" s="256">
        <v>46004</v>
      </c>
      <c r="E452" s="257" t="s">
        <v>2480</v>
      </c>
      <c r="F452" s="257" t="s">
        <v>2512</v>
      </c>
      <c r="G452" s="257" t="s">
        <v>2513</v>
      </c>
    </row>
    <row r="453" customHeight="1" spans="4:7">
      <c r="D453" s="256">
        <v>46004</v>
      </c>
      <c r="E453" s="257" t="s">
        <v>2480</v>
      </c>
      <c r="F453" s="257" t="s">
        <v>2514</v>
      </c>
      <c r="G453" s="257" t="s">
        <v>2515</v>
      </c>
    </row>
    <row r="454" customHeight="1" spans="4:7">
      <c r="D454" s="256">
        <v>46004</v>
      </c>
      <c r="E454" s="257" t="s">
        <v>2480</v>
      </c>
      <c r="F454" s="257" t="s">
        <v>2516</v>
      </c>
      <c r="G454" s="257" t="s">
        <v>2517</v>
      </c>
    </row>
    <row r="455" customHeight="1" spans="4:7">
      <c r="D455" s="256">
        <v>46004</v>
      </c>
      <c r="E455" s="257" t="s">
        <v>2480</v>
      </c>
      <c r="F455" s="257" t="s">
        <v>2518</v>
      </c>
      <c r="G455" s="257" t="s">
        <v>2519</v>
      </c>
    </row>
    <row r="456" customHeight="1" spans="4:7">
      <c r="D456" s="256">
        <v>46004</v>
      </c>
      <c r="E456" s="257" t="s">
        <v>2480</v>
      </c>
      <c r="F456" s="257" t="s">
        <v>2520</v>
      </c>
      <c r="G456" s="257" t="s">
        <v>2521</v>
      </c>
    </row>
    <row r="457" customHeight="1" spans="4:7">
      <c r="D457" s="256">
        <v>46004</v>
      </c>
      <c r="E457" s="257" t="s">
        <v>2480</v>
      </c>
      <c r="F457" s="257" t="s">
        <v>2522</v>
      </c>
      <c r="G457" s="257" t="s">
        <v>2523</v>
      </c>
    </row>
    <row r="458" customHeight="1" spans="4:7">
      <c r="D458" s="256">
        <v>46004</v>
      </c>
      <c r="E458" s="257" t="s">
        <v>2480</v>
      </c>
      <c r="F458" s="257" t="s">
        <v>2524</v>
      </c>
      <c r="G458" s="257" t="s">
        <v>2525</v>
      </c>
    </row>
    <row r="459" customHeight="1" spans="4:7">
      <c r="D459" s="256">
        <v>46004</v>
      </c>
      <c r="E459" s="257" t="s">
        <v>2480</v>
      </c>
      <c r="F459" s="257" t="s">
        <v>2526</v>
      </c>
      <c r="G459" s="257" t="s">
        <v>2527</v>
      </c>
    </row>
    <row r="460" customHeight="1" spans="4:7">
      <c r="D460" s="256">
        <v>46004</v>
      </c>
      <c r="E460" s="257" t="s">
        <v>2480</v>
      </c>
      <c r="F460" s="257" t="s">
        <v>2528</v>
      </c>
      <c r="G460" s="257" t="s">
        <v>2529</v>
      </c>
    </row>
    <row r="461" customHeight="1" spans="4:7">
      <c r="D461" s="256">
        <v>46004</v>
      </c>
      <c r="E461" s="257" t="s">
        <v>2480</v>
      </c>
      <c r="F461" s="257" t="s">
        <v>2530</v>
      </c>
      <c r="G461" s="257" t="s">
        <v>2531</v>
      </c>
    </row>
    <row r="462" customHeight="1" spans="4:7">
      <c r="D462" s="256">
        <v>46004</v>
      </c>
      <c r="E462" s="257" t="s">
        <v>2480</v>
      </c>
      <c r="F462" s="257" t="s">
        <v>2532</v>
      </c>
      <c r="G462" s="257" t="s">
        <v>2533</v>
      </c>
    </row>
    <row r="463" customHeight="1" spans="4:7">
      <c r="D463" s="256">
        <v>46004</v>
      </c>
      <c r="E463" s="257" t="s">
        <v>2480</v>
      </c>
      <c r="F463" s="257" t="s">
        <v>2534</v>
      </c>
      <c r="G463" s="257" t="s">
        <v>2535</v>
      </c>
    </row>
    <row r="464" customHeight="1" spans="4:7">
      <c r="D464" s="256">
        <v>46004</v>
      </c>
      <c r="E464" s="257" t="s">
        <v>2480</v>
      </c>
      <c r="F464" s="257" t="s">
        <v>2536</v>
      </c>
      <c r="G464" s="257" t="s">
        <v>2537</v>
      </c>
    </row>
    <row r="465" customHeight="1" spans="4:7">
      <c r="D465" s="256">
        <v>46004</v>
      </c>
      <c r="E465" s="257" t="s">
        <v>2480</v>
      </c>
      <c r="F465" s="257" t="s">
        <v>2538</v>
      </c>
      <c r="G465" s="257" t="s">
        <v>2539</v>
      </c>
    </row>
    <row r="466" customHeight="1" spans="4:7">
      <c r="D466" s="256">
        <v>46004</v>
      </c>
      <c r="E466" s="257" t="s">
        <v>2480</v>
      </c>
      <c r="F466" s="257" t="s">
        <v>2540</v>
      </c>
      <c r="G466" s="257" t="s">
        <v>2541</v>
      </c>
    </row>
    <row r="467" customHeight="1" spans="4:7">
      <c r="D467" s="256">
        <v>48004</v>
      </c>
      <c r="E467" s="257" t="s">
        <v>2542</v>
      </c>
      <c r="F467" s="257" t="s">
        <v>2543</v>
      </c>
      <c r="G467" s="257" t="s">
        <v>2544</v>
      </c>
    </row>
    <row r="468" customHeight="1" spans="4:7">
      <c r="D468" s="256">
        <v>48004</v>
      </c>
      <c r="E468" s="257" t="s">
        <v>2542</v>
      </c>
      <c r="F468" s="257" t="s">
        <v>2545</v>
      </c>
      <c r="G468" s="257" t="s">
        <v>2546</v>
      </c>
    </row>
    <row r="469" customHeight="1" spans="4:7">
      <c r="D469" s="256">
        <v>48004</v>
      </c>
      <c r="E469" s="257" t="s">
        <v>2542</v>
      </c>
      <c r="F469" s="257" t="s">
        <v>2547</v>
      </c>
      <c r="G469" s="257" t="s">
        <v>2548</v>
      </c>
    </row>
    <row r="470" customHeight="1" spans="4:7">
      <c r="D470" s="256">
        <v>48004</v>
      </c>
      <c r="E470" s="257" t="s">
        <v>2542</v>
      </c>
      <c r="F470" s="257" t="s">
        <v>2549</v>
      </c>
      <c r="G470" s="257" t="s">
        <v>2550</v>
      </c>
    </row>
    <row r="471" customHeight="1" spans="4:7">
      <c r="D471" s="256">
        <v>48004</v>
      </c>
      <c r="E471" s="257" t="s">
        <v>2542</v>
      </c>
      <c r="F471" s="257" t="s">
        <v>2551</v>
      </c>
      <c r="G471" s="257" t="s">
        <v>2552</v>
      </c>
    </row>
    <row r="472" customHeight="1" spans="4:7">
      <c r="D472" s="256">
        <v>48004</v>
      </c>
      <c r="E472" s="257" t="s">
        <v>2542</v>
      </c>
      <c r="F472" s="257" t="s">
        <v>2553</v>
      </c>
      <c r="G472" s="257" t="s">
        <v>2554</v>
      </c>
    </row>
    <row r="473" customHeight="1" spans="4:7">
      <c r="D473" s="256">
        <v>48004</v>
      </c>
      <c r="E473" s="257" t="s">
        <v>2542</v>
      </c>
      <c r="F473" s="257" t="s">
        <v>2555</v>
      </c>
      <c r="G473" s="257" t="s">
        <v>2556</v>
      </c>
    </row>
    <row r="474" customHeight="1" spans="4:7">
      <c r="D474" s="256">
        <v>48004</v>
      </c>
      <c r="E474" s="257" t="s">
        <v>2542</v>
      </c>
      <c r="F474" s="257" t="s">
        <v>2557</v>
      </c>
      <c r="G474" s="257" t="s">
        <v>2558</v>
      </c>
    </row>
    <row r="475" customHeight="1" spans="4:7">
      <c r="D475" s="256">
        <v>48004</v>
      </c>
      <c r="E475" s="257" t="s">
        <v>2542</v>
      </c>
      <c r="F475" s="257" t="s">
        <v>2559</v>
      </c>
      <c r="G475" s="257" t="s">
        <v>2560</v>
      </c>
    </row>
    <row r="476" customHeight="1" spans="4:7">
      <c r="D476" s="256">
        <v>48004</v>
      </c>
      <c r="E476" s="257" t="s">
        <v>2542</v>
      </c>
      <c r="F476" s="257" t="s">
        <v>2561</v>
      </c>
      <c r="G476" s="257" t="s">
        <v>2562</v>
      </c>
    </row>
    <row r="477" customHeight="1" spans="4:7">
      <c r="D477" s="256">
        <v>48004</v>
      </c>
      <c r="E477" s="257" t="s">
        <v>2542</v>
      </c>
      <c r="F477" s="257" t="s">
        <v>2563</v>
      </c>
      <c r="G477" s="257" t="s">
        <v>2564</v>
      </c>
    </row>
    <row r="478" customHeight="1" spans="4:7">
      <c r="D478" s="256">
        <v>48004</v>
      </c>
      <c r="E478" s="257" t="s">
        <v>2542</v>
      </c>
      <c r="F478" s="257" t="s">
        <v>2565</v>
      </c>
      <c r="G478" s="257" t="s">
        <v>2566</v>
      </c>
    </row>
    <row r="479" customHeight="1" spans="4:7">
      <c r="D479" s="256">
        <v>48004</v>
      </c>
      <c r="E479" s="257" t="s">
        <v>2542</v>
      </c>
      <c r="F479" s="257" t="s">
        <v>2567</v>
      </c>
      <c r="G479" s="257" t="s">
        <v>2568</v>
      </c>
    </row>
    <row r="480" customHeight="1" spans="4:7">
      <c r="D480" s="256">
        <v>48004</v>
      </c>
      <c r="E480" s="257" t="s">
        <v>2542</v>
      </c>
      <c r="F480" s="257" t="s">
        <v>2569</v>
      </c>
      <c r="G480" s="257" t="s">
        <v>2570</v>
      </c>
    </row>
    <row r="481" customHeight="1" spans="4:7">
      <c r="D481" s="256">
        <v>48004</v>
      </c>
      <c r="E481" s="257" t="s">
        <v>2542</v>
      </c>
      <c r="F481" s="257" t="s">
        <v>2571</v>
      </c>
      <c r="G481" s="257" t="s">
        <v>2572</v>
      </c>
    </row>
    <row r="482" customHeight="1" spans="4:7">
      <c r="D482" s="256">
        <v>48004</v>
      </c>
      <c r="E482" s="257" t="s">
        <v>2542</v>
      </c>
      <c r="F482" s="257" t="s">
        <v>2573</v>
      </c>
      <c r="G482" s="257" t="s">
        <v>2117</v>
      </c>
    </row>
    <row r="483" customHeight="1" spans="4:7">
      <c r="D483" s="256">
        <v>48004</v>
      </c>
      <c r="E483" s="257" t="s">
        <v>2542</v>
      </c>
      <c r="F483" s="257" t="s">
        <v>2574</v>
      </c>
      <c r="G483" s="257" t="s">
        <v>2575</v>
      </c>
    </row>
    <row r="484" customHeight="1" spans="4:7">
      <c r="D484" s="256">
        <v>48004</v>
      </c>
      <c r="E484" s="257" t="s">
        <v>2542</v>
      </c>
      <c r="F484" s="257" t="s">
        <v>2576</v>
      </c>
      <c r="G484" s="257" t="s">
        <v>2577</v>
      </c>
    </row>
    <row r="485" customHeight="1" spans="4:7">
      <c r="D485" s="256">
        <v>48004</v>
      </c>
      <c r="E485" s="257" t="s">
        <v>2542</v>
      </c>
      <c r="F485" s="257" t="s">
        <v>2578</v>
      </c>
      <c r="G485" s="257" t="s">
        <v>2579</v>
      </c>
    </row>
    <row r="486" customHeight="1" spans="4:7">
      <c r="D486" s="256">
        <v>48004</v>
      </c>
      <c r="E486" s="257" t="s">
        <v>2542</v>
      </c>
      <c r="F486" s="257" t="s">
        <v>2580</v>
      </c>
      <c r="G486" s="257" t="s">
        <v>2581</v>
      </c>
    </row>
    <row r="487" customHeight="1" spans="4:7">
      <c r="D487" s="256">
        <v>48004</v>
      </c>
      <c r="E487" s="257" t="s">
        <v>2542</v>
      </c>
      <c r="F487" s="257" t="s">
        <v>2582</v>
      </c>
      <c r="G487" s="257" t="s">
        <v>2583</v>
      </c>
    </row>
    <row r="488" customHeight="1" spans="4:7">
      <c r="D488" s="256">
        <v>48004</v>
      </c>
      <c r="E488" s="257" t="s">
        <v>2542</v>
      </c>
      <c r="F488" s="257" t="s">
        <v>2584</v>
      </c>
      <c r="G488" s="257" t="s">
        <v>2585</v>
      </c>
    </row>
    <row r="489" customHeight="1" spans="4:7">
      <c r="D489" s="256">
        <v>48004</v>
      </c>
      <c r="E489" s="257" t="s">
        <v>2542</v>
      </c>
      <c r="F489" s="257" t="s">
        <v>2586</v>
      </c>
      <c r="G489" s="257" t="s">
        <v>2587</v>
      </c>
    </row>
    <row r="490" customHeight="1" spans="4:7">
      <c r="D490" s="256">
        <v>48004</v>
      </c>
      <c r="E490" s="257" t="s">
        <v>2542</v>
      </c>
      <c r="F490" s="257" t="s">
        <v>2588</v>
      </c>
      <c r="G490" s="257" t="s">
        <v>2589</v>
      </c>
    </row>
    <row r="491" customHeight="1" spans="4:7">
      <c r="D491" s="256">
        <v>48004</v>
      </c>
      <c r="E491" s="257" t="s">
        <v>2542</v>
      </c>
      <c r="F491" s="257" t="s">
        <v>2590</v>
      </c>
      <c r="G491" s="257" t="s">
        <v>2591</v>
      </c>
    </row>
    <row r="492" customHeight="1" spans="4:7">
      <c r="D492" s="256">
        <v>48004</v>
      </c>
      <c r="E492" s="257" t="s">
        <v>2542</v>
      </c>
      <c r="F492" s="257" t="s">
        <v>2592</v>
      </c>
      <c r="G492" s="257" t="s">
        <v>2593</v>
      </c>
    </row>
    <row r="493" customHeight="1" spans="4:7">
      <c r="D493" s="256">
        <v>48004</v>
      </c>
      <c r="E493" s="257" t="s">
        <v>2542</v>
      </c>
      <c r="F493" s="257" t="s">
        <v>2594</v>
      </c>
      <c r="G493" s="257" t="s">
        <v>2595</v>
      </c>
    </row>
    <row r="494" customHeight="1" spans="4:7">
      <c r="D494" s="256">
        <v>48004</v>
      </c>
      <c r="E494" s="257" t="s">
        <v>2542</v>
      </c>
      <c r="F494" s="257" t="s">
        <v>2596</v>
      </c>
      <c r="G494" s="257" t="s">
        <v>2597</v>
      </c>
    </row>
    <row r="495" customHeight="1" spans="4:7">
      <c r="D495" s="256">
        <v>48004</v>
      </c>
      <c r="E495" s="257" t="s">
        <v>2542</v>
      </c>
      <c r="F495" s="257" t="s">
        <v>2598</v>
      </c>
      <c r="G495" s="257" t="s">
        <v>2599</v>
      </c>
    </row>
    <row r="496" customHeight="1" spans="4:7">
      <c r="D496" s="256">
        <v>48004</v>
      </c>
      <c r="E496" s="257" t="s">
        <v>2542</v>
      </c>
      <c r="F496" s="257" t="s">
        <v>2600</v>
      </c>
      <c r="G496" s="257" t="s">
        <v>2601</v>
      </c>
    </row>
    <row r="497" customHeight="1" spans="4:7">
      <c r="D497" s="256">
        <v>48004</v>
      </c>
      <c r="E497" s="257" t="s">
        <v>2542</v>
      </c>
      <c r="F497" s="257" t="s">
        <v>2602</v>
      </c>
      <c r="G497" s="257" t="s">
        <v>2603</v>
      </c>
    </row>
    <row r="498" customHeight="1" spans="4:7">
      <c r="D498" s="256">
        <v>48004</v>
      </c>
      <c r="E498" s="257" t="s">
        <v>2542</v>
      </c>
      <c r="F498" s="257" t="s">
        <v>2604</v>
      </c>
      <c r="G498" s="257" t="s">
        <v>2605</v>
      </c>
    </row>
    <row r="499" customHeight="1" spans="4:7">
      <c r="D499" s="256">
        <v>48004</v>
      </c>
      <c r="E499" s="257" t="s">
        <v>2542</v>
      </c>
      <c r="F499" s="257" t="s">
        <v>2606</v>
      </c>
      <c r="G499" s="257" t="s">
        <v>2607</v>
      </c>
    </row>
    <row r="500" customHeight="1" spans="4:7">
      <c r="D500" s="256">
        <v>48004</v>
      </c>
      <c r="E500" s="257" t="s">
        <v>2542</v>
      </c>
      <c r="F500" s="257" t="s">
        <v>2608</v>
      </c>
      <c r="G500" s="257" t="s">
        <v>2609</v>
      </c>
    </row>
    <row r="501" customHeight="1" spans="4:7">
      <c r="D501" s="256">
        <v>48004</v>
      </c>
      <c r="E501" s="257" t="s">
        <v>2542</v>
      </c>
      <c r="F501" s="257" t="s">
        <v>2610</v>
      </c>
      <c r="G501" s="257" t="s">
        <v>2611</v>
      </c>
    </row>
    <row r="502" customHeight="1" spans="4:7">
      <c r="D502" s="256">
        <v>48004</v>
      </c>
      <c r="E502" s="257" t="s">
        <v>2542</v>
      </c>
      <c r="F502" s="257" t="s">
        <v>2612</v>
      </c>
      <c r="G502" s="257" t="s">
        <v>2613</v>
      </c>
    </row>
    <row r="503" customHeight="1" spans="4:7">
      <c r="D503" s="256">
        <v>48004</v>
      </c>
      <c r="E503" s="257" t="s">
        <v>2542</v>
      </c>
      <c r="F503" s="257" t="s">
        <v>2614</v>
      </c>
      <c r="G503" s="257" t="s">
        <v>2615</v>
      </c>
    </row>
    <row r="504" customHeight="1" spans="4:7">
      <c r="D504" s="256">
        <v>48004</v>
      </c>
      <c r="E504" s="257" t="s">
        <v>2542</v>
      </c>
      <c r="F504" s="257" t="s">
        <v>2616</v>
      </c>
      <c r="G504" s="257" t="s">
        <v>2617</v>
      </c>
    </row>
    <row r="505" customHeight="1" spans="4:7">
      <c r="D505" s="256">
        <v>51005</v>
      </c>
      <c r="E505" s="257" t="s">
        <v>2618</v>
      </c>
      <c r="F505" s="257" t="s">
        <v>2619</v>
      </c>
      <c r="G505" s="257" t="s">
        <v>2620</v>
      </c>
    </row>
    <row r="506" customHeight="1" spans="4:7">
      <c r="D506" s="256">
        <v>51005</v>
      </c>
      <c r="E506" s="257" t="s">
        <v>2618</v>
      </c>
      <c r="F506" s="257" t="s">
        <v>2621</v>
      </c>
      <c r="G506" s="257" t="s">
        <v>2622</v>
      </c>
    </row>
    <row r="507" customHeight="1" spans="4:7">
      <c r="D507" s="256">
        <v>51005</v>
      </c>
      <c r="E507" s="257" t="s">
        <v>2618</v>
      </c>
      <c r="F507" s="257" t="s">
        <v>2623</v>
      </c>
      <c r="G507" s="257" t="s">
        <v>2624</v>
      </c>
    </row>
    <row r="508" customHeight="1" spans="4:7">
      <c r="D508" s="256">
        <v>51005</v>
      </c>
      <c r="E508" s="257" t="s">
        <v>2618</v>
      </c>
      <c r="F508" s="257" t="s">
        <v>2625</v>
      </c>
      <c r="G508" s="257" t="s">
        <v>2626</v>
      </c>
    </row>
    <row r="509" customHeight="1" spans="4:7">
      <c r="D509" s="256">
        <v>51005</v>
      </c>
      <c r="E509" s="257" t="s">
        <v>2618</v>
      </c>
      <c r="F509" s="257" t="s">
        <v>2627</v>
      </c>
      <c r="G509" s="257" t="s">
        <v>2628</v>
      </c>
    </row>
    <row r="510" customHeight="1" spans="4:7">
      <c r="D510" s="256">
        <v>51005</v>
      </c>
      <c r="E510" s="257" t="s">
        <v>2618</v>
      </c>
      <c r="F510" s="257" t="s">
        <v>2629</v>
      </c>
      <c r="G510" s="257" t="s">
        <v>2630</v>
      </c>
    </row>
    <row r="511" customHeight="1" spans="4:7">
      <c r="D511" s="256">
        <v>51005</v>
      </c>
      <c r="E511" s="257" t="s">
        <v>2618</v>
      </c>
      <c r="F511" s="257" t="s">
        <v>2631</v>
      </c>
      <c r="G511" s="257" t="s">
        <v>2632</v>
      </c>
    </row>
    <row r="512" customHeight="1" spans="4:7">
      <c r="D512" s="256">
        <v>51005</v>
      </c>
      <c r="E512" s="257" t="s">
        <v>2618</v>
      </c>
      <c r="F512" s="257" t="s">
        <v>2633</v>
      </c>
      <c r="G512" s="257" t="s">
        <v>2634</v>
      </c>
    </row>
    <row r="513" customHeight="1" spans="4:7">
      <c r="D513" s="256">
        <v>51005</v>
      </c>
      <c r="E513" s="257" t="s">
        <v>2618</v>
      </c>
      <c r="F513" s="257" t="s">
        <v>2635</v>
      </c>
      <c r="G513" s="257" t="s">
        <v>2636</v>
      </c>
    </row>
    <row r="514" customHeight="1" spans="4:7">
      <c r="D514" s="256">
        <v>51005</v>
      </c>
      <c r="E514" s="257" t="s">
        <v>2618</v>
      </c>
      <c r="F514" s="257" t="s">
        <v>2637</v>
      </c>
      <c r="G514" s="257" t="s">
        <v>2638</v>
      </c>
    </row>
    <row r="515" customHeight="1" spans="4:7">
      <c r="D515" s="256">
        <v>51005</v>
      </c>
      <c r="E515" s="257" t="s">
        <v>2618</v>
      </c>
      <c r="F515" s="257" t="s">
        <v>2639</v>
      </c>
      <c r="G515" s="257" t="s">
        <v>2640</v>
      </c>
    </row>
    <row r="516" customHeight="1" spans="4:7">
      <c r="D516" s="256">
        <v>51005</v>
      </c>
      <c r="E516" s="257" t="s">
        <v>2618</v>
      </c>
      <c r="F516" s="257" t="s">
        <v>2641</v>
      </c>
      <c r="G516" s="257" t="s">
        <v>2642</v>
      </c>
    </row>
    <row r="517" customHeight="1" spans="4:7">
      <c r="D517" s="256">
        <v>51005</v>
      </c>
      <c r="E517" s="257" t="s">
        <v>2618</v>
      </c>
      <c r="F517" s="257" t="s">
        <v>2643</v>
      </c>
      <c r="G517" s="257" t="s">
        <v>2644</v>
      </c>
    </row>
    <row r="518" customHeight="1" spans="4:7">
      <c r="D518" s="256">
        <v>51005</v>
      </c>
      <c r="E518" s="257" t="s">
        <v>2618</v>
      </c>
      <c r="F518" s="257" t="s">
        <v>2645</v>
      </c>
      <c r="G518" s="257" t="s">
        <v>2646</v>
      </c>
    </row>
    <row r="519" customHeight="1" spans="4:7">
      <c r="D519" s="256">
        <v>51005</v>
      </c>
      <c r="E519" s="257" t="s">
        <v>2618</v>
      </c>
      <c r="F519" s="257" t="s">
        <v>2647</v>
      </c>
      <c r="G519" s="257" t="s">
        <v>2648</v>
      </c>
    </row>
    <row r="520" customHeight="1" spans="4:7">
      <c r="D520" s="256">
        <v>51005</v>
      </c>
      <c r="E520" s="257" t="s">
        <v>2618</v>
      </c>
      <c r="F520" s="257" t="s">
        <v>2649</v>
      </c>
      <c r="G520" s="257" t="s">
        <v>2650</v>
      </c>
    </row>
    <row r="521" customHeight="1" spans="4:7">
      <c r="D521" s="256">
        <v>51005</v>
      </c>
      <c r="E521" s="257" t="s">
        <v>2618</v>
      </c>
      <c r="F521" s="257" t="s">
        <v>2651</v>
      </c>
      <c r="G521" s="257" t="s">
        <v>2652</v>
      </c>
    </row>
    <row r="522" customHeight="1" spans="4:7">
      <c r="D522" s="256">
        <v>51005</v>
      </c>
      <c r="E522" s="257" t="s">
        <v>2618</v>
      </c>
      <c r="F522" s="257" t="s">
        <v>2653</v>
      </c>
      <c r="G522" s="257" t="s">
        <v>2654</v>
      </c>
    </row>
    <row r="523" customHeight="1" spans="4:7">
      <c r="D523" s="256">
        <v>51005</v>
      </c>
      <c r="E523" s="257" t="s">
        <v>2618</v>
      </c>
      <c r="F523" s="257" t="s">
        <v>2655</v>
      </c>
      <c r="G523" s="257" t="s">
        <v>2656</v>
      </c>
    </row>
    <row r="524" customHeight="1" spans="4:7">
      <c r="D524" s="256">
        <v>51005</v>
      </c>
      <c r="E524" s="257" t="s">
        <v>2618</v>
      </c>
      <c r="F524" s="257" t="s">
        <v>2657</v>
      </c>
      <c r="G524" s="257" t="s">
        <v>2658</v>
      </c>
    </row>
    <row r="525" customHeight="1" spans="4:7">
      <c r="D525" s="256">
        <v>51005</v>
      </c>
      <c r="E525" s="257" t="s">
        <v>2618</v>
      </c>
      <c r="F525" s="257" t="s">
        <v>2659</v>
      </c>
      <c r="G525" s="257" t="s">
        <v>2660</v>
      </c>
    </row>
    <row r="526" customHeight="1" spans="4:7">
      <c r="D526" s="256">
        <v>51005</v>
      </c>
      <c r="E526" s="257" t="s">
        <v>2618</v>
      </c>
      <c r="F526" s="257" t="s">
        <v>2661</v>
      </c>
      <c r="G526" s="257" t="s">
        <v>2662</v>
      </c>
    </row>
    <row r="527" customHeight="1" spans="4:7">
      <c r="D527" s="256">
        <v>51005</v>
      </c>
      <c r="E527" s="257" t="s">
        <v>2618</v>
      </c>
      <c r="F527" s="257" t="s">
        <v>2663</v>
      </c>
      <c r="G527" s="257" t="s">
        <v>2664</v>
      </c>
    </row>
    <row r="528" customHeight="1" spans="4:7">
      <c r="D528" s="256">
        <v>51005</v>
      </c>
      <c r="E528" s="257" t="s">
        <v>2618</v>
      </c>
      <c r="F528" s="257" t="s">
        <v>2665</v>
      </c>
      <c r="G528" s="257" t="s">
        <v>2666</v>
      </c>
    </row>
    <row r="529" customHeight="1" spans="4:7">
      <c r="D529" s="256">
        <v>51005</v>
      </c>
      <c r="E529" s="257" t="s">
        <v>2618</v>
      </c>
      <c r="F529" s="257" t="s">
        <v>2667</v>
      </c>
      <c r="G529" s="257" t="s">
        <v>2668</v>
      </c>
    </row>
    <row r="530" customHeight="1" spans="4:7">
      <c r="D530" s="256">
        <v>51005</v>
      </c>
      <c r="E530" s="257" t="s">
        <v>2618</v>
      </c>
      <c r="F530" s="257" t="s">
        <v>2669</v>
      </c>
      <c r="G530" s="257" t="s">
        <v>2670</v>
      </c>
    </row>
    <row r="531" customHeight="1" spans="4:7">
      <c r="D531" s="256">
        <v>51005</v>
      </c>
      <c r="E531" s="257" t="s">
        <v>2618</v>
      </c>
      <c r="F531" s="257" t="s">
        <v>2671</v>
      </c>
      <c r="G531" s="257" t="s">
        <v>2672</v>
      </c>
    </row>
    <row r="532" customHeight="1" spans="4:7">
      <c r="D532" s="256">
        <v>51005</v>
      </c>
      <c r="E532" s="257" t="s">
        <v>2618</v>
      </c>
      <c r="F532" s="257" t="s">
        <v>2673</v>
      </c>
      <c r="G532" s="257" t="s">
        <v>2161</v>
      </c>
    </row>
    <row r="533" customHeight="1" spans="4:7">
      <c r="D533" s="256">
        <v>51005</v>
      </c>
      <c r="E533" s="257" t="s">
        <v>2618</v>
      </c>
      <c r="F533" s="257" t="s">
        <v>2674</v>
      </c>
      <c r="G533" s="257" t="s">
        <v>2675</v>
      </c>
    </row>
    <row r="534" customHeight="1" spans="4:7">
      <c r="D534" s="256">
        <v>51005</v>
      </c>
      <c r="E534" s="257" t="s">
        <v>2618</v>
      </c>
      <c r="F534" s="257" t="s">
        <v>2676</v>
      </c>
      <c r="G534" s="257" t="s">
        <v>2677</v>
      </c>
    </row>
    <row r="535" customHeight="1" spans="4:7">
      <c r="D535" s="256">
        <v>51005</v>
      </c>
      <c r="E535" s="257" t="s">
        <v>2618</v>
      </c>
      <c r="F535" s="257" t="s">
        <v>2678</v>
      </c>
      <c r="G535" s="257" t="s">
        <v>2679</v>
      </c>
    </row>
    <row r="536" customHeight="1" spans="4:7">
      <c r="D536" s="256">
        <v>51005</v>
      </c>
      <c r="E536" s="257" t="s">
        <v>2618</v>
      </c>
      <c r="F536" s="257" t="s">
        <v>2680</v>
      </c>
      <c r="G536" s="257" t="s">
        <v>2539</v>
      </c>
    </row>
    <row r="537" customHeight="1" spans="4:7">
      <c r="D537" s="256">
        <v>51005</v>
      </c>
      <c r="E537" s="257" t="s">
        <v>2618</v>
      </c>
      <c r="F537" s="257" t="s">
        <v>2681</v>
      </c>
      <c r="G537" s="257" t="s">
        <v>2682</v>
      </c>
    </row>
    <row r="538" customHeight="1" spans="4:7">
      <c r="D538" s="256">
        <v>47003</v>
      </c>
      <c r="E538" s="257" t="s">
        <v>2683</v>
      </c>
      <c r="F538" s="257" t="s">
        <v>2684</v>
      </c>
      <c r="G538" s="257" t="s">
        <v>2626</v>
      </c>
    </row>
    <row r="539" customHeight="1" spans="4:7">
      <c r="D539" s="256">
        <v>47003</v>
      </c>
      <c r="E539" s="257" t="s">
        <v>2683</v>
      </c>
      <c r="F539" s="257" t="s">
        <v>2685</v>
      </c>
      <c r="G539" s="257" t="s">
        <v>2686</v>
      </c>
    </row>
    <row r="540" customHeight="1" spans="4:7">
      <c r="D540" s="256">
        <v>47003</v>
      </c>
      <c r="E540" s="257" t="s">
        <v>2683</v>
      </c>
      <c r="F540" s="257" t="s">
        <v>2687</v>
      </c>
      <c r="G540" s="257" t="s">
        <v>2688</v>
      </c>
    </row>
    <row r="541" customHeight="1" spans="4:7">
      <c r="D541" s="256">
        <v>47003</v>
      </c>
      <c r="E541" s="257" t="s">
        <v>2683</v>
      </c>
      <c r="F541" s="257" t="s">
        <v>2689</v>
      </c>
      <c r="G541" s="257" t="s">
        <v>2690</v>
      </c>
    </row>
    <row r="542" customHeight="1" spans="4:7">
      <c r="D542" s="256">
        <v>47003</v>
      </c>
      <c r="E542" s="257" t="s">
        <v>2683</v>
      </c>
      <c r="F542" s="257" t="s">
        <v>2691</v>
      </c>
      <c r="G542" s="257" t="s">
        <v>2692</v>
      </c>
    </row>
    <row r="543" customHeight="1" spans="4:7">
      <c r="D543" s="256">
        <v>47003</v>
      </c>
      <c r="E543" s="257" t="s">
        <v>2683</v>
      </c>
      <c r="F543" s="257" t="s">
        <v>2693</v>
      </c>
      <c r="G543" s="257" t="s">
        <v>2694</v>
      </c>
    </row>
    <row r="544" customHeight="1" spans="4:7">
      <c r="D544" s="256">
        <v>47003</v>
      </c>
      <c r="E544" s="257" t="s">
        <v>2683</v>
      </c>
      <c r="F544" s="257" t="s">
        <v>2695</v>
      </c>
      <c r="G544" s="257" t="s">
        <v>2696</v>
      </c>
    </row>
    <row r="545" customHeight="1" spans="4:7">
      <c r="D545" s="256">
        <v>47003</v>
      </c>
      <c r="E545" s="257" t="s">
        <v>2683</v>
      </c>
      <c r="F545" s="257" t="s">
        <v>2697</v>
      </c>
      <c r="G545" s="257" t="s">
        <v>2698</v>
      </c>
    </row>
    <row r="546" customHeight="1" spans="4:7">
      <c r="D546" s="256">
        <v>47003</v>
      </c>
      <c r="E546" s="257" t="s">
        <v>2683</v>
      </c>
      <c r="F546" s="257" t="s">
        <v>2699</v>
      </c>
      <c r="G546" s="257" t="s">
        <v>2700</v>
      </c>
    </row>
    <row r="547" customHeight="1" spans="4:7">
      <c r="D547" s="256">
        <v>47003</v>
      </c>
      <c r="E547" s="257" t="s">
        <v>2683</v>
      </c>
      <c r="F547" s="257" t="s">
        <v>2701</v>
      </c>
      <c r="G547" s="257" t="s">
        <v>2702</v>
      </c>
    </row>
    <row r="548" customHeight="1" spans="4:7">
      <c r="D548" s="256">
        <v>47003</v>
      </c>
      <c r="E548" s="257" t="s">
        <v>2683</v>
      </c>
      <c r="F548" s="257" t="s">
        <v>2703</v>
      </c>
      <c r="G548" s="257" t="s">
        <v>2704</v>
      </c>
    </row>
    <row r="549" customHeight="1" spans="4:7">
      <c r="D549" s="256">
        <v>52003</v>
      </c>
      <c r="E549" s="257" t="s">
        <v>2705</v>
      </c>
      <c r="F549" s="257" t="s">
        <v>2706</v>
      </c>
      <c r="G549" s="257" t="s">
        <v>2707</v>
      </c>
    </row>
    <row r="550" customHeight="1" spans="4:7">
      <c r="D550" s="256">
        <v>52003</v>
      </c>
      <c r="E550" s="257" t="s">
        <v>2705</v>
      </c>
      <c r="F550" s="257" t="s">
        <v>2708</v>
      </c>
      <c r="G550" s="257" t="s">
        <v>2709</v>
      </c>
    </row>
    <row r="551" customHeight="1" spans="4:7">
      <c r="D551" s="256">
        <v>52003</v>
      </c>
      <c r="E551" s="257" t="s">
        <v>2705</v>
      </c>
      <c r="F551" s="257" t="s">
        <v>2710</v>
      </c>
      <c r="G551" s="257" t="s">
        <v>2711</v>
      </c>
    </row>
    <row r="552" customHeight="1" spans="4:7">
      <c r="D552" s="256">
        <v>52003</v>
      </c>
      <c r="E552" s="257" t="s">
        <v>2705</v>
      </c>
      <c r="F552" s="257" t="s">
        <v>2712</v>
      </c>
      <c r="G552" s="257" t="s">
        <v>2713</v>
      </c>
    </row>
    <row r="553" customHeight="1" spans="4:7">
      <c r="D553" s="256">
        <v>52003</v>
      </c>
      <c r="E553" s="257" t="s">
        <v>2705</v>
      </c>
      <c r="F553" s="257" t="s">
        <v>2714</v>
      </c>
      <c r="G553" s="257" t="s">
        <v>2437</v>
      </c>
    </row>
    <row r="554" customHeight="1" spans="4:7">
      <c r="D554" s="256">
        <v>50002</v>
      </c>
      <c r="E554" s="257" t="s">
        <v>2715</v>
      </c>
      <c r="F554" s="257" t="s">
        <v>2716</v>
      </c>
      <c r="G554" s="257" t="s">
        <v>2717</v>
      </c>
    </row>
    <row r="555" customHeight="1" spans="4:7">
      <c r="D555" s="256">
        <v>50002</v>
      </c>
      <c r="E555" s="257" t="s">
        <v>2715</v>
      </c>
      <c r="F555" s="257" t="s">
        <v>2718</v>
      </c>
      <c r="G555" s="257" t="s">
        <v>2719</v>
      </c>
    </row>
    <row r="556" customHeight="1" spans="4:7">
      <c r="D556" s="256">
        <v>50002</v>
      </c>
      <c r="E556" s="257" t="s">
        <v>2715</v>
      </c>
      <c r="F556" s="257" t="s">
        <v>2720</v>
      </c>
      <c r="G556" s="257" t="s">
        <v>2721</v>
      </c>
    </row>
    <row r="557" customHeight="1" spans="4:7">
      <c r="D557" s="256">
        <v>50002</v>
      </c>
      <c r="E557" s="257" t="s">
        <v>2715</v>
      </c>
      <c r="F557" s="257" t="s">
        <v>2722</v>
      </c>
      <c r="G557" s="257" t="s">
        <v>2723</v>
      </c>
    </row>
    <row r="558" customHeight="1" spans="4:7">
      <c r="D558" s="256">
        <v>50002</v>
      </c>
      <c r="E558" s="257" t="s">
        <v>2715</v>
      </c>
      <c r="F558" s="257" t="s">
        <v>2724</v>
      </c>
      <c r="G558" s="257" t="s">
        <v>2725</v>
      </c>
    </row>
    <row r="559" customHeight="1" spans="4:7">
      <c r="D559" s="256">
        <v>50002</v>
      </c>
      <c r="E559" s="257" t="s">
        <v>2715</v>
      </c>
      <c r="F559" s="257" t="s">
        <v>2726</v>
      </c>
      <c r="G559" s="257" t="s">
        <v>2727</v>
      </c>
    </row>
    <row r="560" customHeight="1" spans="4:7">
      <c r="D560" s="256">
        <v>50003</v>
      </c>
      <c r="E560" s="257" t="s">
        <v>2728</v>
      </c>
      <c r="F560" s="257" t="s">
        <v>2729</v>
      </c>
      <c r="G560" s="257" t="s">
        <v>2730</v>
      </c>
    </row>
    <row r="561" customHeight="1" spans="4:7">
      <c r="D561" s="256">
        <v>50003</v>
      </c>
      <c r="E561" s="257" t="s">
        <v>2728</v>
      </c>
      <c r="F561" s="257" t="s">
        <v>2731</v>
      </c>
      <c r="G561" s="257" t="s">
        <v>2732</v>
      </c>
    </row>
    <row r="562" customHeight="1" spans="4:7">
      <c r="D562" s="256">
        <v>50003</v>
      </c>
      <c r="E562" s="257" t="s">
        <v>2728</v>
      </c>
      <c r="F562" s="257" t="s">
        <v>2733</v>
      </c>
      <c r="G562" s="257" t="s">
        <v>2734</v>
      </c>
    </row>
    <row r="563" customHeight="1" spans="4:7">
      <c r="D563" s="256">
        <v>50003</v>
      </c>
      <c r="E563" s="257" t="s">
        <v>2728</v>
      </c>
      <c r="F563" s="257" t="s">
        <v>2735</v>
      </c>
      <c r="G563" s="257" t="s">
        <v>2736</v>
      </c>
    </row>
    <row r="564" customHeight="1" spans="4:7">
      <c r="D564" s="256">
        <v>50003</v>
      </c>
      <c r="E564" s="257" t="s">
        <v>2728</v>
      </c>
      <c r="F564" s="257" t="s">
        <v>2737</v>
      </c>
      <c r="G564" s="257" t="s">
        <v>2738</v>
      </c>
    </row>
    <row r="565" customHeight="1" spans="4:7">
      <c r="D565" s="256">
        <v>50003</v>
      </c>
      <c r="E565" s="257" t="s">
        <v>2728</v>
      </c>
      <c r="F565" s="257" t="s">
        <v>2739</v>
      </c>
      <c r="G565" s="257" t="s">
        <v>2740</v>
      </c>
    </row>
    <row r="566" customHeight="1" spans="4:7">
      <c r="D566" s="256">
        <v>50004</v>
      </c>
      <c r="E566" s="257" t="s">
        <v>2741</v>
      </c>
      <c r="F566" s="257" t="s">
        <v>2742</v>
      </c>
      <c r="G566" s="257" t="s">
        <v>2743</v>
      </c>
    </row>
    <row r="567" customHeight="1" spans="4:7">
      <c r="D567" s="256">
        <v>50004</v>
      </c>
      <c r="E567" s="257" t="s">
        <v>2741</v>
      </c>
      <c r="F567" s="257" t="s">
        <v>2744</v>
      </c>
      <c r="G567" s="257" t="s">
        <v>2745</v>
      </c>
    </row>
    <row r="568" customHeight="1" spans="4:7">
      <c r="D568" s="256">
        <v>50004</v>
      </c>
      <c r="E568" s="257" t="s">
        <v>2741</v>
      </c>
      <c r="F568" s="257" t="s">
        <v>2746</v>
      </c>
      <c r="G568" s="257" t="s">
        <v>2747</v>
      </c>
    </row>
    <row r="569" customHeight="1" spans="4:7">
      <c r="D569" s="256">
        <v>50004</v>
      </c>
      <c r="E569" s="257" t="s">
        <v>2741</v>
      </c>
      <c r="F569" s="257" t="s">
        <v>2748</v>
      </c>
      <c r="G569" s="257" t="s">
        <v>2749</v>
      </c>
    </row>
    <row r="570" customHeight="1" spans="4:7">
      <c r="D570" s="256">
        <v>50004</v>
      </c>
      <c r="E570" s="257" t="s">
        <v>2741</v>
      </c>
      <c r="F570" s="257" t="s">
        <v>2750</v>
      </c>
      <c r="G570" s="257" t="s">
        <v>2751</v>
      </c>
    </row>
    <row r="571" customHeight="1" spans="4:7">
      <c r="D571" s="256">
        <v>50004</v>
      </c>
      <c r="E571" s="257" t="s">
        <v>2741</v>
      </c>
      <c r="F571" s="257" t="s">
        <v>2752</v>
      </c>
      <c r="G571" s="257" t="s">
        <v>2753</v>
      </c>
    </row>
    <row r="572" customHeight="1" spans="4:7">
      <c r="D572" s="256">
        <v>50004</v>
      </c>
      <c r="E572" s="257" t="s">
        <v>2741</v>
      </c>
      <c r="F572" s="257" t="s">
        <v>2754</v>
      </c>
      <c r="G572" s="257" t="s">
        <v>2755</v>
      </c>
    </row>
    <row r="573" customHeight="1" spans="4:7">
      <c r="D573" s="256">
        <v>50004</v>
      </c>
      <c r="E573" s="257" t="s">
        <v>2741</v>
      </c>
      <c r="F573" s="257" t="s">
        <v>2756</v>
      </c>
      <c r="G573" s="257" t="s">
        <v>2757</v>
      </c>
    </row>
    <row r="574" customHeight="1" spans="4:7">
      <c r="D574" s="256">
        <v>48005</v>
      </c>
      <c r="E574" s="257" t="s">
        <v>2758</v>
      </c>
      <c r="F574" s="257" t="s">
        <v>2759</v>
      </c>
      <c r="G574" s="257" t="s">
        <v>2760</v>
      </c>
    </row>
    <row r="575" customHeight="1" spans="4:7">
      <c r="D575" s="256">
        <v>48005</v>
      </c>
      <c r="E575" s="257" t="s">
        <v>2758</v>
      </c>
      <c r="F575" s="257" t="s">
        <v>2761</v>
      </c>
      <c r="G575" s="257" t="s">
        <v>2762</v>
      </c>
    </row>
    <row r="576" customHeight="1" spans="4:7">
      <c r="D576" s="256">
        <v>48005</v>
      </c>
      <c r="E576" s="257" t="s">
        <v>2758</v>
      </c>
      <c r="F576" s="257" t="s">
        <v>2763</v>
      </c>
      <c r="G576" s="257" t="s">
        <v>2764</v>
      </c>
    </row>
    <row r="577" customHeight="1" spans="4:7">
      <c r="D577" s="256">
        <v>48005</v>
      </c>
      <c r="E577" s="257" t="s">
        <v>2758</v>
      </c>
      <c r="F577" s="257" t="s">
        <v>2765</v>
      </c>
      <c r="G577" s="257" t="s">
        <v>2766</v>
      </c>
    </row>
    <row r="578" customHeight="1" spans="4:7">
      <c r="D578" s="256">
        <v>48005</v>
      </c>
      <c r="E578" s="257" t="s">
        <v>2758</v>
      </c>
      <c r="F578" s="257" t="s">
        <v>2767</v>
      </c>
      <c r="G578" s="257" t="s">
        <v>2768</v>
      </c>
    </row>
    <row r="579" customHeight="1" spans="4:7">
      <c r="D579" s="256">
        <v>48005</v>
      </c>
      <c r="E579" s="257" t="s">
        <v>2758</v>
      </c>
      <c r="F579" s="257" t="s">
        <v>2769</v>
      </c>
      <c r="G579" s="257" t="s">
        <v>2770</v>
      </c>
    </row>
    <row r="580" customHeight="1" spans="4:7">
      <c r="D580" s="256">
        <v>48005</v>
      </c>
      <c r="E580" s="257" t="s">
        <v>2758</v>
      </c>
      <c r="F580" s="257" t="s">
        <v>2771</v>
      </c>
      <c r="G580" s="257" t="s">
        <v>2772</v>
      </c>
    </row>
    <row r="581" customHeight="1" spans="4:7">
      <c r="D581" s="256">
        <v>48005</v>
      </c>
      <c r="E581" s="257" t="s">
        <v>2758</v>
      </c>
      <c r="F581" s="257" t="s">
        <v>2773</v>
      </c>
      <c r="G581" s="257" t="s">
        <v>2774</v>
      </c>
    </row>
    <row r="582" customHeight="1" spans="4:7">
      <c r="D582" s="256">
        <v>48005</v>
      </c>
      <c r="E582" s="257" t="s">
        <v>2758</v>
      </c>
      <c r="F582" s="257" t="s">
        <v>2775</v>
      </c>
      <c r="G582" s="257" t="s">
        <v>2776</v>
      </c>
    </row>
    <row r="583" customHeight="1" spans="4:7">
      <c r="D583" s="256">
        <v>48005</v>
      </c>
      <c r="E583" s="257" t="s">
        <v>2758</v>
      </c>
      <c r="F583" s="257" t="s">
        <v>2777</v>
      </c>
      <c r="G583" s="257" t="s">
        <v>2778</v>
      </c>
    </row>
    <row r="584" customHeight="1" spans="4:7">
      <c r="D584" s="256">
        <v>48005</v>
      </c>
      <c r="E584" s="257" t="s">
        <v>2758</v>
      </c>
      <c r="F584" s="257" t="s">
        <v>2779</v>
      </c>
      <c r="G584" s="257" t="s">
        <v>2780</v>
      </c>
    </row>
    <row r="585" customHeight="1" spans="4:7">
      <c r="D585" s="256">
        <v>48005</v>
      </c>
      <c r="E585" s="257" t="s">
        <v>2758</v>
      </c>
      <c r="F585" s="257" t="s">
        <v>2781</v>
      </c>
      <c r="G585" s="257" t="s">
        <v>2782</v>
      </c>
    </row>
    <row r="586" customHeight="1" spans="4:7">
      <c r="D586" s="256">
        <v>48005</v>
      </c>
      <c r="E586" s="257" t="s">
        <v>2758</v>
      </c>
      <c r="F586" s="257" t="s">
        <v>2783</v>
      </c>
      <c r="G586" s="257" t="s">
        <v>2784</v>
      </c>
    </row>
    <row r="587" customHeight="1" spans="4:7">
      <c r="D587" s="256">
        <v>48005</v>
      </c>
      <c r="E587" s="257" t="s">
        <v>2758</v>
      </c>
      <c r="F587" s="257" t="s">
        <v>2785</v>
      </c>
      <c r="G587" s="257" t="s">
        <v>2786</v>
      </c>
    </row>
    <row r="588" customHeight="1" spans="4:7">
      <c r="D588" s="256">
        <v>48005</v>
      </c>
      <c r="E588" s="257" t="s">
        <v>2758</v>
      </c>
      <c r="F588" s="257" t="s">
        <v>2787</v>
      </c>
      <c r="G588" s="257" t="s">
        <v>2788</v>
      </c>
    </row>
    <row r="589" customHeight="1" spans="4:7">
      <c r="D589" s="256">
        <v>46005</v>
      </c>
      <c r="E589" s="257" t="s">
        <v>2789</v>
      </c>
      <c r="F589" s="257" t="s">
        <v>2790</v>
      </c>
      <c r="G589" s="257" t="s">
        <v>2791</v>
      </c>
    </row>
    <row r="590" customHeight="1" spans="4:7">
      <c r="D590" s="256">
        <v>46005</v>
      </c>
      <c r="E590" s="257" t="s">
        <v>2789</v>
      </c>
      <c r="F590" s="257" t="s">
        <v>2792</v>
      </c>
      <c r="G590" s="257" t="s">
        <v>2793</v>
      </c>
    </row>
    <row r="591" customHeight="1" spans="4:7">
      <c r="D591" s="256">
        <v>46005</v>
      </c>
      <c r="E591" s="257" t="s">
        <v>2789</v>
      </c>
      <c r="F591" s="257" t="s">
        <v>2794</v>
      </c>
      <c r="G591" s="257" t="s">
        <v>2795</v>
      </c>
    </row>
    <row r="592" customHeight="1" spans="4:7">
      <c r="D592" s="256">
        <v>46005</v>
      </c>
      <c r="E592" s="257" t="s">
        <v>2789</v>
      </c>
      <c r="F592" s="257" t="s">
        <v>2796</v>
      </c>
      <c r="G592" s="257" t="s">
        <v>2797</v>
      </c>
    </row>
    <row r="593" customHeight="1" spans="4:7">
      <c r="D593" s="256">
        <v>46005</v>
      </c>
      <c r="E593" s="257" t="s">
        <v>2789</v>
      </c>
      <c r="F593" s="257" t="s">
        <v>2798</v>
      </c>
      <c r="G593" s="257" t="s">
        <v>2799</v>
      </c>
    </row>
    <row r="594" customHeight="1" spans="4:7">
      <c r="D594" s="256">
        <v>46005</v>
      </c>
      <c r="E594" s="257" t="s">
        <v>2789</v>
      </c>
      <c r="F594" s="257" t="s">
        <v>2800</v>
      </c>
      <c r="G594" s="257" t="s">
        <v>2801</v>
      </c>
    </row>
    <row r="595" customHeight="1" spans="4:7">
      <c r="D595" s="256">
        <v>46005</v>
      </c>
      <c r="E595" s="257" t="s">
        <v>2789</v>
      </c>
      <c r="F595" s="257" t="s">
        <v>2802</v>
      </c>
      <c r="G595" s="257" t="s">
        <v>2803</v>
      </c>
    </row>
    <row r="596" customHeight="1" spans="4:7">
      <c r="D596" s="256">
        <v>46005</v>
      </c>
      <c r="E596" s="257" t="s">
        <v>2789</v>
      </c>
      <c r="F596" s="257" t="s">
        <v>2804</v>
      </c>
      <c r="G596" s="257" t="s">
        <v>2805</v>
      </c>
    </row>
    <row r="597" customHeight="1" spans="4:7">
      <c r="D597" s="256">
        <v>46005</v>
      </c>
      <c r="E597" s="257" t="s">
        <v>2789</v>
      </c>
      <c r="F597" s="257" t="s">
        <v>2806</v>
      </c>
      <c r="G597" s="257" t="s">
        <v>2807</v>
      </c>
    </row>
    <row r="598" customHeight="1" spans="4:7">
      <c r="D598" s="256">
        <v>46005</v>
      </c>
      <c r="E598" s="257" t="s">
        <v>2789</v>
      </c>
      <c r="F598" s="257" t="s">
        <v>2808</v>
      </c>
      <c r="G598" s="257" t="s">
        <v>1988</v>
      </c>
    </row>
    <row r="599" customHeight="1" spans="4:7">
      <c r="D599" s="256">
        <v>46005</v>
      </c>
      <c r="E599" s="257" t="s">
        <v>2789</v>
      </c>
      <c r="F599" s="257" t="s">
        <v>2809</v>
      </c>
      <c r="G599" s="257" t="s">
        <v>2488</v>
      </c>
    </row>
    <row r="600" customHeight="1" spans="4:7">
      <c r="D600" s="256">
        <v>46005</v>
      </c>
      <c r="E600" s="257" t="s">
        <v>2789</v>
      </c>
      <c r="F600" s="257" t="s">
        <v>2810</v>
      </c>
      <c r="G600" s="257" t="s">
        <v>2811</v>
      </c>
    </row>
    <row r="601" customHeight="1" spans="4:7">
      <c r="D601" s="256">
        <v>46005</v>
      </c>
      <c r="E601" s="257" t="s">
        <v>2789</v>
      </c>
      <c r="F601" s="257" t="s">
        <v>2812</v>
      </c>
      <c r="G601" s="257" t="s">
        <v>2813</v>
      </c>
    </row>
    <row r="602" customHeight="1" spans="4:7">
      <c r="D602" s="256">
        <v>46005</v>
      </c>
      <c r="E602" s="257" t="s">
        <v>2789</v>
      </c>
      <c r="F602" s="257" t="s">
        <v>2814</v>
      </c>
      <c r="G602" s="257" t="s">
        <v>2815</v>
      </c>
    </row>
    <row r="603" customHeight="1" spans="4:7">
      <c r="D603" s="256">
        <v>46005</v>
      </c>
      <c r="E603" s="257" t="s">
        <v>2789</v>
      </c>
      <c r="F603" s="257" t="s">
        <v>2816</v>
      </c>
      <c r="G603" s="257" t="s">
        <v>2817</v>
      </c>
    </row>
    <row r="604" customHeight="1" spans="4:7">
      <c r="D604" s="256">
        <v>46005</v>
      </c>
      <c r="E604" s="257" t="s">
        <v>2789</v>
      </c>
      <c r="F604" s="257" t="s">
        <v>2818</v>
      </c>
      <c r="G604" s="257" t="s">
        <v>2819</v>
      </c>
    </row>
    <row r="605" customHeight="1" spans="4:7">
      <c r="D605" s="256">
        <v>46005</v>
      </c>
      <c r="E605" s="257" t="s">
        <v>2789</v>
      </c>
      <c r="F605" s="257" t="s">
        <v>2820</v>
      </c>
      <c r="G605" s="257" t="s">
        <v>2821</v>
      </c>
    </row>
    <row r="606" customHeight="1" spans="4:7">
      <c r="D606" s="256">
        <v>46005</v>
      </c>
      <c r="E606" s="257" t="s">
        <v>2789</v>
      </c>
      <c r="F606" s="257" t="s">
        <v>2822</v>
      </c>
      <c r="G606" s="257" t="s">
        <v>2823</v>
      </c>
    </row>
    <row r="607" customHeight="1" spans="4:7">
      <c r="D607" s="256">
        <v>46005</v>
      </c>
      <c r="E607" s="257" t="s">
        <v>2789</v>
      </c>
      <c r="F607" s="257" t="s">
        <v>2824</v>
      </c>
      <c r="G607" s="257" t="s">
        <v>2825</v>
      </c>
    </row>
    <row r="608" customHeight="1" spans="4:7">
      <c r="D608" s="256">
        <v>46005</v>
      </c>
      <c r="E608" s="257" t="s">
        <v>2789</v>
      </c>
      <c r="F608" s="257" t="s">
        <v>2826</v>
      </c>
      <c r="G608" s="257" t="s">
        <v>2827</v>
      </c>
    </row>
    <row r="609" customHeight="1" spans="4:7">
      <c r="D609" s="256">
        <v>46005</v>
      </c>
      <c r="E609" s="257" t="s">
        <v>2789</v>
      </c>
      <c r="F609" s="257" t="s">
        <v>2828</v>
      </c>
      <c r="G609" s="257" t="s">
        <v>2829</v>
      </c>
    </row>
    <row r="610" customHeight="1" spans="4:7">
      <c r="D610" s="256">
        <v>46005</v>
      </c>
      <c r="E610" s="257" t="s">
        <v>2789</v>
      </c>
      <c r="F610" s="257" t="s">
        <v>2830</v>
      </c>
      <c r="G610" s="257" t="s">
        <v>2736</v>
      </c>
    </row>
    <row r="611" customHeight="1" spans="4:7">
      <c r="D611" s="256">
        <v>46005</v>
      </c>
      <c r="E611" s="257" t="s">
        <v>2789</v>
      </c>
      <c r="F611" s="257" t="s">
        <v>2831</v>
      </c>
      <c r="G611" s="257" t="s">
        <v>2832</v>
      </c>
    </row>
    <row r="612" customHeight="1" spans="4:7">
      <c r="D612" s="256">
        <v>46005</v>
      </c>
      <c r="E612" s="257" t="s">
        <v>2789</v>
      </c>
      <c r="F612" s="257" t="s">
        <v>2833</v>
      </c>
      <c r="G612" s="257" t="s">
        <v>2834</v>
      </c>
    </row>
    <row r="613" customHeight="1" spans="4:7">
      <c r="D613" s="256">
        <v>46005</v>
      </c>
      <c r="E613" s="257" t="s">
        <v>2789</v>
      </c>
      <c r="F613" s="257" t="s">
        <v>2835</v>
      </c>
      <c r="G613" s="257" t="s">
        <v>2836</v>
      </c>
    </row>
    <row r="614" customHeight="1" spans="4:7">
      <c r="D614" s="256">
        <v>46005</v>
      </c>
      <c r="E614" s="257" t="s">
        <v>2789</v>
      </c>
      <c r="F614" s="257" t="s">
        <v>2837</v>
      </c>
      <c r="G614" s="257" t="s">
        <v>2838</v>
      </c>
    </row>
    <row r="615" customHeight="1" spans="4:7">
      <c r="D615" s="256">
        <v>46005</v>
      </c>
      <c r="E615" s="257" t="s">
        <v>2789</v>
      </c>
      <c r="F615" s="257" t="s">
        <v>2839</v>
      </c>
      <c r="G615" s="257" t="s">
        <v>2840</v>
      </c>
    </row>
    <row r="616" customHeight="1" spans="4:7">
      <c r="D616" s="256">
        <v>46005</v>
      </c>
      <c r="E616" s="257" t="s">
        <v>2789</v>
      </c>
      <c r="F616" s="257" t="s">
        <v>2841</v>
      </c>
      <c r="G616" s="257" t="s">
        <v>2842</v>
      </c>
    </row>
    <row r="617" customHeight="1" spans="4:7">
      <c r="D617" s="256">
        <v>46005</v>
      </c>
      <c r="E617" s="257" t="s">
        <v>2789</v>
      </c>
      <c r="F617" s="257" t="s">
        <v>2843</v>
      </c>
      <c r="G617" s="257" t="s">
        <v>2844</v>
      </c>
    </row>
    <row r="618" customHeight="1" spans="4:7">
      <c r="D618" s="256">
        <v>46005</v>
      </c>
      <c r="E618" s="257" t="s">
        <v>2789</v>
      </c>
      <c r="F618" s="257" t="s">
        <v>2845</v>
      </c>
      <c r="G618" s="257" t="s">
        <v>2285</v>
      </c>
    </row>
    <row r="619" customHeight="1" spans="4:7">
      <c r="D619" s="256">
        <v>46005</v>
      </c>
      <c r="E619" s="257" t="s">
        <v>2789</v>
      </c>
      <c r="F619" s="257" t="s">
        <v>2846</v>
      </c>
      <c r="G619" s="257" t="s">
        <v>2702</v>
      </c>
    </row>
    <row r="620" customHeight="1" spans="4:7">
      <c r="D620" s="256">
        <v>46005</v>
      </c>
      <c r="E620" s="257" t="s">
        <v>2789</v>
      </c>
      <c r="F620" s="257" t="s">
        <v>2847</v>
      </c>
      <c r="G620" s="257" t="s">
        <v>2848</v>
      </c>
    </row>
    <row r="621" customHeight="1" spans="4:7">
      <c r="D621" s="256">
        <v>46005</v>
      </c>
      <c r="E621" s="257" t="s">
        <v>2789</v>
      </c>
      <c r="F621" s="257" t="s">
        <v>2849</v>
      </c>
      <c r="G621" s="257" t="s">
        <v>2850</v>
      </c>
    </row>
    <row r="622" customHeight="1" spans="4:7">
      <c r="D622" s="256">
        <v>46005</v>
      </c>
      <c r="E622" s="257" t="s">
        <v>2789</v>
      </c>
      <c r="F622" s="257" t="s">
        <v>2851</v>
      </c>
      <c r="G622" s="257" t="s">
        <v>2852</v>
      </c>
    </row>
    <row r="623" customHeight="1" spans="4:7">
      <c r="D623" s="256">
        <v>46005</v>
      </c>
      <c r="E623" s="257" t="s">
        <v>2789</v>
      </c>
      <c r="F623" s="257" t="s">
        <v>2853</v>
      </c>
      <c r="G623" s="257" t="s">
        <v>2854</v>
      </c>
    </row>
    <row r="624" customHeight="1" spans="4:7">
      <c r="D624" s="256">
        <v>53002</v>
      </c>
      <c r="E624" s="257" t="s">
        <v>2855</v>
      </c>
      <c r="F624" s="257" t="s">
        <v>2856</v>
      </c>
      <c r="G624" s="257" t="s">
        <v>2857</v>
      </c>
    </row>
    <row r="625" customHeight="1" spans="4:7">
      <c r="D625" s="256">
        <v>53002</v>
      </c>
      <c r="E625" s="257" t="s">
        <v>2855</v>
      </c>
      <c r="F625" s="257" t="s">
        <v>2858</v>
      </c>
      <c r="G625" s="257" t="s">
        <v>2859</v>
      </c>
    </row>
    <row r="626" customHeight="1" spans="4:7">
      <c r="D626" s="256">
        <v>53002</v>
      </c>
      <c r="E626" s="257" t="s">
        <v>2855</v>
      </c>
      <c r="F626" s="257" t="s">
        <v>2860</v>
      </c>
      <c r="G626" s="257" t="s">
        <v>2861</v>
      </c>
    </row>
    <row r="627" customHeight="1" spans="4:7">
      <c r="D627" s="256">
        <v>53002</v>
      </c>
      <c r="E627" s="257" t="s">
        <v>2855</v>
      </c>
      <c r="F627" s="257" t="s">
        <v>2862</v>
      </c>
      <c r="G627" s="257" t="s">
        <v>2863</v>
      </c>
    </row>
    <row r="628" customHeight="1" spans="4:7">
      <c r="D628" s="256">
        <v>53002</v>
      </c>
      <c r="E628" s="257" t="s">
        <v>2855</v>
      </c>
      <c r="F628" s="257" t="s">
        <v>2864</v>
      </c>
      <c r="G628" s="257" t="s">
        <v>2865</v>
      </c>
    </row>
    <row r="629" customHeight="1" spans="4:7">
      <c r="D629" s="256">
        <v>53002</v>
      </c>
      <c r="E629" s="257" t="s">
        <v>2855</v>
      </c>
      <c r="F629" s="257" t="s">
        <v>2866</v>
      </c>
      <c r="G629" s="257" t="s">
        <v>2867</v>
      </c>
    </row>
    <row r="630" customHeight="1" spans="4:7">
      <c r="D630" s="256">
        <v>53002</v>
      </c>
      <c r="E630" s="257" t="s">
        <v>2855</v>
      </c>
      <c r="F630" s="257" t="s">
        <v>2868</v>
      </c>
      <c r="G630" s="257" t="s">
        <v>2869</v>
      </c>
    </row>
    <row r="631" customHeight="1" spans="4:7">
      <c r="D631" s="256">
        <v>53002</v>
      </c>
      <c r="E631" s="257" t="s">
        <v>2855</v>
      </c>
      <c r="F631" s="257" t="s">
        <v>2870</v>
      </c>
      <c r="G631" s="257" t="s">
        <v>2871</v>
      </c>
    </row>
    <row r="632" customHeight="1" spans="4:7">
      <c r="D632" s="256">
        <v>53002</v>
      </c>
      <c r="E632" s="257" t="s">
        <v>2855</v>
      </c>
      <c r="F632" s="257" t="s">
        <v>2872</v>
      </c>
      <c r="G632" s="257" t="s">
        <v>2873</v>
      </c>
    </row>
    <row r="633" customHeight="1" spans="4:7">
      <c r="D633" s="256">
        <v>53002</v>
      </c>
      <c r="E633" s="257" t="s">
        <v>2855</v>
      </c>
      <c r="F633" s="257" t="s">
        <v>2874</v>
      </c>
      <c r="G633" s="257" t="s">
        <v>2875</v>
      </c>
    </row>
    <row r="634" customHeight="1" spans="4:7">
      <c r="D634" s="256">
        <v>53002</v>
      </c>
      <c r="E634" s="257" t="s">
        <v>2855</v>
      </c>
      <c r="F634" s="257" t="s">
        <v>2876</v>
      </c>
      <c r="G634" s="257" t="s">
        <v>2877</v>
      </c>
    </row>
    <row r="635" customHeight="1" spans="4:7">
      <c r="D635" s="256">
        <v>48006</v>
      </c>
      <c r="E635" s="257" t="s">
        <v>2878</v>
      </c>
      <c r="F635" s="257" t="s">
        <v>2879</v>
      </c>
      <c r="G635" s="257" t="s">
        <v>2880</v>
      </c>
    </row>
    <row r="636" customHeight="1" spans="4:7">
      <c r="D636" s="256">
        <v>48006</v>
      </c>
      <c r="E636" s="257" t="s">
        <v>2878</v>
      </c>
      <c r="F636" s="257" t="s">
        <v>2881</v>
      </c>
      <c r="G636" s="257" t="s">
        <v>2882</v>
      </c>
    </row>
    <row r="637" customHeight="1" spans="4:7">
      <c r="D637" s="256">
        <v>48006</v>
      </c>
      <c r="E637" s="257" t="s">
        <v>2878</v>
      </c>
      <c r="F637" s="257" t="s">
        <v>2883</v>
      </c>
      <c r="G637" s="257" t="s">
        <v>2884</v>
      </c>
    </row>
    <row r="638" customHeight="1" spans="4:7">
      <c r="D638" s="256">
        <v>48006</v>
      </c>
      <c r="E638" s="257" t="s">
        <v>2878</v>
      </c>
      <c r="F638" s="257" t="s">
        <v>2885</v>
      </c>
      <c r="G638" s="257" t="s">
        <v>2886</v>
      </c>
    </row>
    <row r="639" customHeight="1" spans="4:7">
      <c r="D639" s="256">
        <v>48006</v>
      </c>
      <c r="E639" s="257" t="s">
        <v>2878</v>
      </c>
      <c r="F639" s="257" t="s">
        <v>2887</v>
      </c>
      <c r="G639" s="257" t="s">
        <v>2888</v>
      </c>
    </row>
    <row r="640" customHeight="1" spans="4:7">
      <c r="D640" s="256">
        <v>48006</v>
      </c>
      <c r="E640" s="257" t="s">
        <v>2878</v>
      </c>
      <c r="F640" s="257" t="s">
        <v>2889</v>
      </c>
      <c r="G640" s="257" t="s">
        <v>2890</v>
      </c>
    </row>
    <row r="641" customHeight="1" spans="4:7">
      <c r="D641" s="256">
        <v>48006</v>
      </c>
      <c r="E641" s="257" t="s">
        <v>2878</v>
      </c>
      <c r="F641" s="257" t="s">
        <v>2891</v>
      </c>
      <c r="G641" s="257" t="s">
        <v>2892</v>
      </c>
    </row>
    <row r="642" customHeight="1" spans="4:7">
      <c r="D642" s="256">
        <v>48006</v>
      </c>
      <c r="E642" s="257" t="s">
        <v>2878</v>
      </c>
      <c r="F642" s="257" t="s">
        <v>2893</v>
      </c>
      <c r="G642" s="257" t="s">
        <v>2894</v>
      </c>
    </row>
    <row r="643" customHeight="1" spans="4:7">
      <c r="D643" s="256">
        <v>48006</v>
      </c>
      <c r="E643" s="257" t="s">
        <v>2878</v>
      </c>
      <c r="F643" s="257" t="s">
        <v>2895</v>
      </c>
      <c r="G643" s="257" t="s">
        <v>2896</v>
      </c>
    </row>
    <row r="644" customHeight="1" spans="4:7">
      <c r="D644" s="256">
        <v>48006</v>
      </c>
      <c r="E644" s="257" t="s">
        <v>2878</v>
      </c>
      <c r="F644" s="257" t="s">
        <v>2897</v>
      </c>
      <c r="G644" s="257" t="s">
        <v>2898</v>
      </c>
    </row>
    <row r="645" customHeight="1" spans="4:7">
      <c r="D645" s="256">
        <v>48006</v>
      </c>
      <c r="E645" s="257" t="s">
        <v>2878</v>
      </c>
      <c r="F645" s="257" t="s">
        <v>2899</v>
      </c>
      <c r="G645" s="257" t="s">
        <v>2900</v>
      </c>
    </row>
    <row r="646" customHeight="1" spans="4:7">
      <c r="D646" s="256">
        <v>48006</v>
      </c>
      <c r="E646" s="257" t="s">
        <v>2878</v>
      </c>
      <c r="F646" s="257" t="s">
        <v>2901</v>
      </c>
      <c r="G646" s="257" t="s">
        <v>2902</v>
      </c>
    </row>
    <row r="647" customHeight="1" spans="4:7">
      <c r="D647" s="256">
        <v>48006</v>
      </c>
      <c r="E647" s="257" t="s">
        <v>2878</v>
      </c>
      <c r="F647" s="257" t="s">
        <v>2903</v>
      </c>
      <c r="G647" s="257" t="s">
        <v>2904</v>
      </c>
    </row>
    <row r="648" customHeight="1" spans="4:7">
      <c r="D648" s="256">
        <v>48006</v>
      </c>
      <c r="E648" s="257" t="s">
        <v>2878</v>
      </c>
      <c r="F648" s="257" t="s">
        <v>2905</v>
      </c>
      <c r="G648" s="257" t="s">
        <v>2906</v>
      </c>
    </row>
    <row r="649" customHeight="1" spans="4:7">
      <c r="D649" s="256">
        <v>48006</v>
      </c>
      <c r="E649" s="257" t="s">
        <v>2878</v>
      </c>
      <c r="F649" s="257" t="s">
        <v>2907</v>
      </c>
      <c r="G649" s="257" t="s">
        <v>2908</v>
      </c>
    </row>
    <row r="650" customHeight="1" spans="4:7">
      <c r="D650" s="256">
        <v>48006</v>
      </c>
      <c r="E650" s="257" t="s">
        <v>2878</v>
      </c>
      <c r="F650" s="257" t="s">
        <v>2909</v>
      </c>
      <c r="G650" s="257" t="s">
        <v>2786</v>
      </c>
    </row>
    <row r="651" customHeight="1" spans="4:7">
      <c r="D651" s="256">
        <v>48006</v>
      </c>
      <c r="E651" s="257" t="s">
        <v>2878</v>
      </c>
      <c r="F651" s="257" t="s">
        <v>2910</v>
      </c>
      <c r="G651" s="257" t="s">
        <v>2911</v>
      </c>
    </row>
    <row r="652" customHeight="1" spans="4:7">
      <c r="D652" s="256">
        <v>48006</v>
      </c>
      <c r="E652" s="257" t="s">
        <v>2878</v>
      </c>
      <c r="F652" s="257" t="s">
        <v>2912</v>
      </c>
      <c r="G652" s="257" t="s">
        <v>2913</v>
      </c>
    </row>
    <row r="653" customHeight="1" spans="4:7">
      <c r="D653" s="256">
        <v>49002</v>
      </c>
      <c r="E653" s="257" t="s">
        <v>2914</v>
      </c>
      <c r="F653" s="257" t="s">
        <v>2915</v>
      </c>
      <c r="G653" s="257" t="s">
        <v>2916</v>
      </c>
    </row>
    <row r="654" customHeight="1" spans="4:7">
      <c r="D654" s="256">
        <v>49002</v>
      </c>
      <c r="E654" s="257" t="s">
        <v>2914</v>
      </c>
      <c r="F654" s="257" t="s">
        <v>2917</v>
      </c>
      <c r="G654" s="257" t="s">
        <v>2918</v>
      </c>
    </row>
    <row r="655" customHeight="1" spans="4:7">
      <c r="D655" s="256">
        <v>49002</v>
      </c>
      <c r="E655" s="257" t="s">
        <v>2914</v>
      </c>
      <c r="F655" s="257" t="s">
        <v>2919</v>
      </c>
      <c r="G655" s="257" t="s">
        <v>2920</v>
      </c>
    </row>
    <row r="656" customHeight="1" spans="4:7">
      <c r="D656" s="256">
        <v>49002</v>
      </c>
      <c r="E656" s="257" t="s">
        <v>2914</v>
      </c>
      <c r="F656" s="257" t="s">
        <v>2921</v>
      </c>
      <c r="G656" s="257" t="s">
        <v>2922</v>
      </c>
    </row>
    <row r="657" customHeight="1" spans="4:7">
      <c r="D657" s="256">
        <v>49002</v>
      </c>
      <c r="E657" s="257" t="s">
        <v>2914</v>
      </c>
      <c r="F657" s="257" t="s">
        <v>2923</v>
      </c>
      <c r="G657" s="257" t="s">
        <v>2924</v>
      </c>
    </row>
    <row r="658" customHeight="1" spans="4:7">
      <c r="D658" s="256">
        <v>49002</v>
      </c>
      <c r="E658" s="257" t="s">
        <v>2914</v>
      </c>
      <c r="F658" s="257" t="s">
        <v>2925</v>
      </c>
      <c r="G658" s="257" t="s">
        <v>2926</v>
      </c>
    </row>
    <row r="659" customHeight="1" spans="4:7">
      <c r="D659" s="256">
        <v>49002</v>
      </c>
      <c r="E659" s="257" t="s">
        <v>2914</v>
      </c>
      <c r="F659" s="257" t="s">
        <v>2927</v>
      </c>
      <c r="G659" s="257" t="s">
        <v>2928</v>
      </c>
    </row>
    <row r="660" customHeight="1" spans="4:7">
      <c r="D660" s="256">
        <v>49002</v>
      </c>
      <c r="E660" s="257" t="s">
        <v>2914</v>
      </c>
      <c r="F660" s="257" t="s">
        <v>2929</v>
      </c>
      <c r="G660" s="257" t="s">
        <v>2930</v>
      </c>
    </row>
    <row r="661" customHeight="1" spans="4:7">
      <c r="D661" s="256">
        <v>49002</v>
      </c>
      <c r="E661" s="257" t="s">
        <v>2914</v>
      </c>
      <c r="F661" s="257" t="s">
        <v>2931</v>
      </c>
      <c r="G661" s="257" t="s">
        <v>2932</v>
      </c>
    </row>
    <row r="662" customHeight="1" spans="4:7">
      <c r="D662" s="256">
        <v>49002</v>
      </c>
      <c r="E662" s="257" t="s">
        <v>2914</v>
      </c>
      <c r="F662" s="257" t="s">
        <v>2933</v>
      </c>
      <c r="G662" s="257" t="s">
        <v>2934</v>
      </c>
    </row>
    <row r="663" customHeight="1" spans="4:7">
      <c r="D663" s="256">
        <v>49002</v>
      </c>
      <c r="E663" s="257" t="s">
        <v>2914</v>
      </c>
      <c r="F663" s="257" t="s">
        <v>2935</v>
      </c>
      <c r="G663" s="257" t="s">
        <v>2936</v>
      </c>
    </row>
    <row r="664" customHeight="1" spans="4:7">
      <c r="D664" s="256">
        <v>49002</v>
      </c>
      <c r="E664" s="257" t="s">
        <v>2914</v>
      </c>
      <c r="F664" s="257" t="s">
        <v>2937</v>
      </c>
      <c r="G664" s="257" t="s">
        <v>2938</v>
      </c>
    </row>
    <row r="665" customHeight="1" spans="4:7">
      <c r="D665" s="256">
        <v>49002</v>
      </c>
      <c r="E665" s="257" t="s">
        <v>2914</v>
      </c>
      <c r="F665" s="257" t="s">
        <v>2939</v>
      </c>
      <c r="G665" s="257" t="s">
        <v>2940</v>
      </c>
    </row>
    <row r="666" customHeight="1" spans="4:7">
      <c r="D666" s="256">
        <v>49002</v>
      </c>
      <c r="E666" s="257" t="s">
        <v>2914</v>
      </c>
      <c r="F666" s="257" t="s">
        <v>2941</v>
      </c>
      <c r="G666" s="257" t="s">
        <v>2942</v>
      </c>
    </row>
    <row r="667" customHeight="1" spans="4:7">
      <c r="D667" s="256">
        <v>49002</v>
      </c>
      <c r="E667" s="257" t="s">
        <v>2914</v>
      </c>
      <c r="F667" s="257" t="s">
        <v>2943</v>
      </c>
      <c r="G667" s="257" t="s">
        <v>2944</v>
      </c>
    </row>
    <row r="668" customHeight="1" spans="4:7">
      <c r="D668" s="256">
        <v>49002</v>
      </c>
      <c r="E668" s="257" t="s">
        <v>2914</v>
      </c>
      <c r="F668" s="257" t="s">
        <v>2945</v>
      </c>
      <c r="G668" s="257" t="s">
        <v>2946</v>
      </c>
    </row>
    <row r="669" customHeight="1" spans="4:7">
      <c r="D669" s="256">
        <v>49002</v>
      </c>
      <c r="E669" s="257" t="s">
        <v>2914</v>
      </c>
      <c r="F669" s="257" t="s">
        <v>2947</v>
      </c>
      <c r="G669" s="257" t="s">
        <v>2948</v>
      </c>
    </row>
    <row r="670" customHeight="1" spans="4:7">
      <c r="D670" s="256">
        <v>49002</v>
      </c>
      <c r="E670" s="257" t="s">
        <v>2914</v>
      </c>
      <c r="F670" s="257" t="s">
        <v>2949</v>
      </c>
      <c r="G670" s="257" t="s">
        <v>2950</v>
      </c>
    </row>
    <row r="671" customHeight="1" spans="4:7">
      <c r="D671" s="256">
        <v>49003</v>
      </c>
      <c r="E671" s="257" t="s">
        <v>2951</v>
      </c>
      <c r="F671" s="257" t="s">
        <v>2952</v>
      </c>
      <c r="G671" s="257" t="s">
        <v>2953</v>
      </c>
    </row>
    <row r="672" customHeight="1" spans="4:7">
      <c r="D672" s="256">
        <v>49003</v>
      </c>
      <c r="E672" s="257" t="s">
        <v>2951</v>
      </c>
      <c r="F672" s="257" t="s">
        <v>2954</v>
      </c>
      <c r="G672" s="257" t="s">
        <v>2955</v>
      </c>
    </row>
    <row r="673" customHeight="1" spans="4:7">
      <c r="D673" s="256">
        <v>49003</v>
      </c>
      <c r="E673" s="257" t="s">
        <v>2951</v>
      </c>
      <c r="F673" s="257" t="s">
        <v>2956</v>
      </c>
      <c r="G673" s="257" t="s">
        <v>2957</v>
      </c>
    </row>
    <row r="674" customHeight="1" spans="4:7">
      <c r="D674" s="256">
        <v>49003</v>
      </c>
      <c r="E674" s="257" t="s">
        <v>2951</v>
      </c>
      <c r="F674" s="257" t="s">
        <v>2958</v>
      </c>
      <c r="G674" s="257" t="s">
        <v>2959</v>
      </c>
    </row>
    <row r="675" customHeight="1" spans="4:7">
      <c r="D675" s="256">
        <v>49003</v>
      </c>
      <c r="E675" s="257" t="s">
        <v>2951</v>
      </c>
      <c r="F675" s="257" t="s">
        <v>2960</v>
      </c>
      <c r="G675" s="257" t="s">
        <v>2961</v>
      </c>
    </row>
    <row r="676" customHeight="1" spans="4:7">
      <c r="D676" s="256">
        <v>49003</v>
      </c>
      <c r="E676" s="257" t="s">
        <v>2951</v>
      </c>
      <c r="F676" s="257" t="s">
        <v>2962</v>
      </c>
      <c r="G676" s="257" t="s">
        <v>2963</v>
      </c>
    </row>
    <row r="677" customHeight="1" spans="4:7">
      <c r="D677" s="256">
        <v>49003</v>
      </c>
      <c r="E677" s="257" t="s">
        <v>2951</v>
      </c>
      <c r="F677" s="257" t="s">
        <v>2964</v>
      </c>
      <c r="G677" s="257" t="s">
        <v>2965</v>
      </c>
    </row>
    <row r="678" customHeight="1" spans="4:7">
      <c r="D678" s="256">
        <v>49003</v>
      </c>
      <c r="E678" s="257" t="s">
        <v>2951</v>
      </c>
      <c r="F678" s="257" t="s">
        <v>2966</v>
      </c>
      <c r="G678" s="257" t="s">
        <v>2967</v>
      </c>
    </row>
    <row r="679" customHeight="1" spans="4:7">
      <c r="D679" s="256">
        <v>49003</v>
      </c>
      <c r="E679" s="257" t="s">
        <v>2951</v>
      </c>
      <c r="F679" s="257" t="s">
        <v>2968</v>
      </c>
      <c r="G679" s="257" t="s">
        <v>2969</v>
      </c>
    </row>
    <row r="680" customHeight="1" spans="4:7">
      <c r="D680" s="256">
        <v>49003</v>
      </c>
      <c r="E680" s="257" t="s">
        <v>2951</v>
      </c>
      <c r="F680" s="257" t="s">
        <v>2970</v>
      </c>
      <c r="G680" s="257" t="s">
        <v>2971</v>
      </c>
    </row>
    <row r="681" customHeight="1" spans="4:7">
      <c r="D681" s="256">
        <v>49003</v>
      </c>
      <c r="E681" s="257" t="s">
        <v>2951</v>
      </c>
      <c r="F681" s="257" t="s">
        <v>2972</v>
      </c>
      <c r="G681" s="257" t="s">
        <v>2973</v>
      </c>
    </row>
    <row r="682" customHeight="1" spans="4:7">
      <c r="D682" s="256">
        <v>49003</v>
      </c>
      <c r="E682" s="257" t="s">
        <v>2951</v>
      </c>
      <c r="F682" s="257" t="s">
        <v>2974</v>
      </c>
      <c r="G682" s="257" t="s">
        <v>2975</v>
      </c>
    </row>
    <row r="683" customHeight="1" spans="4:7">
      <c r="D683" s="256">
        <v>49003</v>
      </c>
      <c r="E683" s="257" t="s">
        <v>2951</v>
      </c>
      <c r="F683" s="257" t="s">
        <v>2976</v>
      </c>
      <c r="G683" s="257" t="s">
        <v>2977</v>
      </c>
    </row>
    <row r="684" customHeight="1" spans="4:7">
      <c r="D684" s="256">
        <v>49003</v>
      </c>
      <c r="E684" s="257" t="s">
        <v>2951</v>
      </c>
      <c r="F684" s="257" t="s">
        <v>2978</v>
      </c>
      <c r="G684" s="257" t="s">
        <v>2979</v>
      </c>
    </row>
    <row r="685" customHeight="1" spans="4:7">
      <c r="D685" s="256">
        <v>49003</v>
      </c>
      <c r="E685" s="257" t="s">
        <v>2951</v>
      </c>
      <c r="F685" s="257" t="s">
        <v>2980</v>
      </c>
      <c r="G685" s="257" t="s">
        <v>2981</v>
      </c>
    </row>
    <row r="686" customHeight="1" spans="4:7">
      <c r="D686" s="256">
        <v>49003</v>
      </c>
      <c r="E686" s="257" t="s">
        <v>2951</v>
      </c>
      <c r="F686" s="257" t="s">
        <v>2982</v>
      </c>
      <c r="G686" s="257" t="s">
        <v>2983</v>
      </c>
    </row>
    <row r="687" customHeight="1" spans="4:7">
      <c r="D687" s="256">
        <v>49003</v>
      </c>
      <c r="E687" s="257" t="s">
        <v>2951</v>
      </c>
      <c r="F687" s="257" t="s">
        <v>2984</v>
      </c>
      <c r="G687" s="257" t="s">
        <v>2985</v>
      </c>
    </row>
    <row r="688" customHeight="1" spans="4:7">
      <c r="D688" s="256">
        <v>46006</v>
      </c>
      <c r="E688" s="257" t="s">
        <v>2986</v>
      </c>
      <c r="F688" s="257" t="s">
        <v>2987</v>
      </c>
      <c r="G688" s="257" t="s">
        <v>2988</v>
      </c>
    </row>
    <row r="689" customHeight="1" spans="4:7">
      <c r="D689" s="256">
        <v>46006</v>
      </c>
      <c r="E689" s="257" t="s">
        <v>2986</v>
      </c>
      <c r="F689" s="257" t="s">
        <v>2989</v>
      </c>
      <c r="G689" s="257" t="s">
        <v>2990</v>
      </c>
    </row>
    <row r="690" customHeight="1" spans="4:7">
      <c r="D690" s="256">
        <v>46006</v>
      </c>
      <c r="E690" s="257" t="s">
        <v>2986</v>
      </c>
      <c r="F690" s="257" t="s">
        <v>2991</v>
      </c>
      <c r="G690" s="257" t="s">
        <v>2992</v>
      </c>
    </row>
    <row r="691" customHeight="1" spans="4:7">
      <c r="D691" s="256">
        <v>46006</v>
      </c>
      <c r="E691" s="257" t="s">
        <v>2986</v>
      </c>
      <c r="F691" s="257" t="s">
        <v>2993</v>
      </c>
      <c r="G691" s="257" t="s">
        <v>2994</v>
      </c>
    </row>
    <row r="692" customHeight="1" spans="4:7">
      <c r="D692" s="256">
        <v>46006</v>
      </c>
      <c r="E692" s="257" t="s">
        <v>2986</v>
      </c>
      <c r="F692" s="257" t="s">
        <v>2995</v>
      </c>
      <c r="G692" s="257" t="s">
        <v>2996</v>
      </c>
    </row>
    <row r="693" customHeight="1" spans="4:7">
      <c r="D693" s="256">
        <v>46006</v>
      </c>
      <c r="E693" s="257" t="s">
        <v>2986</v>
      </c>
      <c r="F693" s="257" t="s">
        <v>2997</v>
      </c>
      <c r="G693" s="257" t="s">
        <v>2998</v>
      </c>
    </row>
    <row r="694" customHeight="1" spans="4:7">
      <c r="D694" s="256">
        <v>46006</v>
      </c>
      <c r="E694" s="257" t="s">
        <v>2986</v>
      </c>
      <c r="F694" s="257" t="s">
        <v>2999</v>
      </c>
      <c r="G694" s="257" t="s">
        <v>3000</v>
      </c>
    </row>
    <row r="695" customHeight="1" spans="4:7">
      <c r="D695" s="256">
        <v>46006</v>
      </c>
      <c r="E695" s="257" t="s">
        <v>2986</v>
      </c>
      <c r="F695" s="257" t="s">
        <v>3001</v>
      </c>
      <c r="G695" s="257" t="s">
        <v>3002</v>
      </c>
    </row>
    <row r="696" customHeight="1" spans="4:7">
      <c r="D696" s="256">
        <v>46006</v>
      </c>
      <c r="E696" s="257" t="s">
        <v>2986</v>
      </c>
      <c r="F696" s="257" t="s">
        <v>3003</v>
      </c>
      <c r="G696" s="257" t="s">
        <v>3004</v>
      </c>
    </row>
    <row r="697" customHeight="1" spans="4:7">
      <c r="D697" s="256">
        <v>46006</v>
      </c>
      <c r="E697" s="257" t="s">
        <v>2986</v>
      </c>
      <c r="F697" s="257" t="s">
        <v>3005</v>
      </c>
      <c r="G697" s="257" t="s">
        <v>3006</v>
      </c>
    </row>
    <row r="698" customHeight="1" spans="4:7">
      <c r="D698" s="256">
        <v>46006</v>
      </c>
      <c r="E698" s="257" t="s">
        <v>2986</v>
      </c>
      <c r="F698" s="257" t="s">
        <v>3007</v>
      </c>
      <c r="G698" s="257" t="s">
        <v>3008</v>
      </c>
    </row>
    <row r="699" customHeight="1" spans="4:7">
      <c r="D699" s="256">
        <v>46006</v>
      </c>
      <c r="E699" s="257" t="s">
        <v>2986</v>
      </c>
      <c r="F699" s="257" t="s">
        <v>3009</v>
      </c>
      <c r="G699" s="257" t="s">
        <v>3010</v>
      </c>
    </row>
    <row r="700" customHeight="1" spans="4:7">
      <c r="D700" s="256">
        <v>46006</v>
      </c>
      <c r="E700" s="257" t="s">
        <v>2986</v>
      </c>
      <c r="F700" s="257" t="s">
        <v>3011</v>
      </c>
      <c r="G700" s="257" t="s">
        <v>3012</v>
      </c>
    </row>
    <row r="701" customHeight="1" spans="4:7">
      <c r="D701" s="256">
        <v>100001</v>
      </c>
      <c r="E701" s="257" t="s">
        <v>3013</v>
      </c>
      <c r="F701" s="257" t="s">
        <v>3014</v>
      </c>
      <c r="G701" s="257" t="s">
        <v>3015</v>
      </c>
    </row>
    <row r="702" customHeight="1" spans="4:7">
      <c r="D702" s="256">
        <v>100001</v>
      </c>
      <c r="E702" s="257" t="s">
        <v>3013</v>
      </c>
      <c r="F702" s="257" t="s">
        <v>3016</v>
      </c>
      <c r="G702" s="257" t="s">
        <v>3017</v>
      </c>
    </row>
    <row r="703" customHeight="1" spans="4:7">
      <c r="D703" s="256">
        <v>100001</v>
      </c>
      <c r="E703" s="257" t="s">
        <v>3013</v>
      </c>
      <c r="F703" s="257" t="s">
        <v>3018</v>
      </c>
      <c r="G703" s="257" t="s">
        <v>3019</v>
      </c>
    </row>
    <row r="704" customHeight="1" spans="4:7">
      <c r="D704" s="256">
        <v>100001</v>
      </c>
      <c r="E704" s="257" t="s">
        <v>3013</v>
      </c>
      <c r="F704" s="257" t="s">
        <v>3020</v>
      </c>
      <c r="G704" s="257" t="s">
        <v>3021</v>
      </c>
    </row>
    <row r="705" customHeight="1" spans="4:7">
      <c r="D705" s="256">
        <v>100001</v>
      </c>
      <c r="E705" s="257" t="s">
        <v>3013</v>
      </c>
      <c r="F705" s="257" t="s">
        <v>3022</v>
      </c>
      <c r="G705" s="257" t="s">
        <v>2488</v>
      </c>
    </row>
    <row r="706" customHeight="1" spans="4:7">
      <c r="D706" s="256">
        <v>100001</v>
      </c>
      <c r="E706" s="257" t="s">
        <v>3013</v>
      </c>
      <c r="F706" s="257" t="s">
        <v>3023</v>
      </c>
      <c r="G706" s="257" t="s">
        <v>3024</v>
      </c>
    </row>
    <row r="707" customHeight="1" spans="4:7">
      <c r="D707" s="256">
        <v>100001</v>
      </c>
      <c r="E707" s="257" t="s">
        <v>3013</v>
      </c>
      <c r="F707" s="257" t="s">
        <v>3025</v>
      </c>
      <c r="G707" s="257" t="s">
        <v>3026</v>
      </c>
    </row>
    <row r="708" customHeight="1" spans="4:7">
      <c r="D708" s="256">
        <v>100001</v>
      </c>
      <c r="E708" s="257" t="s">
        <v>3013</v>
      </c>
      <c r="F708" s="257" t="s">
        <v>3027</v>
      </c>
      <c r="G708" s="257" t="s">
        <v>3028</v>
      </c>
    </row>
    <row r="709" customHeight="1" spans="4:7">
      <c r="D709" s="256">
        <v>100001</v>
      </c>
      <c r="E709" s="257" t="s">
        <v>3013</v>
      </c>
      <c r="F709" s="257" t="s">
        <v>3029</v>
      </c>
      <c r="G709" s="257" t="s">
        <v>3030</v>
      </c>
    </row>
    <row r="710" customHeight="1" spans="4:7">
      <c r="D710" s="256">
        <v>100001</v>
      </c>
      <c r="E710" s="257" t="s">
        <v>3013</v>
      </c>
      <c r="F710" s="257" t="s">
        <v>3031</v>
      </c>
      <c r="G710" s="257" t="s">
        <v>3032</v>
      </c>
    </row>
    <row r="711" customHeight="1" spans="4:7">
      <c r="D711" s="256">
        <v>100001</v>
      </c>
      <c r="E711" s="257" t="s">
        <v>3013</v>
      </c>
      <c r="F711" s="257" t="s">
        <v>3033</v>
      </c>
      <c r="G711" s="257" t="s">
        <v>3034</v>
      </c>
    </row>
    <row r="712" customHeight="1" spans="4:7">
      <c r="D712" s="256">
        <v>100001</v>
      </c>
      <c r="E712" s="257" t="s">
        <v>3013</v>
      </c>
      <c r="F712" s="257" t="s">
        <v>3035</v>
      </c>
      <c r="G712" s="257" t="s">
        <v>3036</v>
      </c>
    </row>
    <row r="713" customHeight="1" spans="4:7">
      <c r="D713" s="256">
        <v>100001</v>
      </c>
      <c r="E713" s="257" t="s">
        <v>3013</v>
      </c>
      <c r="F713" s="257" t="s">
        <v>3037</v>
      </c>
      <c r="G713" s="257" t="s">
        <v>3038</v>
      </c>
    </row>
    <row r="714" customHeight="1" spans="4:7">
      <c r="D714" s="256">
        <v>100001</v>
      </c>
      <c r="E714" s="257" t="s">
        <v>3013</v>
      </c>
      <c r="F714" s="257" t="s">
        <v>3039</v>
      </c>
      <c r="G714" s="257" t="s">
        <v>3040</v>
      </c>
    </row>
    <row r="715" customHeight="1" spans="4:7">
      <c r="D715" s="256">
        <v>100001</v>
      </c>
      <c r="E715" s="257" t="s">
        <v>3013</v>
      </c>
      <c r="F715" s="257" t="s">
        <v>3041</v>
      </c>
      <c r="G715" s="257" t="s">
        <v>3042</v>
      </c>
    </row>
    <row r="716" customHeight="1" spans="4:7">
      <c r="D716" s="256">
        <v>100001</v>
      </c>
      <c r="E716" s="257" t="s">
        <v>3013</v>
      </c>
      <c r="F716" s="257" t="s">
        <v>3043</v>
      </c>
      <c r="G716" s="257" t="s">
        <v>3044</v>
      </c>
    </row>
    <row r="717" customHeight="1" spans="4:7">
      <c r="D717" s="256">
        <v>100001</v>
      </c>
      <c r="E717" s="257" t="s">
        <v>3013</v>
      </c>
      <c r="F717" s="257" t="s">
        <v>3045</v>
      </c>
      <c r="G717" s="257" t="s">
        <v>3046</v>
      </c>
    </row>
    <row r="718" customHeight="1" spans="4:7">
      <c r="D718" s="256">
        <v>53003</v>
      </c>
      <c r="E718" s="257" t="s">
        <v>3047</v>
      </c>
      <c r="F718" s="257" t="s">
        <v>3048</v>
      </c>
      <c r="G718" s="257" t="s">
        <v>3049</v>
      </c>
    </row>
    <row r="719" customHeight="1" spans="4:7">
      <c r="D719" s="256">
        <v>53003</v>
      </c>
      <c r="E719" s="257" t="s">
        <v>3047</v>
      </c>
      <c r="F719" s="257" t="s">
        <v>3050</v>
      </c>
      <c r="G719" s="257" t="s">
        <v>3051</v>
      </c>
    </row>
    <row r="720" customHeight="1" spans="4:7">
      <c r="D720" s="256">
        <v>53003</v>
      </c>
      <c r="E720" s="257" t="s">
        <v>3047</v>
      </c>
      <c r="F720" s="257" t="s">
        <v>3052</v>
      </c>
      <c r="G720" s="257" t="s">
        <v>3053</v>
      </c>
    </row>
    <row r="721" customHeight="1" spans="4:7">
      <c r="D721" s="256">
        <v>53003</v>
      </c>
      <c r="E721" s="257" t="s">
        <v>3047</v>
      </c>
      <c r="F721" s="257" t="s">
        <v>3054</v>
      </c>
      <c r="G721" s="257" t="s">
        <v>3055</v>
      </c>
    </row>
    <row r="722" customHeight="1" spans="4:7">
      <c r="D722" s="256">
        <v>53003</v>
      </c>
      <c r="E722" s="257" t="s">
        <v>3047</v>
      </c>
      <c r="F722" s="257" t="s">
        <v>3056</v>
      </c>
      <c r="G722" s="257" t="s">
        <v>3057</v>
      </c>
    </row>
    <row r="723" customHeight="1" spans="4:7">
      <c r="D723" s="256">
        <v>53003</v>
      </c>
      <c r="E723" s="257" t="s">
        <v>3047</v>
      </c>
      <c r="F723" s="257" t="s">
        <v>3058</v>
      </c>
      <c r="G723" s="257" t="s">
        <v>3059</v>
      </c>
    </row>
    <row r="724" customHeight="1" spans="4:7">
      <c r="D724" s="256">
        <v>53003</v>
      </c>
      <c r="E724" s="257" t="s">
        <v>3047</v>
      </c>
      <c r="F724" s="257" t="s">
        <v>3060</v>
      </c>
      <c r="G724" s="257" t="s">
        <v>3061</v>
      </c>
    </row>
    <row r="725" customHeight="1" spans="4:7">
      <c r="D725" s="256">
        <v>53003</v>
      </c>
      <c r="E725" s="257" t="s">
        <v>3047</v>
      </c>
      <c r="F725" s="257" t="s">
        <v>3062</v>
      </c>
      <c r="G725" s="257" t="s">
        <v>3063</v>
      </c>
    </row>
    <row r="726" customHeight="1" spans="4:7">
      <c r="D726" s="256">
        <v>53003</v>
      </c>
      <c r="E726" s="257" t="s">
        <v>3047</v>
      </c>
      <c r="F726" s="257" t="s">
        <v>3064</v>
      </c>
      <c r="G726" s="257" t="s">
        <v>3065</v>
      </c>
    </row>
    <row r="727" customHeight="1" spans="4:7">
      <c r="D727" s="256">
        <v>53003</v>
      </c>
      <c r="E727" s="257" t="s">
        <v>3047</v>
      </c>
      <c r="F727" s="257" t="s">
        <v>3066</v>
      </c>
      <c r="G727" s="257" t="s">
        <v>3067</v>
      </c>
    </row>
    <row r="728" customHeight="1" spans="4:7">
      <c r="D728" s="256">
        <v>53003</v>
      </c>
      <c r="E728" s="257" t="s">
        <v>3047</v>
      </c>
      <c r="F728" s="257" t="s">
        <v>3068</v>
      </c>
      <c r="G728" s="257" t="s">
        <v>3069</v>
      </c>
    </row>
    <row r="729" customHeight="1" spans="4:7">
      <c r="D729" s="256">
        <v>53003</v>
      </c>
      <c r="E729" s="257" t="s">
        <v>3047</v>
      </c>
      <c r="F729" s="257" t="s">
        <v>3070</v>
      </c>
      <c r="G729" s="257" t="s">
        <v>3071</v>
      </c>
    </row>
    <row r="730" customHeight="1" spans="4:7">
      <c r="D730" s="256">
        <v>53003</v>
      </c>
      <c r="E730" s="257" t="s">
        <v>3047</v>
      </c>
      <c r="F730" s="257" t="s">
        <v>3072</v>
      </c>
      <c r="G730" s="257" t="s">
        <v>3073</v>
      </c>
    </row>
    <row r="731" customHeight="1" spans="4:7">
      <c r="D731" s="256">
        <v>53003</v>
      </c>
      <c r="E731" s="257" t="s">
        <v>3047</v>
      </c>
      <c r="F731" s="257" t="s">
        <v>3074</v>
      </c>
      <c r="G731" s="257" t="s">
        <v>3075</v>
      </c>
    </row>
    <row r="732" customHeight="1" spans="4:7">
      <c r="D732" s="256">
        <v>53003</v>
      </c>
      <c r="E732" s="257" t="s">
        <v>3047</v>
      </c>
      <c r="F732" s="257" t="s">
        <v>3076</v>
      </c>
      <c r="G732" s="257" t="s">
        <v>3077</v>
      </c>
    </row>
    <row r="733" customHeight="1" spans="4:7">
      <c r="D733" s="256">
        <v>53003</v>
      </c>
      <c r="E733" s="257" t="s">
        <v>3047</v>
      </c>
      <c r="F733" s="257" t="s">
        <v>3078</v>
      </c>
      <c r="G733" s="257" t="s">
        <v>3079</v>
      </c>
    </row>
    <row r="734" customHeight="1" spans="4:7">
      <c r="D734" s="256">
        <v>53003</v>
      </c>
      <c r="E734" s="257" t="s">
        <v>3047</v>
      </c>
      <c r="F734" s="257" t="s">
        <v>3080</v>
      </c>
      <c r="G734" s="257" t="s">
        <v>3081</v>
      </c>
    </row>
    <row r="735" customHeight="1" spans="4:7">
      <c r="D735" s="256">
        <v>53003</v>
      </c>
      <c r="E735" s="257" t="s">
        <v>3047</v>
      </c>
      <c r="F735" s="257" t="s">
        <v>3082</v>
      </c>
      <c r="G735" s="257" t="s">
        <v>3083</v>
      </c>
    </row>
    <row r="736" customHeight="1" spans="4:7">
      <c r="D736" s="256">
        <v>53003</v>
      </c>
      <c r="E736" s="257" t="s">
        <v>3047</v>
      </c>
      <c r="F736" s="257" t="s">
        <v>3084</v>
      </c>
      <c r="G736" s="257" t="s">
        <v>3085</v>
      </c>
    </row>
    <row r="737" customHeight="1" spans="4:7">
      <c r="D737" s="256">
        <v>53003</v>
      </c>
      <c r="E737" s="257" t="s">
        <v>3047</v>
      </c>
      <c r="F737" s="257" t="s">
        <v>3086</v>
      </c>
      <c r="G737" s="257" t="s">
        <v>3087</v>
      </c>
    </row>
    <row r="738" customHeight="1" spans="4:7">
      <c r="D738" s="256">
        <v>53003</v>
      </c>
      <c r="E738" s="257" t="s">
        <v>3047</v>
      </c>
      <c r="F738" s="257" t="s">
        <v>3088</v>
      </c>
      <c r="G738" s="257" t="s">
        <v>3089</v>
      </c>
    </row>
    <row r="739" customHeight="1" spans="4:7">
      <c r="D739" s="256">
        <v>53003</v>
      </c>
      <c r="E739" s="257" t="s">
        <v>3047</v>
      </c>
      <c r="F739" s="257" t="s">
        <v>3090</v>
      </c>
      <c r="G739" s="257" t="s">
        <v>3091</v>
      </c>
    </row>
    <row r="740" customHeight="1" spans="4:7">
      <c r="D740" s="256">
        <v>53003</v>
      </c>
      <c r="E740" s="257" t="s">
        <v>3047</v>
      </c>
      <c r="F740" s="257" t="s">
        <v>3092</v>
      </c>
      <c r="G740" s="257" t="s">
        <v>3093</v>
      </c>
    </row>
    <row r="741" customHeight="1" spans="4:7">
      <c r="D741" s="256">
        <v>50005</v>
      </c>
      <c r="E741" s="257" t="s">
        <v>3094</v>
      </c>
      <c r="F741" s="257" t="s">
        <v>3095</v>
      </c>
      <c r="G741" s="257" t="s">
        <v>3096</v>
      </c>
    </row>
    <row r="742" customHeight="1" spans="4:7">
      <c r="D742" s="256">
        <v>50005</v>
      </c>
      <c r="E742" s="257" t="s">
        <v>3094</v>
      </c>
      <c r="F742" s="257" t="s">
        <v>3097</v>
      </c>
      <c r="G742" s="257" t="s">
        <v>3098</v>
      </c>
    </row>
    <row r="743" customHeight="1" spans="4:7">
      <c r="D743" s="256">
        <v>50005</v>
      </c>
      <c r="E743" s="257" t="s">
        <v>3094</v>
      </c>
      <c r="F743" s="257" t="s">
        <v>3099</v>
      </c>
      <c r="G743" s="257" t="s">
        <v>3100</v>
      </c>
    </row>
    <row r="744" customHeight="1" spans="4:7">
      <c r="D744" s="256">
        <v>46007</v>
      </c>
      <c r="E744" s="257" t="s">
        <v>3101</v>
      </c>
      <c r="F744" s="257" t="s">
        <v>3102</v>
      </c>
      <c r="G744" s="257" t="s">
        <v>3103</v>
      </c>
    </row>
    <row r="745" customHeight="1" spans="4:7">
      <c r="D745" s="256">
        <v>46007</v>
      </c>
      <c r="E745" s="257" t="s">
        <v>3101</v>
      </c>
      <c r="F745" s="257" t="s">
        <v>3104</v>
      </c>
      <c r="G745" s="257" t="s">
        <v>3105</v>
      </c>
    </row>
    <row r="746" customHeight="1" spans="4:7">
      <c r="D746" s="256">
        <v>46007</v>
      </c>
      <c r="E746" s="257" t="s">
        <v>3101</v>
      </c>
      <c r="F746" s="257" t="s">
        <v>3106</v>
      </c>
      <c r="G746" s="257" t="s">
        <v>3107</v>
      </c>
    </row>
    <row r="747" customHeight="1" spans="4:7">
      <c r="D747" s="256">
        <v>46007</v>
      </c>
      <c r="E747" s="257" t="s">
        <v>3101</v>
      </c>
      <c r="F747" s="257" t="s">
        <v>3108</v>
      </c>
      <c r="G747" s="257" t="s">
        <v>3109</v>
      </c>
    </row>
    <row r="748" customHeight="1" spans="4:7">
      <c r="D748" s="256">
        <v>46007</v>
      </c>
      <c r="E748" s="257" t="s">
        <v>3101</v>
      </c>
      <c r="F748" s="257" t="s">
        <v>3110</v>
      </c>
      <c r="G748" s="257" t="s">
        <v>3111</v>
      </c>
    </row>
    <row r="749" customHeight="1" spans="4:7">
      <c r="D749" s="256">
        <v>46007</v>
      </c>
      <c r="E749" s="257" t="s">
        <v>3101</v>
      </c>
      <c r="F749" s="257" t="s">
        <v>3112</v>
      </c>
      <c r="G749" s="257" t="s">
        <v>3113</v>
      </c>
    </row>
    <row r="750" customHeight="1" spans="4:7">
      <c r="D750" s="256">
        <v>46007</v>
      </c>
      <c r="E750" s="257" t="s">
        <v>3101</v>
      </c>
      <c r="F750" s="257" t="s">
        <v>3114</v>
      </c>
      <c r="G750" s="257" t="s">
        <v>3115</v>
      </c>
    </row>
    <row r="751" customHeight="1" spans="4:7">
      <c r="D751" s="256">
        <v>46007</v>
      </c>
      <c r="E751" s="257" t="s">
        <v>3101</v>
      </c>
      <c r="F751" s="257" t="s">
        <v>3116</v>
      </c>
      <c r="G751" s="257" t="s">
        <v>3117</v>
      </c>
    </row>
    <row r="752" customHeight="1" spans="4:7">
      <c r="D752" s="256">
        <v>46007</v>
      </c>
      <c r="E752" s="257" t="s">
        <v>3101</v>
      </c>
      <c r="F752" s="257" t="s">
        <v>3118</v>
      </c>
      <c r="G752" s="257" t="s">
        <v>3119</v>
      </c>
    </row>
    <row r="753" customHeight="1" spans="4:7">
      <c r="D753" s="256">
        <v>46007</v>
      </c>
      <c r="E753" s="257" t="s">
        <v>3101</v>
      </c>
      <c r="F753" s="257" t="s">
        <v>3120</v>
      </c>
      <c r="G753" s="257" t="s">
        <v>3121</v>
      </c>
    </row>
    <row r="754" customHeight="1" spans="4:7">
      <c r="D754" s="256">
        <v>46007</v>
      </c>
      <c r="E754" s="257" t="s">
        <v>3101</v>
      </c>
      <c r="F754" s="257" t="s">
        <v>3122</v>
      </c>
      <c r="G754" s="257" t="s">
        <v>2753</v>
      </c>
    </row>
    <row r="755" customHeight="1" spans="4:7">
      <c r="D755" s="256">
        <v>46007</v>
      </c>
      <c r="E755" s="257" t="s">
        <v>3101</v>
      </c>
      <c r="F755" s="257" t="s">
        <v>3123</v>
      </c>
      <c r="G755" s="257" t="s">
        <v>3124</v>
      </c>
    </row>
    <row r="756" customHeight="1" spans="4:7">
      <c r="D756" s="256">
        <v>46007</v>
      </c>
      <c r="E756" s="257" t="s">
        <v>3101</v>
      </c>
      <c r="F756" s="257" t="s">
        <v>3125</v>
      </c>
      <c r="G756" s="257" t="s">
        <v>3126</v>
      </c>
    </row>
    <row r="757" customHeight="1" spans="4:7">
      <c r="D757" s="256">
        <v>46007</v>
      </c>
      <c r="E757" s="257" t="s">
        <v>3101</v>
      </c>
      <c r="F757" s="257" t="s">
        <v>3127</v>
      </c>
      <c r="G757" s="257" t="s">
        <v>2312</v>
      </c>
    </row>
    <row r="758" customHeight="1" spans="4:7">
      <c r="D758" s="256">
        <v>46007</v>
      </c>
      <c r="E758" s="257" t="s">
        <v>3101</v>
      </c>
      <c r="F758" s="257" t="s">
        <v>3128</v>
      </c>
      <c r="G758" s="257" t="s">
        <v>3129</v>
      </c>
    </row>
    <row r="759" customHeight="1" spans="4:7">
      <c r="D759" s="256">
        <v>46007</v>
      </c>
      <c r="E759" s="257" t="s">
        <v>3101</v>
      </c>
      <c r="F759" s="257" t="s">
        <v>3130</v>
      </c>
      <c r="G759" s="257" t="s">
        <v>3131</v>
      </c>
    </row>
    <row r="760" customHeight="1" spans="4:7">
      <c r="D760" s="256">
        <v>46007</v>
      </c>
      <c r="E760" s="257" t="s">
        <v>3101</v>
      </c>
      <c r="F760" s="257" t="s">
        <v>3132</v>
      </c>
      <c r="G760" s="257" t="s">
        <v>3133</v>
      </c>
    </row>
    <row r="761" customHeight="1" spans="4:7">
      <c r="D761" s="256">
        <v>46007</v>
      </c>
      <c r="E761" s="257" t="s">
        <v>3101</v>
      </c>
      <c r="F761" s="257" t="s">
        <v>3134</v>
      </c>
      <c r="G761" s="257" t="s">
        <v>3135</v>
      </c>
    </row>
    <row r="762" customHeight="1" spans="4:7">
      <c r="D762" s="256">
        <v>46007</v>
      </c>
      <c r="E762" s="257" t="s">
        <v>3101</v>
      </c>
      <c r="F762" s="257" t="s">
        <v>3136</v>
      </c>
      <c r="G762" s="257" t="s">
        <v>3137</v>
      </c>
    </row>
    <row r="763" customHeight="1" spans="4:7">
      <c r="D763" s="256">
        <v>49004</v>
      </c>
      <c r="E763" s="257" t="s">
        <v>3138</v>
      </c>
      <c r="F763" s="257" t="s">
        <v>3139</v>
      </c>
      <c r="G763" s="257" t="s">
        <v>3140</v>
      </c>
    </row>
    <row r="764" customHeight="1" spans="4:7">
      <c r="D764" s="256">
        <v>49004</v>
      </c>
      <c r="E764" s="257" t="s">
        <v>3138</v>
      </c>
      <c r="F764" s="257" t="s">
        <v>3141</v>
      </c>
      <c r="G764" s="257" t="s">
        <v>3142</v>
      </c>
    </row>
    <row r="765" customHeight="1" spans="4:7">
      <c r="D765" s="256">
        <v>49004</v>
      </c>
      <c r="E765" s="257" t="s">
        <v>3138</v>
      </c>
      <c r="F765" s="257" t="s">
        <v>3143</v>
      </c>
      <c r="G765" s="257" t="s">
        <v>3144</v>
      </c>
    </row>
    <row r="766" customHeight="1" spans="4:7">
      <c r="D766" s="256">
        <v>49004</v>
      </c>
      <c r="E766" s="257" t="s">
        <v>3138</v>
      </c>
      <c r="F766" s="257" t="s">
        <v>3145</v>
      </c>
      <c r="G766" s="257" t="s">
        <v>3146</v>
      </c>
    </row>
    <row r="767" customHeight="1" spans="4:7">
      <c r="D767" s="256">
        <v>49004</v>
      </c>
      <c r="E767" s="257" t="s">
        <v>3138</v>
      </c>
      <c r="F767" s="257" t="s">
        <v>3147</v>
      </c>
      <c r="G767" s="257" t="s">
        <v>3148</v>
      </c>
    </row>
    <row r="768" customHeight="1" spans="4:7">
      <c r="D768" s="256">
        <v>49004</v>
      </c>
      <c r="E768" s="257" t="s">
        <v>3138</v>
      </c>
      <c r="F768" s="257" t="s">
        <v>3149</v>
      </c>
      <c r="G768" s="257" t="s">
        <v>3150</v>
      </c>
    </row>
    <row r="769" customHeight="1" spans="4:7">
      <c r="D769" s="256">
        <v>49004</v>
      </c>
      <c r="E769" s="257" t="s">
        <v>3138</v>
      </c>
      <c r="F769" s="257" t="s">
        <v>3151</v>
      </c>
      <c r="G769" s="257" t="s">
        <v>3152</v>
      </c>
    </row>
    <row r="770" customHeight="1" spans="4:7">
      <c r="D770" s="256">
        <v>49004</v>
      </c>
      <c r="E770" s="257" t="s">
        <v>3138</v>
      </c>
      <c r="F770" s="257" t="s">
        <v>3153</v>
      </c>
      <c r="G770" s="257" t="s">
        <v>3154</v>
      </c>
    </row>
    <row r="771" customHeight="1" spans="4:7">
      <c r="D771" s="256">
        <v>49004</v>
      </c>
      <c r="E771" s="257" t="s">
        <v>3138</v>
      </c>
      <c r="F771" s="257" t="s">
        <v>3155</v>
      </c>
      <c r="G771" s="257" t="s">
        <v>3156</v>
      </c>
    </row>
    <row r="772" customHeight="1" spans="4:7">
      <c r="D772" s="256">
        <v>49004</v>
      </c>
      <c r="E772" s="257" t="s">
        <v>3138</v>
      </c>
      <c r="F772" s="257" t="s">
        <v>3157</v>
      </c>
      <c r="G772" s="257" t="s">
        <v>3158</v>
      </c>
    </row>
    <row r="773" customHeight="1" spans="4:7">
      <c r="D773" s="256">
        <v>49004</v>
      </c>
      <c r="E773" s="257" t="s">
        <v>3138</v>
      </c>
      <c r="F773" s="257" t="s">
        <v>3159</v>
      </c>
      <c r="G773" s="257" t="s">
        <v>3160</v>
      </c>
    </row>
    <row r="774" customHeight="1" spans="4:7">
      <c r="D774" s="256">
        <v>49004</v>
      </c>
      <c r="E774" s="257" t="s">
        <v>3138</v>
      </c>
      <c r="F774" s="257" t="s">
        <v>3161</v>
      </c>
      <c r="G774" s="257" t="s">
        <v>3162</v>
      </c>
    </row>
    <row r="775" customHeight="1" spans="4:7">
      <c r="D775" s="256">
        <v>49004</v>
      </c>
      <c r="E775" s="257" t="s">
        <v>3138</v>
      </c>
      <c r="F775" s="257" t="s">
        <v>3163</v>
      </c>
      <c r="G775" s="257" t="s">
        <v>3164</v>
      </c>
    </row>
    <row r="776" customHeight="1" spans="4:7">
      <c r="D776" s="256">
        <v>51006</v>
      </c>
      <c r="E776" s="257" t="s">
        <v>3165</v>
      </c>
      <c r="F776" s="257" t="s">
        <v>3166</v>
      </c>
      <c r="G776" s="257" t="s">
        <v>2707</v>
      </c>
    </row>
    <row r="777" customHeight="1" spans="4:7">
      <c r="D777" s="256">
        <v>51006</v>
      </c>
      <c r="E777" s="257" t="s">
        <v>3165</v>
      </c>
      <c r="F777" s="257" t="s">
        <v>3167</v>
      </c>
      <c r="G777" s="257" t="s">
        <v>2920</v>
      </c>
    </row>
    <row r="778" customHeight="1" spans="4:7">
      <c r="D778" s="256">
        <v>51006</v>
      </c>
      <c r="E778" s="257" t="s">
        <v>3165</v>
      </c>
      <c r="F778" s="257" t="s">
        <v>3168</v>
      </c>
      <c r="G778" s="257" t="s">
        <v>3169</v>
      </c>
    </row>
    <row r="779" customHeight="1" spans="4:7">
      <c r="D779" s="256">
        <v>51006</v>
      </c>
      <c r="E779" s="257" t="s">
        <v>3165</v>
      </c>
      <c r="F779" s="257" t="s">
        <v>3170</v>
      </c>
      <c r="G779" s="257" t="s">
        <v>3171</v>
      </c>
    </row>
    <row r="780" customHeight="1" spans="4:7">
      <c r="D780" s="256">
        <v>51006</v>
      </c>
      <c r="E780" s="257" t="s">
        <v>3165</v>
      </c>
      <c r="F780" s="257" t="s">
        <v>3172</v>
      </c>
      <c r="G780" s="257" t="s">
        <v>3173</v>
      </c>
    </row>
    <row r="781" customHeight="1" spans="4:7">
      <c r="D781" s="256">
        <v>51006</v>
      </c>
      <c r="E781" s="257" t="s">
        <v>3165</v>
      </c>
      <c r="F781" s="257" t="s">
        <v>3174</v>
      </c>
      <c r="G781" s="257" t="s">
        <v>3175</v>
      </c>
    </row>
    <row r="782" customHeight="1" spans="4:7">
      <c r="D782" s="256">
        <v>51006</v>
      </c>
      <c r="E782" s="257" t="s">
        <v>3165</v>
      </c>
      <c r="F782" s="257" t="s">
        <v>3176</v>
      </c>
      <c r="G782" s="257" t="s">
        <v>3177</v>
      </c>
    </row>
    <row r="783" customHeight="1" spans="4:7">
      <c r="D783" s="256">
        <v>51006</v>
      </c>
      <c r="E783" s="257" t="s">
        <v>3165</v>
      </c>
      <c r="F783" s="257" t="s">
        <v>3178</v>
      </c>
      <c r="G783" s="257" t="s">
        <v>3179</v>
      </c>
    </row>
    <row r="784" customHeight="1" spans="4:7">
      <c r="D784" s="256">
        <v>51006</v>
      </c>
      <c r="E784" s="257" t="s">
        <v>3165</v>
      </c>
      <c r="F784" s="257" t="s">
        <v>3180</v>
      </c>
      <c r="G784" s="257" t="s">
        <v>3181</v>
      </c>
    </row>
    <row r="785" customHeight="1" spans="4:7">
      <c r="D785" s="256">
        <v>51006</v>
      </c>
      <c r="E785" s="257" t="s">
        <v>3165</v>
      </c>
      <c r="F785" s="257" t="s">
        <v>3182</v>
      </c>
      <c r="G785" s="257" t="s">
        <v>3183</v>
      </c>
    </row>
    <row r="786" customHeight="1" spans="4:7">
      <c r="D786" s="256">
        <v>51006</v>
      </c>
      <c r="E786" s="257" t="s">
        <v>3165</v>
      </c>
      <c r="F786" s="257" t="s">
        <v>3184</v>
      </c>
      <c r="G786" s="257" t="s">
        <v>3185</v>
      </c>
    </row>
    <row r="787" customHeight="1" spans="4:7">
      <c r="D787" s="256">
        <v>51006</v>
      </c>
      <c r="E787" s="257" t="s">
        <v>3165</v>
      </c>
      <c r="F787" s="257" t="s">
        <v>3186</v>
      </c>
      <c r="G787" s="257" t="s">
        <v>3187</v>
      </c>
    </row>
    <row r="788" customHeight="1" spans="4:7">
      <c r="D788" s="256">
        <v>51006</v>
      </c>
      <c r="E788" s="257" t="s">
        <v>3165</v>
      </c>
      <c r="F788" s="257" t="s">
        <v>3188</v>
      </c>
      <c r="G788" s="257" t="s">
        <v>3189</v>
      </c>
    </row>
    <row r="789" customHeight="1" spans="4:7">
      <c r="D789" s="256">
        <v>51006</v>
      </c>
      <c r="E789" s="257" t="s">
        <v>3165</v>
      </c>
      <c r="F789" s="257" t="s">
        <v>3190</v>
      </c>
      <c r="G789" s="257" t="s">
        <v>3191</v>
      </c>
    </row>
    <row r="790" customHeight="1" spans="4:7">
      <c r="D790" s="256">
        <v>51006</v>
      </c>
      <c r="E790" s="257" t="s">
        <v>3165</v>
      </c>
      <c r="F790" s="257" t="s">
        <v>3192</v>
      </c>
      <c r="G790" s="257" t="s">
        <v>3193</v>
      </c>
    </row>
    <row r="791" customHeight="1" spans="4:7">
      <c r="D791" s="256">
        <v>48008</v>
      </c>
      <c r="E791" s="257" t="s">
        <v>3194</v>
      </c>
      <c r="F791" s="257" t="s">
        <v>3195</v>
      </c>
      <c r="G791" s="257" t="s">
        <v>3196</v>
      </c>
    </row>
    <row r="792" customHeight="1" spans="4:7">
      <c r="D792" s="256">
        <v>48008</v>
      </c>
      <c r="E792" s="257" t="s">
        <v>3194</v>
      </c>
      <c r="F792" s="257" t="s">
        <v>3197</v>
      </c>
      <c r="G792" s="257" t="s">
        <v>3198</v>
      </c>
    </row>
    <row r="793" customHeight="1" spans="4:7">
      <c r="D793" s="256">
        <v>48008</v>
      </c>
      <c r="E793" s="257" t="s">
        <v>3194</v>
      </c>
      <c r="F793" s="257" t="s">
        <v>3199</v>
      </c>
      <c r="G793" s="257" t="s">
        <v>3200</v>
      </c>
    </row>
    <row r="794" customHeight="1" spans="4:7">
      <c r="D794" s="256">
        <v>48008</v>
      </c>
      <c r="E794" s="257" t="s">
        <v>3194</v>
      </c>
      <c r="F794" s="257" t="s">
        <v>3201</v>
      </c>
      <c r="G794" s="257" t="s">
        <v>3202</v>
      </c>
    </row>
    <row r="795" customHeight="1" spans="4:7">
      <c r="D795" s="256">
        <v>48008</v>
      </c>
      <c r="E795" s="257" t="s">
        <v>3194</v>
      </c>
      <c r="F795" s="257" t="s">
        <v>3203</v>
      </c>
      <c r="G795" s="257" t="s">
        <v>2898</v>
      </c>
    </row>
    <row r="796" customHeight="1" spans="4:7">
      <c r="D796" s="256">
        <v>49005</v>
      </c>
      <c r="E796" s="257" t="s">
        <v>3204</v>
      </c>
      <c r="F796" s="257" t="s">
        <v>3205</v>
      </c>
      <c r="G796" s="257" t="s">
        <v>3206</v>
      </c>
    </row>
    <row r="797" customHeight="1" spans="4:7">
      <c r="D797" s="256">
        <v>49005</v>
      </c>
      <c r="E797" s="257" t="s">
        <v>3204</v>
      </c>
      <c r="F797" s="257" t="s">
        <v>3207</v>
      </c>
      <c r="G797" s="257" t="s">
        <v>3208</v>
      </c>
    </row>
    <row r="798" customHeight="1" spans="4:7">
      <c r="D798" s="256">
        <v>49005</v>
      </c>
      <c r="E798" s="257" t="s">
        <v>3204</v>
      </c>
      <c r="F798" s="257" t="s">
        <v>3209</v>
      </c>
      <c r="G798" s="257" t="s">
        <v>3210</v>
      </c>
    </row>
    <row r="799" customHeight="1" spans="4:7">
      <c r="D799" s="256">
        <v>51007</v>
      </c>
      <c r="E799" s="257" t="s">
        <v>3211</v>
      </c>
      <c r="F799" s="257" t="s">
        <v>3212</v>
      </c>
      <c r="G799" s="257" t="s">
        <v>3213</v>
      </c>
    </row>
    <row r="800" customHeight="1" spans="4:7">
      <c r="D800" s="256">
        <v>51007</v>
      </c>
      <c r="E800" s="257" t="s">
        <v>3211</v>
      </c>
      <c r="F800" s="257" t="s">
        <v>3214</v>
      </c>
      <c r="G800" s="257" t="s">
        <v>3215</v>
      </c>
    </row>
    <row r="801" customHeight="1" spans="4:7">
      <c r="D801" s="256">
        <v>51007</v>
      </c>
      <c r="E801" s="257" t="s">
        <v>3211</v>
      </c>
      <c r="F801" s="257" t="s">
        <v>3216</v>
      </c>
      <c r="G801" s="257" t="s">
        <v>3217</v>
      </c>
    </row>
    <row r="802" customHeight="1" spans="4:7">
      <c r="D802" s="256">
        <v>51007</v>
      </c>
      <c r="E802" s="257" t="s">
        <v>3211</v>
      </c>
      <c r="F802" s="257" t="s">
        <v>3218</v>
      </c>
      <c r="G802" s="257" t="s">
        <v>3219</v>
      </c>
    </row>
    <row r="803" customHeight="1" spans="4:7">
      <c r="D803" s="256">
        <v>51007</v>
      </c>
      <c r="E803" s="257" t="s">
        <v>3211</v>
      </c>
      <c r="F803" s="257" t="s">
        <v>3220</v>
      </c>
      <c r="G803" s="257" t="s">
        <v>3221</v>
      </c>
    </row>
    <row r="804" customHeight="1" spans="4:7">
      <c r="D804" s="256">
        <v>51007</v>
      </c>
      <c r="E804" s="257" t="s">
        <v>3211</v>
      </c>
      <c r="F804" s="257" t="s">
        <v>3222</v>
      </c>
      <c r="G804" s="257" t="s">
        <v>1994</v>
      </c>
    </row>
    <row r="805" customHeight="1" spans="4:7">
      <c r="D805" s="256">
        <v>51007</v>
      </c>
      <c r="E805" s="257" t="s">
        <v>3211</v>
      </c>
      <c r="F805" s="257" t="s">
        <v>3223</v>
      </c>
      <c r="G805" s="257" t="s">
        <v>3224</v>
      </c>
    </row>
    <row r="806" customHeight="1" spans="4:7">
      <c r="D806" s="256">
        <v>51007</v>
      </c>
      <c r="E806" s="257" t="s">
        <v>3211</v>
      </c>
      <c r="F806" s="257" t="s">
        <v>3225</v>
      </c>
      <c r="G806" s="257" t="s">
        <v>3226</v>
      </c>
    </row>
    <row r="807" customHeight="1" spans="4:7">
      <c r="D807" s="256">
        <v>51007</v>
      </c>
      <c r="E807" s="257" t="s">
        <v>3211</v>
      </c>
      <c r="F807" s="257" t="s">
        <v>3227</v>
      </c>
      <c r="G807" s="257" t="s">
        <v>3228</v>
      </c>
    </row>
    <row r="808" customHeight="1" spans="4:7">
      <c r="D808" s="256">
        <v>51007</v>
      </c>
      <c r="E808" s="257" t="s">
        <v>3211</v>
      </c>
      <c r="F808" s="257" t="s">
        <v>3229</v>
      </c>
      <c r="G808" s="257" t="s">
        <v>3230</v>
      </c>
    </row>
    <row r="809" customHeight="1" spans="4:7">
      <c r="D809" s="256">
        <v>51007</v>
      </c>
      <c r="E809" s="257" t="s">
        <v>3211</v>
      </c>
      <c r="F809" s="257" t="s">
        <v>3231</v>
      </c>
      <c r="G809" s="257" t="s">
        <v>3232</v>
      </c>
    </row>
    <row r="810" customHeight="1" spans="4:7">
      <c r="D810" s="256">
        <v>51007</v>
      </c>
      <c r="E810" s="257" t="s">
        <v>3211</v>
      </c>
      <c r="F810" s="257" t="s">
        <v>3233</v>
      </c>
      <c r="G810" s="257" t="s">
        <v>3234</v>
      </c>
    </row>
    <row r="811" customHeight="1" spans="4:7">
      <c r="D811" s="256">
        <v>51007</v>
      </c>
      <c r="E811" s="257" t="s">
        <v>3211</v>
      </c>
      <c r="F811" s="257" t="s">
        <v>3235</v>
      </c>
      <c r="G811" s="257" t="s">
        <v>3236</v>
      </c>
    </row>
    <row r="812" customHeight="1" spans="4:7">
      <c r="D812" s="256">
        <v>51007</v>
      </c>
      <c r="E812" s="257" t="s">
        <v>3211</v>
      </c>
      <c r="F812" s="257" t="s">
        <v>3237</v>
      </c>
      <c r="G812" s="257" t="s">
        <v>3238</v>
      </c>
    </row>
    <row r="813" customHeight="1" spans="4:7">
      <c r="D813" s="256">
        <v>51007</v>
      </c>
      <c r="E813" s="257" t="s">
        <v>3211</v>
      </c>
      <c r="F813" s="257" t="s">
        <v>3239</v>
      </c>
      <c r="G813" s="257" t="s">
        <v>3240</v>
      </c>
    </row>
    <row r="814" customHeight="1" spans="4:7">
      <c r="D814" s="256">
        <v>51007</v>
      </c>
      <c r="E814" s="257" t="s">
        <v>3211</v>
      </c>
      <c r="F814" s="257" t="s">
        <v>3241</v>
      </c>
      <c r="G814" s="257" t="s">
        <v>3242</v>
      </c>
    </row>
    <row r="815" customHeight="1" spans="4:7">
      <c r="D815" s="256">
        <v>51007</v>
      </c>
      <c r="E815" s="257" t="s">
        <v>3211</v>
      </c>
      <c r="F815" s="257" t="s">
        <v>3243</v>
      </c>
      <c r="G815" s="257" t="s">
        <v>3244</v>
      </c>
    </row>
    <row r="816" customHeight="1" spans="4:7">
      <c r="D816" s="256">
        <v>51007</v>
      </c>
      <c r="E816" s="257" t="s">
        <v>3211</v>
      </c>
      <c r="F816" s="257" t="s">
        <v>3245</v>
      </c>
      <c r="G816" s="257" t="s">
        <v>3246</v>
      </c>
    </row>
    <row r="817" customHeight="1" spans="4:7">
      <c r="D817" s="256">
        <v>51007</v>
      </c>
      <c r="E817" s="257" t="s">
        <v>3211</v>
      </c>
      <c r="F817" s="257" t="s">
        <v>3247</v>
      </c>
      <c r="G817" s="257" t="s">
        <v>3248</v>
      </c>
    </row>
    <row r="818" customHeight="1" spans="4:7">
      <c r="D818" s="256">
        <v>51007</v>
      </c>
      <c r="E818" s="257" t="s">
        <v>3211</v>
      </c>
      <c r="F818" s="257" t="s">
        <v>3249</v>
      </c>
      <c r="G818" s="257" t="s">
        <v>3250</v>
      </c>
    </row>
    <row r="819" customHeight="1" spans="4:7">
      <c r="D819" s="256">
        <v>46008</v>
      </c>
      <c r="E819" s="257" t="s">
        <v>3251</v>
      </c>
      <c r="F819" s="257" t="s">
        <v>3252</v>
      </c>
      <c r="G819" s="257" t="s">
        <v>2803</v>
      </c>
    </row>
    <row r="820" customHeight="1" spans="4:7">
      <c r="D820" s="256">
        <v>46008</v>
      </c>
      <c r="E820" s="257" t="s">
        <v>3251</v>
      </c>
      <c r="F820" s="257" t="s">
        <v>3253</v>
      </c>
      <c r="G820" s="257" t="s">
        <v>3254</v>
      </c>
    </row>
    <row r="821" customHeight="1" spans="4:7">
      <c r="D821" s="256">
        <v>46008</v>
      </c>
      <c r="E821" s="257" t="s">
        <v>3251</v>
      </c>
      <c r="F821" s="257" t="s">
        <v>3255</v>
      </c>
      <c r="G821" s="257" t="s">
        <v>3256</v>
      </c>
    </row>
    <row r="822" customHeight="1" spans="4:7">
      <c r="D822" s="256">
        <v>46008</v>
      </c>
      <c r="E822" s="257" t="s">
        <v>3251</v>
      </c>
      <c r="F822" s="257" t="s">
        <v>3257</v>
      </c>
      <c r="G822" s="257" t="s">
        <v>3258</v>
      </c>
    </row>
    <row r="823" customHeight="1" spans="4:7">
      <c r="D823" s="256">
        <v>46008</v>
      </c>
      <c r="E823" s="257" t="s">
        <v>3251</v>
      </c>
      <c r="F823" s="257" t="s">
        <v>3259</v>
      </c>
      <c r="G823" s="257" t="s">
        <v>3260</v>
      </c>
    </row>
    <row r="824" customHeight="1" spans="4:7">
      <c r="D824" s="256">
        <v>46008</v>
      </c>
      <c r="E824" s="257" t="s">
        <v>3251</v>
      </c>
      <c r="F824" s="257" t="s">
        <v>3261</v>
      </c>
      <c r="G824" s="257" t="s">
        <v>3262</v>
      </c>
    </row>
    <row r="825" customHeight="1" spans="4:7">
      <c r="D825" s="256">
        <v>46008</v>
      </c>
      <c r="E825" s="257" t="s">
        <v>3251</v>
      </c>
      <c r="F825" s="257" t="s">
        <v>3263</v>
      </c>
      <c r="G825" s="257" t="s">
        <v>3264</v>
      </c>
    </row>
    <row r="826" customHeight="1" spans="4:7">
      <c r="D826" s="256">
        <v>46008</v>
      </c>
      <c r="E826" s="257" t="s">
        <v>3251</v>
      </c>
      <c r="F826" s="257" t="s">
        <v>3265</v>
      </c>
      <c r="G826" s="257" t="s">
        <v>3266</v>
      </c>
    </row>
    <row r="827" customHeight="1" spans="4:7">
      <c r="D827" s="256">
        <v>46008</v>
      </c>
      <c r="E827" s="257" t="s">
        <v>3251</v>
      </c>
      <c r="F827" s="257" t="s">
        <v>3267</v>
      </c>
      <c r="G827" s="257" t="s">
        <v>3268</v>
      </c>
    </row>
    <row r="828" customHeight="1" spans="4:7">
      <c r="D828" s="256">
        <v>46008</v>
      </c>
      <c r="E828" s="257" t="s">
        <v>3251</v>
      </c>
      <c r="F828" s="257" t="s">
        <v>3269</v>
      </c>
      <c r="G828" s="257" t="s">
        <v>3270</v>
      </c>
    </row>
    <row r="829" customHeight="1" spans="4:7">
      <c r="D829" s="256">
        <v>46008</v>
      </c>
      <c r="E829" s="257" t="s">
        <v>3251</v>
      </c>
      <c r="F829" s="257" t="s">
        <v>3271</v>
      </c>
      <c r="G829" s="257" t="s">
        <v>3272</v>
      </c>
    </row>
    <row r="830" customHeight="1" spans="4:7">
      <c r="D830" s="256">
        <v>100002</v>
      </c>
      <c r="E830" s="257" t="s">
        <v>3273</v>
      </c>
      <c r="F830" s="257" t="s">
        <v>3274</v>
      </c>
      <c r="G830" s="257" t="s">
        <v>3275</v>
      </c>
    </row>
    <row r="831" customHeight="1" spans="4:7">
      <c r="D831" s="256">
        <v>100002</v>
      </c>
      <c r="E831" s="257" t="s">
        <v>3273</v>
      </c>
      <c r="F831" s="257" t="s">
        <v>3276</v>
      </c>
      <c r="G831" s="257" t="s">
        <v>3277</v>
      </c>
    </row>
    <row r="832" customHeight="1" spans="4:7">
      <c r="D832" s="256">
        <v>100002</v>
      </c>
      <c r="E832" s="257" t="s">
        <v>3273</v>
      </c>
      <c r="F832" s="257" t="s">
        <v>3278</v>
      </c>
      <c r="G832" s="257" t="s">
        <v>3279</v>
      </c>
    </row>
    <row r="833" customHeight="1" spans="4:7">
      <c r="D833" s="256">
        <v>100002</v>
      </c>
      <c r="E833" s="257" t="s">
        <v>3273</v>
      </c>
      <c r="F833" s="257" t="s">
        <v>3280</v>
      </c>
      <c r="G833" s="257" t="s">
        <v>3281</v>
      </c>
    </row>
    <row r="834" customHeight="1" spans="4:7">
      <c r="D834" s="256">
        <v>100002</v>
      </c>
      <c r="E834" s="257" t="s">
        <v>3273</v>
      </c>
      <c r="F834" s="257" t="s">
        <v>3282</v>
      </c>
      <c r="G834" s="257" t="s">
        <v>3283</v>
      </c>
    </row>
    <row r="835" customHeight="1" spans="4:7">
      <c r="D835" s="256">
        <v>100002</v>
      </c>
      <c r="E835" s="257" t="s">
        <v>3273</v>
      </c>
      <c r="F835" s="257" t="s">
        <v>3284</v>
      </c>
      <c r="G835" s="257" t="s">
        <v>3285</v>
      </c>
    </row>
    <row r="836" customHeight="1" spans="4:7">
      <c r="D836" s="256">
        <v>100002</v>
      </c>
      <c r="E836" s="257" t="s">
        <v>3273</v>
      </c>
      <c r="F836" s="257" t="s">
        <v>3286</v>
      </c>
      <c r="G836" s="257" t="s">
        <v>3287</v>
      </c>
    </row>
    <row r="837" customHeight="1" spans="4:7">
      <c r="D837" s="256">
        <v>100002</v>
      </c>
      <c r="E837" s="257" t="s">
        <v>3273</v>
      </c>
      <c r="F837" s="257" t="s">
        <v>3288</v>
      </c>
      <c r="G837" s="257" t="s">
        <v>3289</v>
      </c>
    </row>
    <row r="838" customHeight="1" spans="4:7">
      <c r="D838" s="256">
        <v>100002</v>
      </c>
      <c r="E838" s="257" t="s">
        <v>3273</v>
      </c>
      <c r="F838" s="257" t="s">
        <v>3290</v>
      </c>
      <c r="G838" s="257" t="s">
        <v>1866</v>
      </c>
    </row>
    <row r="839" customHeight="1" spans="4:7">
      <c r="D839" s="256">
        <v>100002</v>
      </c>
      <c r="E839" s="257" t="s">
        <v>3273</v>
      </c>
      <c r="F839" s="257" t="s">
        <v>3291</v>
      </c>
      <c r="G839" s="257" t="s">
        <v>3292</v>
      </c>
    </row>
    <row r="840" customHeight="1" spans="4:7">
      <c r="D840" s="256">
        <v>100002</v>
      </c>
      <c r="E840" s="257" t="s">
        <v>3273</v>
      </c>
      <c r="F840" s="257" t="s">
        <v>3293</v>
      </c>
      <c r="G840" s="257" t="s">
        <v>3202</v>
      </c>
    </row>
    <row r="841" customHeight="1" spans="4:7">
      <c r="D841" s="256">
        <v>100002</v>
      </c>
      <c r="E841" s="257" t="s">
        <v>3273</v>
      </c>
      <c r="F841" s="257" t="s">
        <v>3294</v>
      </c>
      <c r="G841" s="257" t="s">
        <v>3295</v>
      </c>
    </row>
    <row r="842" customHeight="1" spans="4:7">
      <c r="D842" s="256">
        <v>100002</v>
      </c>
      <c r="E842" s="257" t="s">
        <v>3273</v>
      </c>
      <c r="F842" s="257" t="s">
        <v>3296</v>
      </c>
      <c r="G842" s="257" t="s">
        <v>3297</v>
      </c>
    </row>
    <row r="843" customHeight="1" spans="4:7">
      <c r="D843" s="256">
        <v>100002</v>
      </c>
      <c r="E843" s="257" t="s">
        <v>3273</v>
      </c>
      <c r="F843" s="257" t="s">
        <v>3298</v>
      </c>
      <c r="G843" s="257" t="s">
        <v>3299</v>
      </c>
    </row>
    <row r="844" customHeight="1" spans="4:7">
      <c r="D844" s="256">
        <v>100002</v>
      </c>
      <c r="E844" s="257" t="s">
        <v>3273</v>
      </c>
      <c r="F844" s="257" t="s">
        <v>3300</v>
      </c>
      <c r="G844" s="257" t="s">
        <v>3301</v>
      </c>
    </row>
    <row r="845" customHeight="1" spans="4:7">
      <c r="D845" s="256">
        <v>100002</v>
      </c>
      <c r="E845" s="257" t="s">
        <v>3273</v>
      </c>
      <c r="F845" s="257" t="s">
        <v>3302</v>
      </c>
      <c r="G845" s="257" t="s">
        <v>3303</v>
      </c>
    </row>
    <row r="846" customHeight="1" spans="4:7">
      <c r="D846" s="256">
        <v>100002</v>
      </c>
      <c r="E846" s="257" t="s">
        <v>3273</v>
      </c>
      <c r="F846" s="257" t="s">
        <v>3304</v>
      </c>
      <c r="G846" s="257" t="s">
        <v>1581</v>
      </c>
    </row>
    <row r="847" customHeight="1" spans="4:7">
      <c r="D847" s="256">
        <v>100002</v>
      </c>
      <c r="E847" s="257" t="s">
        <v>3273</v>
      </c>
      <c r="F847" s="257" t="s">
        <v>3305</v>
      </c>
      <c r="G847" s="257" t="s">
        <v>3306</v>
      </c>
    </row>
    <row r="848" customHeight="1" spans="4:7">
      <c r="D848" s="256">
        <v>100002</v>
      </c>
      <c r="E848" s="257" t="s">
        <v>3273</v>
      </c>
      <c r="F848" s="257" t="s">
        <v>3307</v>
      </c>
      <c r="G848" s="257" t="s">
        <v>3308</v>
      </c>
    </row>
    <row r="849" customHeight="1" spans="4:7">
      <c r="D849" s="256">
        <v>100002</v>
      </c>
      <c r="E849" s="257" t="s">
        <v>3273</v>
      </c>
      <c r="F849" s="257" t="s">
        <v>3309</v>
      </c>
      <c r="G849" s="257" t="s">
        <v>3310</v>
      </c>
    </row>
    <row r="850" customHeight="1" spans="4:7">
      <c r="D850" s="256">
        <v>45003</v>
      </c>
      <c r="E850" s="257" t="s">
        <v>3311</v>
      </c>
      <c r="F850" s="257" t="s">
        <v>3312</v>
      </c>
      <c r="G850" s="257" t="s">
        <v>3313</v>
      </c>
    </row>
    <row r="851" customHeight="1" spans="4:7">
      <c r="D851" s="256">
        <v>45003</v>
      </c>
      <c r="E851" s="257" t="s">
        <v>3311</v>
      </c>
      <c r="F851" s="257" t="s">
        <v>3314</v>
      </c>
      <c r="G851" s="257" t="s">
        <v>3315</v>
      </c>
    </row>
    <row r="852" customHeight="1" spans="4:7">
      <c r="D852" s="256">
        <v>45003</v>
      </c>
      <c r="E852" s="257" t="s">
        <v>3311</v>
      </c>
      <c r="F852" s="257" t="s">
        <v>3316</v>
      </c>
      <c r="G852" s="257" t="s">
        <v>3317</v>
      </c>
    </row>
    <row r="853" customHeight="1" spans="4:7">
      <c r="D853" s="256">
        <v>45003</v>
      </c>
      <c r="E853" s="257" t="s">
        <v>3311</v>
      </c>
      <c r="F853" s="257" t="s">
        <v>3318</v>
      </c>
      <c r="G853" s="257" t="s">
        <v>3319</v>
      </c>
    </row>
    <row r="854" customHeight="1" spans="4:7">
      <c r="D854" s="256">
        <v>45003</v>
      </c>
      <c r="E854" s="257" t="s">
        <v>3311</v>
      </c>
      <c r="F854" s="257" t="s">
        <v>3320</v>
      </c>
      <c r="G854" s="257" t="s">
        <v>3321</v>
      </c>
    </row>
    <row r="855" customHeight="1" spans="4:7">
      <c r="D855" s="256">
        <v>45003</v>
      </c>
      <c r="E855" s="257" t="s">
        <v>3311</v>
      </c>
      <c r="F855" s="257" t="s">
        <v>3322</v>
      </c>
      <c r="G855" s="257" t="s">
        <v>3323</v>
      </c>
    </row>
    <row r="856" customHeight="1" spans="4:7">
      <c r="D856" s="256">
        <v>45003</v>
      </c>
      <c r="E856" s="257" t="s">
        <v>3311</v>
      </c>
      <c r="F856" s="257" t="s">
        <v>3324</v>
      </c>
      <c r="G856" s="257" t="s">
        <v>3325</v>
      </c>
    </row>
    <row r="857" customHeight="1" spans="4:7">
      <c r="D857" s="256">
        <v>45003</v>
      </c>
      <c r="E857" s="257" t="s">
        <v>3311</v>
      </c>
      <c r="F857" s="257" t="s">
        <v>3326</v>
      </c>
      <c r="G857" s="257" t="s">
        <v>3327</v>
      </c>
    </row>
    <row r="858" customHeight="1" spans="4:7">
      <c r="D858" s="256">
        <v>45003</v>
      </c>
      <c r="E858" s="257" t="s">
        <v>3311</v>
      </c>
      <c r="F858" s="257" t="s">
        <v>3328</v>
      </c>
      <c r="G858" s="257" t="s">
        <v>3329</v>
      </c>
    </row>
    <row r="859" customHeight="1" spans="4:7">
      <c r="D859" s="256">
        <v>45003</v>
      </c>
      <c r="E859" s="257" t="s">
        <v>3311</v>
      </c>
      <c r="F859" s="257" t="s">
        <v>3330</v>
      </c>
      <c r="G859" s="257" t="s">
        <v>3331</v>
      </c>
    </row>
    <row r="860" customHeight="1" spans="4:7">
      <c r="D860" s="256">
        <v>45003</v>
      </c>
      <c r="E860" s="257" t="s">
        <v>3311</v>
      </c>
      <c r="F860" s="257" t="s">
        <v>3332</v>
      </c>
      <c r="G860" s="257" t="s">
        <v>3333</v>
      </c>
    </row>
    <row r="861" customHeight="1" spans="4:7">
      <c r="D861" s="256">
        <v>45003</v>
      </c>
      <c r="E861" s="257" t="s">
        <v>3311</v>
      </c>
      <c r="F861" s="257" t="s">
        <v>3334</v>
      </c>
      <c r="G861" s="257" t="s">
        <v>3335</v>
      </c>
    </row>
    <row r="862" customHeight="1" spans="4:7">
      <c r="D862" s="256">
        <v>45003</v>
      </c>
      <c r="E862" s="257" t="s">
        <v>3311</v>
      </c>
      <c r="F862" s="257" t="s">
        <v>3336</v>
      </c>
      <c r="G862" s="257" t="s">
        <v>3337</v>
      </c>
    </row>
    <row r="863" customHeight="1" spans="4:7">
      <c r="D863" s="256">
        <v>45003</v>
      </c>
      <c r="E863" s="257" t="s">
        <v>3311</v>
      </c>
      <c r="F863" s="257" t="s">
        <v>3338</v>
      </c>
      <c r="G863" s="257" t="s">
        <v>3339</v>
      </c>
    </row>
    <row r="864" customHeight="1" spans="4:7">
      <c r="D864" s="256">
        <v>45003</v>
      </c>
      <c r="E864" s="257" t="s">
        <v>3311</v>
      </c>
      <c r="F864" s="257" t="s">
        <v>3340</v>
      </c>
      <c r="G864" s="257" t="s">
        <v>3341</v>
      </c>
    </row>
    <row r="865" customHeight="1" spans="4:7">
      <c r="D865" s="256">
        <v>45003</v>
      </c>
      <c r="E865" s="257" t="s">
        <v>3311</v>
      </c>
      <c r="F865" s="257" t="s">
        <v>3342</v>
      </c>
      <c r="G865" s="257" t="s">
        <v>3343</v>
      </c>
    </row>
    <row r="866" customHeight="1" spans="4:7">
      <c r="D866" s="256">
        <v>45003</v>
      </c>
      <c r="E866" s="257" t="s">
        <v>3311</v>
      </c>
      <c r="F866" s="257" t="s">
        <v>3344</v>
      </c>
      <c r="G866" s="257" t="s">
        <v>3345</v>
      </c>
    </row>
    <row r="867" customHeight="1" spans="4:7">
      <c r="D867" s="256">
        <v>50006</v>
      </c>
      <c r="E867" s="257" t="s">
        <v>3346</v>
      </c>
      <c r="F867" s="257" t="s">
        <v>3347</v>
      </c>
      <c r="G867" s="257" t="s">
        <v>3348</v>
      </c>
    </row>
    <row r="868" customHeight="1" spans="4:7">
      <c r="D868" s="256">
        <v>50006</v>
      </c>
      <c r="E868" s="257" t="s">
        <v>3346</v>
      </c>
      <c r="F868" s="257" t="s">
        <v>3349</v>
      </c>
      <c r="G868" s="257" t="s">
        <v>3350</v>
      </c>
    </row>
    <row r="869" customHeight="1" spans="4:7">
      <c r="D869" s="256">
        <v>50006</v>
      </c>
      <c r="E869" s="257" t="s">
        <v>3346</v>
      </c>
      <c r="F869" s="257" t="s">
        <v>3351</v>
      </c>
      <c r="G869" s="257" t="s">
        <v>2646</v>
      </c>
    </row>
    <row r="870" customHeight="1" spans="4:7">
      <c r="D870" s="256">
        <v>50006</v>
      </c>
      <c r="E870" s="257" t="s">
        <v>3346</v>
      </c>
      <c r="F870" s="257" t="s">
        <v>3352</v>
      </c>
      <c r="G870" s="257" t="s">
        <v>3353</v>
      </c>
    </row>
    <row r="871" customHeight="1" spans="4:7">
      <c r="D871" s="256">
        <v>50006</v>
      </c>
      <c r="E871" s="257" t="s">
        <v>3346</v>
      </c>
      <c r="F871" s="257" t="s">
        <v>3354</v>
      </c>
      <c r="G871" s="257" t="s">
        <v>3355</v>
      </c>
    </row>
    <row r="872" customHeight="1" spans="4:7">
      <c r="D872" s="256">
        <v>50006</v>
      </c>
      <c r="E872" s="257" t="s">
        <v>3346</v>
      </c>
      <c r="F872" s="257" t="s">
        <v>3356</v>
      </c>
      <c r="G872" s="257" t="s">
        <v>3357</v>
      </c>
    </row>
    <row r="873" customHeight="1" spans="4:7">
      <c r="D873" s="256">
        <v>50007</v>
      </c>
      <c r="E873" s="257" t="s">
        <v>3358</v>
      </c>
      <c r="F873" s="257" t="s">
        <v>3359</v>
      </c>
      <c r="G873" s="257" t="s">
        <v>3360</v>
      </c>
    </row>
    <row r="874" customHeight="1" spans="4:7">
      <c r="D874" s="256">
        <v>50007</v>
      </c>
      <c r="E874" s="257" t="s">
        <v>3358</v>
      </c>
      <c r="F874" s="257" t="s">
        <v>3361</v>
      </c>
      <c r="G874" s="257" t="s">
        <v>3362</v>
      </c>
    </row>
    <row r="875" customHeight="1" spans="4:7">
      <c r="D875" s="256">
        <v>50007</v>
      </c>
      <c r="E875" s="257" t="s">
        <v>3358</v>
      </c>
      <c r="F875" s="257" t="s">
        <v>3363</v>
      </c>
      <c r="G875" s="257" t="s">
        <v>3364</v>
      </c>
    </row>
    <row r="876" customHeight="1" spans="4:7">
      <c r="D876" s="256">
        <v>50007</v>
      </c>
      <c r="E876" s="257" t="s">
        <v>3358</v>
      </c>
      <c r="F876" s="257" t="s">
        <v>3365</v>
      </c>
      <c r="G876" s="257" t="s">
        <v>3366</v>
      </c>
    </row>
    <row r="877" customHeight="1" spans="4:7">
      <c r="D877" s="256">
        <v>50007</v>
      </c>
      <c r="E877" s="257" t="s">
        <v>3358</v>
      </c>
      <c r="F877" s="257" t="s">
        <v>3367</v>
      </c>
      <c r="G877" s="257" t="s">
        <v>3368</v>
      </c>
    </row>
    <row r="878" customHeight="1" spans="4:7">
      <c r="D878" s="256">
        <v>50007</v>
      </c>
      <c r="E878" s="257" t="s">
        <v>3358</v>
      </c>
      <c r="F878" s="257" t="s">
        <v>3369</v>
      </c>
      <c r="G878" s="257" t="s">
        <v>3370</v>
      </c>
    </row>
    <row r="879" customHeight="1" spans="4:7">
      <c r="D879" s="256">
        <v>50007</v>
      </c>
      <c r="E879" s="257" t="s">
        <v>3358</v>
      </c>
      <c r="F879" s="257" t="s">
        <v>3371</v>
      </c>
      <c r="G879" s="257" t="s">
        <v>3372</v>
      </c>
    </row>
    <row r="880" customHeight="1" spans="4:7">
      <c r="D880" s="256">
        <v>50007</v>
      </c>
      <c r="E880" s="257" t="s">
        <v>3358</v>
      </c>
      <c r="F880" s="257" t="s">
        <v>3373</v>
      </c>
      <c r="G880" s="257" t="s">
        <v>3374</v>
      </c>
    </row>
    <row r="881" customHeight="1" spans="4:7">
      <c r="D881" s="256">
        <v>50007</v>
      </c>
      <c r="E881" s="257" t="s">
        <v>3358</v>
      </c>
      <c r="F881" s="257" t="s">
        <v>3375</v>
      </c>
      <c r="G881" s="257" t="s">
        <v>3376</v>
      </c>
    </row>
    <row r="882" customHeight="1" spans="4:7">
      <c r="D882" s="256">
        <v>50007</v>
      </c>
      <c r="E882" s="257" t="s">
        <v>3358</v>
      </c>
      <c r="F882" s="257" t="s">
        <v>3377</v>
      </c>
      <c r="G882" s="257" t="s">
        <v>3378</v>
      </c>
    </row>
    <row r="883" customHeight="1" spans="4:7">
      <c r="D883" s="256">
        <v>50007</v>
      </c>
      <c r="E883" s="257" t="s">
        <v>3358</v>
      </c>
      <c r="F883" s="257" t="s">
        <v>3379</v>
      </c>
      <c r="G883" s="257" t="s">
        <v>3380</v>
      </c>
    </row>
    <row r="884" customHeight="1" spans="4:7">
      <c r="D884" s="256">
        <v>50008</v>
      </c>
      <c r="E884" s="257" t="s">
        <v>3381</v>
      </c>
      <c r="F884" s="257" t="s">
        <v>3382</v>
      </c>
      <c r="G884" s="257" t="s">
        <v>3383</v>
      </c>
    </row>
    <row r="885" customHeight="1" spans="4:7">
      <c r="D885" s="256">
        <v>50008</v>
      </c>
      <c r="E885" s="257" t="s">
        <v>3381</v>
      </c>
      <c r="F885" s="257" t="s">
        <v>3384</v>
      </c>
      <c r="G885" s="257" t="s">
        <v>3385</v>
      </c>
    </row>
    <row r="886" customHeight="1" spans="4:7">
      <c r="D886" s="256">
        <v>50008</v>
      </c>
      <c r="E886" s="257" t="s">
        <v>3381</v>
      </c>
      <c r="F886" s="257" t="s">
        <v>3386</v>
      </c>
      <c r="G886" s="257" t="s">
        <v>3387</v>
      </c>
    </row>
    <row r="887" customHeight="1" spans="4:7">
      <c r="D887" s="256">
        <v>50008</v>
      </c>
      <c r="E887" s="257" t="s">
        <v>3381</v>
      </c>
      <c r="F887" s="257" t="s">
        <v>3388</v>
      </c>
      <c r="G887" s="257" t="s">
        <v>3389</v>
      </c>
    </row>
    <row r="888" customHeight="1" spans="4:7">
      <c r="D888" s="256">
        <v>50008</v>
      </c>
      <c r="E888" s="257" t="s">
        <v>3381</v>
      </c>
      <c r="F888" s="257" t="s">
        <v>3390</v>
      </c>
      <c r="G888" s="257" t="s">
        <v>3391</v>
      </c>
    </row>
    <row r="889" customHeight="1" spans="4:7">
      <c r="D889" s="256">
        <v>50008</v>
      </c>
      <c r="E889" s="257" t="s">
        <v>3381</v>
      </c>
      <c r="F889" s="257" t="s">
        <v>3392</v>
      </c>
      <c r="G889" s="257" t="s">
        <v>3393</v>
      </c>
    </row>
    <row r="890" customHeight="1" spans="4:7">
      <c r="D890" s="256">
        <v>50008</v>
      </c>
      <c r="E890" s="257" t="s">
        <v>3381</v>
      </c>
      <c r="F890" s="257" t="s">
        <v>3394</v>
      </c>
      <c r="G890" s="257" t="s">
        <v>3395</v>
      </c>
    </row>
    <row r="891" customHeight="1" spans="4:7">
      <c r="D891" s="256">
        <v>50008</v>
      </c>
      <c r="E891" s="257" t="s">
        <v>3381</v>
      </c>
      <c r="F891" s="257" t="s">
        <v>3396</v>
      </c>
      <c r="G891" s="257" t="s">
        <v>3397</v>
      </c>
    </row>
    <row r="892" customHeight="1" spans="4:7">
      <c r="D892" s="256">
        <v>50008</v>
      </c>
      <c r="E892" s="257" t="s">
        <v>3381</v>
      </c>
      <c r="F892" s="257" t="s">
        <v>3398</v>
      </c>
      <c r="G892" s="257" t="s">
        <v>3399</v>
      </c>
    </row>
    <row r="893" customHeight="1" spans="4:7">
      <c r="D893" s="256">
        <v>50008</v>
      </c>
      <c r="E893" s="257" t="s">
        <v>3381</v>
      </c>
      <c r="F893" s="257" t="s">
        <v>3400</v>
      </c>
      <c r="G893" s="257" t="s">
        <v>3401</v>
      </c>
    </row>
    <row r="894" customHeight="1" spans="4:7">
      <c r="D894" s="256">
        <v>50008</v>
      </c>
      <c r="E894" s="257" t="s">
        <v>3381</v>
      </c>
      <c r="F894" s="257" t="s">
        <v>3402</v>
      </c>
      <c r="G894" s="257" t="s">
        <v>3403</v>
      </c>
    </row>
    <row r="895" customHeight="1" spans="4:7">
      <c r="D895" s="256">
        <v>45004</v>
      </c>
      <c r="E895" s="257" t="s">
        <v>3404</v>
      </c>
      <c r="F895" s="257" t="s">
        <v>3405</v>
      </c>
      <c r="G895" s="257" t="s">
        <v>3406</v>
      </c>
    </row>
    <row r="896" customHeight="1" spans="4:7">
      <c r="D896" s="256">
        <v>45004</v>
      </c>
      <c r="E896" s="257" t="s">
        <v>3404</v>
      </c>
      <c r="F896" s="257" t="s">
        <v>3407</v>
      </c>
      <c r="G896" s="257" t="s">
        <v>2994</v>
      </c>
    </row>
    <row r="897" customHeight="1" spans="4:7">
      <c r="D897" s="256">
        <v>45004</v>
      </c>
      <c r="E897" s="257" t="s">
        <v>3404</v>
      </c>
      <c r="F897" s="257" t="s">
        <v>3408</v>
      </c>
      <c r="G897" s="257" t="s">
        <v>3409</v>
      </c>
    </row>
    <row r="898" customHeight="1" spans="4:7">
      <c r="D898" s="256">
        <v>45004</v>
      </c>
      <c r="E898" s="257" t="s">
        <v>3404</v>
      </c>
      <c r="F898" s="257" t="s">
        <v>3410</v>
      </c>
      <c r="G898" s="257" t="s">
        <v>3411</v>
      </c>
    </row>
    <row r="899" customHeight="1" spans="4:7">
      <c r="D899" s="256">
        <v>45004</v>
      </c>
      <c r="E899" s="257" t="s">
        <v>3404</v>
      </c>
      <c r="F899" s="257" t="s">
        <v>3412</v>
      </c>
      <c r="G899" s="257" t="s">
        <v>3413</v>
      </c>
    </row>
    <row r="900" customHeight="1" spans="4:7">
      <c r="D900" s="256">
        <v>45004</v>
      </c>
      <c r="E900" s="257" t="s">
        <v>3404</v>
      </c>
      <c r="F900" s="257" t="s">
        <v>3414</v>
      </c>
      <c r="G900" s="257" t="s">
        <v>3415</v>
      </c>
    </row>
    <row r="901" customHeight="1" spans="4:7">
      <c r="D901" s="256">
        <v>45004</v>
      </c>
      <c r="E901" s="257" t="s">
        <v>3404</v>
      </c>
      <c r="F901" s="257" t="s">
        <v>3416</v>
      </c>
      <c r="G901" s="257" t="s">
        <v>3417</v>
      </c>
    </row>
    <row r="902" customHeight="1" spans="4:7">
      <c r="D902" s="256">
        <v>45004</v>
      </c>
      <c r="E902" s="257" t="s">
        <v>3404</v>
      </c>
      <c r="F902" s="257" t="s">
        <v>3418</v>
      </c>
      <c r="G902" s="257" t="s">
        <v>3419</v>
      </c>
    </row>
    <row r="903" customHeight="1" spans="4:7">
      <c r="D903" s="256">
        <v>45004</v>
      </c>
      <c r="E903" s="257" t="s">
        <v>3404</v>
      </c>
      <c r="F903" s="257" t="s">
        <v>3420</v>
      </c>
      <c r="G903" s="257" t="s">
        <v>3421</v>
      </c>
    </row>
    <row r="904" customHeight="1" spans="4:7">
      <c r="D904" s="256">
        <v>45004</v>
      </c>
      <c r="E904" s="257" t="s">
        <v>3404</v>
      </c>
      <c r="F904" s="257" t="s">
        <v>3422</v>
      </c>
      <c r="G904" s="257" t="s">
        <v>3423</v>
      </c>
    </row>
    <row r="905" customHeight="1" spans="4:7">
      <c r="D905" s="256">
        <v>45004</v>
      </c>
      <c r="E905" s="257" t="s">
        <v>3404</v>
      </c>
      <c r="F905" s="257" t="s">
        <v>3424</v>
      </c>
      <c r="G905" s="257" t="s">
        <v>3425</v>
      </c>
    </row>
    <row r="906" customHeight="1" spans="4:7">
      <c r="D906" s="256">
        <v>45004</v>
      </c>
      <c r="E906" s="257" t="s">
        <v>3404</v>
      </c>
      <c r="F906" s="257" t="s">
        <v>3426</v>
      </c>
      <c r="G906" s="257" t="s">
        <v>3427</v>
      </c>
    </row>
    <row r="907" customHeight="1" spans="4:7">
      <c r="D907" s="256">
        <v>45004</v>
      </c>
      <c r="E907" s="257" t="s">
        <v>3404</v>
      </c>
      <c r="F907" s="257" t="s">
        <v>3428</v>
      </c>
      <c r="G907" s="257" t="s">
        <v>3429</v>
      </c>
    </row>
    <row r="908" customHeight="1" spans="4:7">
      <c r="D908" s="256">
        <v>45004</v>
      </c>
      <c r="E908" s="257" t="s">
        <v>3404</v>
      </c>
      <c r="F908" s="257" t="s">
        <v>3430</v>
      </c>
      <c r="G908" s="257" t="s">
        <v>3431</v>
      </c>
    </row>
    <row r="909" customHeight="1" spans="4:7">
      <c r="D909" s="256">
        <v>52004</v>
      </c>
      <c r="E909" s="257" t="s">
        <v>3432</v>
      </c>
      <c r="F909" s="257" t="s">
        <v>3433</v>
      </c>
      <c r="G909" s="257" t="s">
        <v>3434</v>
      </c>
    </row>
    <row r="910" customHeight="1" spans="4:7">
      <c r="D910" s="256">
        <v>52004</v>
      </c>
      <c r="E910" s="257" t="s">
        <v>3432</v>
      </c>
      <c r="F910" s="257" t="s">
        <v>3435</v>
      </c>
      <c r="G910" s="257" t="s">
        <v>3436</v>
      </c>
    </row>
    <row r="911" customHeight="1" spans="4:7">
      <c r="D911" s="256">
        <v>52004</v>
      </c>
      <c r="E911" s="257" t="s">
        <v>3432</v>
      </c>
      <c r="F911" s="257" t="s">
        <v>3437</v>
      </c>
      <c r="G911" s="257" t="s">
        <v>3438</v>
      </c>
    </row>
    <row r="912" customHeight="1" spans="4:7">
      <c r="D912" s="256">
        <v>52004</v>
      </c>
      <c r="E912" s="257" t="s">
        <v>3432</v>
      </c>
      <c r="F912" s="257" t="s">
        <v>3439</v>
      </c>
      <c r="G912" s="257" t="s">
        <v>3440</v>
      </c>
    </row>
    <row r="913" customHeight="1" spans="4:7">
      <c r="D913" s="256">
        <v>52004</v>
      </c>
      <c r="E913" s="257" t="s">
        <v>3432</v>
      </c>
      <c r="F913" s="257" t="s">
        <v>3441</v>
      </c>
      <c r="G913" s="257" t="s">
        <v>3442</v>
      </c>
    </row>
    <row r="914" customHeight="1" spans="4:7">
      <c r="D914" s="256">
        <v>52004</v>
      </c>
      <c r="E914" s="257" t="s">
        <v>3432</v>
      </c>
      <c r="F914" s="257" t="s">
        <v>3443</v>
      </c>
      <c r="G914" s="257" t="s">
        <v>3444</v>
      </c>
    </row>
    <row r="915" customHeight="1" spans="4:7">
      <c r="D915" s="256">
        <v>52004</v>
      </c>
      <c r="E915" s="257" t="s">
        <v>3432</v>
      </c>
      <c r="F915" s="257" t="s">
        <v>3445</v>
      </c>
      <c r="G915" s="257" t="s">
        <v>3446</v>
      </c>
    </row>
    <row r="916" customHeight="1" spans="4:7">
      <c r="D916" s="256">
        <v>52004</v>
      </c>
      <c r="E916" s="257" t="s">
        <v>3432</v>
      </c>
      <c r="F916" s="257" t="s">
        <v>3447</v>
      </c>
      <c r="G916" s="257" t="s">
        <v>3448</v>
      </c>
    </row>
    <row r="917" customHeight="1" spans="4:7">
      <c r="D917" s="256">
        <v>52004</v>
      </c>
      <c r="E917" s="257" t="s">
        <v>3432</v>
      </c>
      <c r="F917" s="257" t="s">
        <v>3449</v>
      </c>
      <c r="G917" s="257" t="s">
        <v>3450</v>
      </c>
    </row>
    <row r="918" customHeight="1" spans="4:7">
      <c r="D918" s="256">
        <v>52004</v>
      </c>
      <c r="E918" s="257" t="s">
        <v>3432</v>
      </c>
      <c r="F918" s="257" t="s">
        <v>3451</v>
      </c>
      <c r="G918" s="257" t="s">
        <v>3452</v>
      </c>
    </row>
    <row r="919" customHeight="1" spans="4:7">
      <c r="D919" s="256">
        <v>52004</v>
      </c>
      <c r="E919" s="257" t="s">
        <v>3432</v>
      </c>
      <c r="F919" s="257" t="s">
        <v>3453</v>
      </c>
      <c r="G919" s="257" t="s">
        <v>3454</v>
      </c>
    </row>
    <row r="920" customHeight="1" spans="4:7">
      <c r="D920" s="256">
        <v>52004</v>
      </c>
      <c r="E920" s="257" t="s">
        <v>3432</v>
      </c>
      <c r="F920" s="257" t="s">
        <v>3455</v>
      </c>
      <c r="G920" s="257" t="s">
        <v>3456</v>
      </c>
    </row>
    <row r="921" customHeight="1" spans="4:7">
      <c r="D921" s="256">
        <v>52004</v>
      </c>
      <c r="E921" s="257" t="s">
        <v>3432</v>
      </c>
      <c r="F921" s="257" t="s">
        <v>3457</v>
      </c>
      <c r="G921" s="257" t="s">
        <v>3458</v>
      </c>
    </row>
    <row r="922" customHeight="1" spans="4:7">
      <c r="D922" s="256">
        <v>52004</v>
      </c>
      <c r="E922" s="257" t="s">
        <v>3432</v>
      </c>
      <c r="F922" s="257" t="s">
        <v>3459</v>
      </c>
      <c r="G922" s="257" t="s">
        <v>3460</v>
      </c>
    </row>
    <row r="923" customHeight="1" spans="4:7">
      <c r="D923" s="256">
        <v>52004</v>
      </c>
      <c r="E923" s="257" t="s">
        <v>3432</v>
      </c>
      <c r="F923" s="257" t="s">
        <v>3461</v>
      </c>
      <c r="G923" s="257" t="s">
        <v>3462</v>
      </c>
    </row>
    <row r="924" customHeight="1" spans="4:7">
      <c r="D924" s="256">
        <v>49006</v>
      </c>
      <c r="E924" s="257" t="s">
        <v>3463</v>
      </c>
      <c r="F924" s="257" t="s">
        <v>3464</v>
      </c>
      <c r="G924" s="257" t="s">
        <v>3465</v>
      </c>
    </row>
    <row r="925" customHeight="1" spans="4:7">
      <c r="D925" s="256">
        <v>49006</v>
      </c>
      <c r="E925" s="257" t="s">
        <v>3463</v>
      </c>
      <c r="F925" s="257" t="s">
        <v>3466</v>
      </c>
      <c r="G925" s="257" t="s">
        <v>3467</v>
      </c>
    </row>
    <row r="926" customHeight="1" spans="4:7">
      <c r="D926" s="256">
        <v>49006</v>
      </c>
      <c r="E926" s="257" t="s">
        <v>3463</v>
      </c>
      <c r="F926" s="257" t="s">
        <v>3468</v>
      </c>
      <c r="G926" s="257" t="s">
        <v>3469</v>
      </c>
    </row>
    <row r="927" customHeight="1" spans="4:7">
      <c r="D927" s="256">
        <v>49006</v>
      </c>
      <c r="E927" s="257" t="s">
        <v>3463</v>
      </c>
      <c r="F927" s="257" t="s">
        <v>3470</v>
      </c>
      <c r="G927" s="257" t="s">
        <v>3471</v>
      </c>
    </row>
    <row r="928" customHeight="1" spans="4:7">
      <c r="D928" s="256">
        <v>49006</v>
      </c>
      <c r="E928" s="257" t="s">
        <v>3463</v>
      </c>
      <c r="F928" s="257" t="s">
        <v>3472</v>
      </c>
      <c r="G928" s="257" t="s">
        <v>3473</v>
      </c>
    </row>
    <row r="929" customHeight="1" spans="4:7">
      <c r="D929" s="256">
        <v>49006</v>
      </c>
      <c r="E929" s="257" t="s">
        <v>3463</v>
      </c>
      <c r="F929" s="257" t="s">
        <v>3474</v>
      </c>
      <c r="G929" s="257" t="s">
        <v>3475</v>
      </c>
    </row>
    <row r="930" customHeight="1" spans="4:7">
      <c r="D930" s="256">
        <v>49006</v>
      </c>
      <c r="E930" s="257" t="s">
        <v>3463</v>
      </c>
      <c r="F930" s="257" t="s">
        <v>3476</v>
      </c>
      <c r="G930" s="257" t="s">
        <v>3477</v>
      </c>
    </row>
    <row r="931" customHeight="1" spans="4:7">
      <c r="D931" s="256">
        <v>49006</v>
      </c>
      <c r="E931" s="257" t="s">
        <v>3463</v>
      </c>
      <c r="F931" s="257" t="s">
        <v>3478</v>
      </c>
      <c r="G931" s="257" t="s">
        <v>1552</v>
      </c>
    </row>
    <row r="932" customHeight="1" spans="4:7">
      <c r="D932" s="256">
        <v>49006</v>
      </c>
      <c r="E932" s="257" t="s">
        <v>3463</v>
      </c>
      <c r="F932" s="257" t="s">
        <v>3479</v>
      </c>
      <c r="G932" s="257" t="s">
        <v>3480</v>
      </c>
    </row>
    <row r="933" customHeight="1" spans="4:7">
      <c r="D933" s="256">
        <v>49006</v>
      </c>
      <c r="E933" s="257" t="s">
        <v>3463</v>
      </c>
      <c r="F933" s="257" t="s">
        <v>3481</v>
      </c>
      <c r="G933" s="257" t="s">
        <v>3482</v>
      </c>
    </row>
    <row r="934" customHeight="1" spans="4:7">
      <c r="D934" s="256">
        <v>49006</v>
      </c>
      <c r="E934" s="257" t="s">
        <v>3463</v>
      </c>
      <c r="F934" s="257" t="s">
        <v>3483</v>
      </c>
      <c r="G934" s="257" t="s">
        <v>3484</v>
      </c>
    </row>
    <row r="935" customHeight="1" spans="4:7">
      <c r="D935" s="256">
        <v>49006</v>
      </c>
      <c r="E935" s="257" t="s">
        <v>3463</v>
      </c>
      <c r="F935" s="257" t="s">
        <v>3485</v>
      </c>
      <c r="G935" s="257" t="s">
        <v>3486</v>
      </c>
    </row>
    <row r="936" customHeight="1" spans="4:7">
      <c r="D936" s="256">
        <v>49006</v>
      </c>
      <c r="E936" s="257" t="s">
        <v>3463</v>
      </c>
      <c r="F936" s="257" t="s">
        <v>3487</v>
      </c>
      <c r="G936" s="257" t="s">
        <v>3488</v>
      </c>
    </row>
    <row r="937" customHeight="1" spans="4:7">
      <c r="D937" s="256">
        <v>49006</v>
      </c>
      <c r="E937" s="257" t="s">
        <v>3463</v>
      </c>
      <c r="F937" s="257" t="s">
        <v>3489</v>
      </c>
      <c r="G937" s="257" t="s">
        <v>3490</v>
      </c>
    </row>
    <row r="938" customHeight="1" spans="4:7">
      <c r="D938" s="256">
        <v>49006</v>
      </c>
      <c r="E938" s="257" t="s">
        <v>3463</v>
      </c>
      <c r="F938" s="257" t="s">
        <v>3491</v>
      </c>
      <c r="G938" s="257" t="s">
        <v>3492</v>
      </c>
    </row>
    <row r="939" customHeight="1" spans="4:7">
      <c r="D939" s="256">
        <v>53004</v>
      </c>
      <c r="E939" s="257" t="s">
        <v>3493</v>
      </c>
      <c r="F939" s="257" t="s">
        <v>3494</v>
      </c>
      <c r="G939" s="257" t="s">
        <v>3495</v>
      </c>
    </row>
    <row r="940" customHeight="1" spans="4:7">
      <c r="D940" s="256">
        <v>53004</v>
      </c>
      <c r="E940" s="257" t="s">
        <v>3493</v>
      </c>
      <c r="F940" s="257" t="s">
        <v>3496</v>
      </c>
      <c r="G940" s="257" t="s">
        <v>3497</v>
      </c>
    </row>
    <row r="941" customHeight="1" spans="4:7">
      <c r="D941" s="256">
        <v>53004</v>
      </c>
      <c r="E941" s="257" t="s">
        <v>3493</v>
      </c>
      <c r="F941" s="257" t="s">
        <v>3498</v>
      </c>
      <c r="G941" s="257" t="s">
        <v>3499</v>
      </c>
    </row>
    <row r="942" customHeight="1" spans="4:7">
      <c r="D942" s="256">
        <v>53004</v>
      </c>
      <c r="E942" s="257" t="s">
        <v>3493</v>
      </c>
      <c r="F942" s="257" t="s">
        <v>3500</v>
      </c>
      <c r="G942" s="257" t="s">
        <v>3501</v>
      </c>
    </row>
    <row r="943" customHeight="1" spans="4:7">
      <c r="D943" s="256">
        <v>53004</v>
      </c>
      <c r="E943" s="257" t="s">
        <v>3493</v>
      </c>
      <c r="F943" s="257" t="s">
        <v>3502</v>
      </c>
      <c r="G943" s="257" t="s">
        <v>3124</v>
      </c>
    </row>
    <row r="944" customHeight="1" spans="4:7">
      <c r="D944" s="256">
        <v>53004</v>
      </c>
      <c r="E944" s="257" t="s">
        <v>3493</v>
      </c>
      <c r="F944" s="257" t="s">
        <v>3503</v>
      </c>
      <c r="G944" s="257" t="s">
        <v>3504</v>
      </c>
    </row>
    <row r="945" customHeight="1" spans="4:7">
      <c r="D945" s="256">
        <v>53004</v>
      </c>
      <c r="E945" s="257" t="s">
        <v>3493</v>
      </c>
      <c r="F945" s="257" t="s">
        <v>3505</v>
      </c>
      <c r="G945" s="257" t="s">
        <v>3506</v>
      </c>
    </row>
    <row r="946" customHeight="1" spans="4:7">
      <c r="D946" s="256">
        <v>53004</v>
      </c>
      <c r="E946" s="257" t="s">
        <v>3493</v>
      </c>
      <c r="F946" s="257" t="s">
        <v>3507</v>
      </c>
      <c r="G946" s="257" t="s">
        <v>3508</v>
      </c>
    </row>
    <row r="947" customHeight="1" spans="4:7">
      <c r="D947" s="256">
        <v>53004</v>
      </c>
      <c r="E947" s="257" t="s">
        <v>3493</v>
      </c>
      <c r="F947" s="257" t="s">
        <v>3509</v>
      </c>
      <c r="G947" s="257" t="s">
        <v>3510</v>
      </c>
    </row>
    <row r="948" customHeight="1" spans="4:7">
      <c r="D948" s="256">
        <v>51008</v>
      </c>
      <c r="E948" s="257" t="s">
        <v>3511</v>
      </c>
      <c r="F948" s="257" t="s">
        <v>3512</v>
      </c>
      <c r="G948" s="257" t="s">
        <v>3513</v>
      </c>
    </row>
    <row r="949" customHeight="1" spans="4:7">
      <c r="D949" s="256">
        <v>51008</v>
      </c>
      <c r="E949" s="257" t="s">
        <v>3511</v>
      </c>
      <c r="F949" s="257" t="s">
        <v>3514</v>
      </c>
      <c r="G949" s="257" t="s">
        <v>3515</v>
      </c>
    </row>
    <row r="950" customHeight="1" spans="4:7">
      <c r="D950" s="256">
        <v>51008</v>
      </c>
      <c r="E950" s="257" t="s">
        <v>3511</v>
      </c>
      <c r="F950" s="257" t="s">
        <v>3516</v>
      </c>
      <c r="G950" s="257" t="s">
        <v>3517</v>
      </c>
    </row>
    <row r="951" customHeight="1" spans="4:7">
      <c r="D951" s="256">
        <v>51008</v>
      </c>
      <c r="E951" s="257" t="s">
        <v>3511</v>
      </c>
      <c r="F951" s="257" t="s">
        <v>3518</v>
      </c>
      <c r="G951" s="257" t="s">
        <v>3519</v>
      </c>
    </row>
    <row r="952" customHeight="1" spans="4:7">
      <c r="D952" s="256">
        <v>51008</v>
      </c>
      <c r="E952" s="257" t="s">
        <v>3511</v>
      </c>
      <c r="F952" s="257" t="s">
        <v>3520</v>
      </c>
      <c r="G952" s="257" t="s">
        <v>3521</v>
      </c>
    </row>
    <row r="953" customHeight="1" spans="4:7">
      <c r="D953" s="256">
        <v>51008</v>
      </c>
      <c r="E953" s="257" t="s">
        <v>3511</v>
      </c>
      <c r="F953" s="257" t="s">
        <v>3522</v>
      </c>
      <c r="G953" s="257" t="s">
        <v>3523</v>
      </c>
    </row>
    <row r="954" customHeight="1" spans="4:7">
      <c r="D954" s="256">
        <v>51008</v>
      </c>
      <c r="E954" s="257" t="s">
        <v>3511</v>
      </c>
      <c r="F954" s="257" t="s">
        <v>3524</v>
      </c>
      <c r="G954" s="257" t="s">
        <v>3525</v>
      </c>
    </row>
    <row r="955" customHeight="1" spans="4:7">
      <c r="D955" s="256">
        <v>51008</v>
      </c>
      <c r="E955" s="257" t="s">
        <v>3511</v>
      </c>
      <c r="F955" s="257" t="s">
        <v>3526</v>
      </c>
      <c r="G955" s="257" t="s">
        <v>3527</v>
      </c>
    </row>
    <row r="956" customHeight="1" spans="4:7">
      <c r="D956" s="256">
        <v>51008</v>
      </c>
      <c r="E956" s="257" t="s">
        <v>3511</v>
      </c>
      <c r="F956" s="257" t="s">
        <v>3528</v>
      </c>
      <c r="G956" s="257" t="s">
        <v>3529</v>
      </c>
    </row>
    <row r="957" customHeight="1" spans="4:7">
      <c r="D957" s="256">
        <v>51008</v>
      </c>
      <c r="E957" s="257" t="s">
        <v>3511</v>
      </c>
      <c r="F957" s="257" t="s">
        <v>3530</v>
      </c>
      <c r="G957" s="257" t="s">
        <v>3531</v>
      </c>
    </row>
    <row r="958" customHeight="1" spans="4:7">
      <c r="D958" s="256">
        <v>51008</v>
      </c>
      <c r="E958" s="257" t="s">
        <v>3511</v>
      </c>
      <c r="F958" s="257" t="s">
        <v>3532</v>
      </c>
      <c r="G958" s="257" t="s">
        <v>3533</v>
      </c>
    </row>
    <row r="959" customHeight="1" spans="4:7">
      <c r="D959" s="256">
        <v>51008</v>
      </c>
      <c r="E959" s="257" t="s">
        <v>3511</v>
      </c>
      <c r="F959" s="257" t="s">
        <v>3534</v>
      </c>
      <c r="G959" s="257" t="s">
        <v>3535</v>
      </c>
    </row>
    <row r="960" customHeight="1" spans="4:7">
      <c r="D960" s="256">
        <v>51008</v>
      </c>
      <c r="E960" s="257" t="s">
        <v>3511</v>
      </c>
      <c r="F960" s="257" t="s">
        <v>3536</v>
      </c>
      <c r="G960" s="257" t="s">
        <v>3537</v>
      </c>
    </row>
    <row r="961" customHeight="1" spans="4:7">
      <c r="D961" s="256">
        <v>51008</v>
      </c>
      <c r="E961" s="257" t="s">
        <v>3511</v>
      </c>
      <c r="F961" s="257" t="s">
        <v>3538</v>
      </c>
      <c r="G961" s="257" t="s">
        <v>2161</v>
      </c>
    </row>
    <row r="962" customHeight="1" spans="4:7">
      <c r="D962" s="256">
        <v>51008</v>
      </c>
      <c r="E962" s="257" t="s">
        <v>3511</v>
      </c>
      <c r="F962" s="257" t="s">
        <v>3539</v>
      </c>
      <c r="G962" s="257" t="s">
        <v>3540</v>
      </c>
    </row>
    <row r="963" customHeight="1" spans="4:7">
      <c r="D963" s="256">
        <v>51008</v>
      </c>
      <c r="E963" s="257" t="s">
        <v>3511</v>
      </c>
      <c r="F963" s="257" t="s">
        <v>3541</v>
      </c>
      <c r="G963" s="257" t="s">
        <v>3542</v>
      </c>
    </row>
    <row r="964" customHeight="1" spans="4:7">
      <c r="D964" s="256">
        <v>51008</v>
      </c>
      <c r="E964" s="257" t="s">
        <v>3511</v>
      </c>
      <c r="F964" s="257" t="s">
        <v>3543</v>
      </c>
      <c r="G964" s="257" t="s">
        <v>3544</v>
      </c>
    </row>
    <row r="965" customHeight="1" spans="4:7">
      <c r="D965" s="256">
        <v>51010</v>
      </c>
      <c r="E965" s="257" t="s">
        <v>3545</v>
      </c>
      <c r="F965" s="257" t="s">
        <v>3546</v>
      </c>
      <c r="G965" s="257" t="s">
        <v>3547</v>
      </c>
    </row>
    <row r="966" customHeight="1" spans="4:7">
      <c r="D966" s="256">
        <v>51010</v>
      </c>
      <c r="E966" s="257" t="s">
        <v>3545</v>
      </c>
      <c r="F966" s="257" t="s">
        <v>3548</v>
      </c>
      <c r="G966" s="257" t="s">
        <v>3549</v>
      </c>
    </row>
    <row r="967" customHeight="1" spans="4:7">
      <c r="D967" s="256">
        <v>51010</v>
      </c>
      <c r="E967" s="257" t="s">
        <v>3545</v>
      </c>
      <c r="F967" s="257" t="s">
        <v>3550</v>
      </c>
      <c r="G967" s="257" t="s">
        <v>3551</v>
      </c>
    </row>
    <row r="968" customHeight="1" spans="4:7">
      <c r="D968" s="256">
        <v>51010</v>
      </c>
      <c r="E968" s="257" t="s">
        <v>3545</v>
      </c>
      <c r="F968" s="257" t="s">
        <v>3552</v>
      </c>
      <c r="G968" s="257" t="s">
        <v>3553</v>
      </c>
    </row>
    <row r="969" customHeight="1" spans="4:7">
      <c r="D969" s="256">
        <v>51010</v>
      </c>
      <c r="E969" s="257" t="s">
        <v>3545</v>
      </c>
      <c r="F969" s="257" t="s">
        <v>3554</v>
      </c>
      <c r="G969" s="257" t="s">
        <v>3555</v>
      </c>
    </row>
    <row r="970" customHeight="1" spans="4:7">
      <c r="D970" s="256">
        <v>51010</v>
      </c>
      <c r="E970" s="257" t="s">
        <v>3545</v>
      </c>
      <c r="F970" s="257" t="s">
        <v>3556</v>
      </c>
      <c r="G970" s="257" t="s">
        <v>3557</v>
      </c>
    </row>
    <row r="971" customHeight="1" spans="4:7">
      <c r="D971" s="256">
        <v>51010</v>
      </c>
      <c r="E971" s="257" t="s">
        <v>3545</v>
      </c>
      <c r="F971" s="257" t="s">
        <v>3558</v>
      </c>
      <c r="G971" s="257" t="s">
        <v>3559</v>
      </c>
    </row>
    <row r="972" customHeight="1" spans="4:7">
      <c r="D972" s="256">
        <v>51010</v>
      </c>
      <c r="E972" s="257" t="s">
        <v>3545</v>
      </c>
      <c r="F972" s="257" t="s">
        <v>3560</v>
      </c>
      <c r="G972" s="257" t="s">
        <v>3561</v>
      </c>
    </row>
    <row r="973" customHeight="1" spans="4:7">
      <c r="D973" s="256">
        <v>51010</v>
      </c>
      <c r="E973" s="257" t="s">
        <v>3545</v>
      </c>
      <c r="F973" s="257" t="s">
        <v>3562</v>
      </c>
      <c r="G973" s="257" t="s">
        <v>3563</v>
      </c>
    </row>
    <row r="974" customHeight="1" spans="4:7">
      <c r="D974" s="256">
        <v>51010</v>
      </c>
      <c r="E974" s="257" t="s">
        <v>3545</v>
      </c>
      <c r="F974" s="257" t="s">
        <v>3564</v>
      </c>
      <c r="G974" s="257" t="s">
        <v>3565</v>
      </c>
    </row>
    <row r="975" customHeight="1" spans="4:7">
      <c r="D975" s="256">
        <v>51010</v>
      </c>
      <c r="E975" s="257" t="s">
        <v>3545</v>
      </c>
      <c r="F975" s="257" t="s">
        <v>3566</v>
      </c>
      <c r="G975" s="257" t="s">
        <v>3567</v>
      </c>
    </row>
    <row r="976" customHeight="1" spans="4:7">
      <c r="D976" s="256">
        <v>51010</v>
      </c>
      <c r="E976" s="257" t="s">
        <v>3545</v>
      </c>
      <c r="F976" s="257" t="s">
        <v>3568</v>
      </c>
      <c r="G976" s="257" t="s">
        <v>1666</v>
      </c>
    </row>
    <row r="977" customHeight="1" spans="4:7">
      <c r="D977" s="256">
        <v>51010</v>
      </c>
      <c r="E977" s="257" t="s">
        <v>3545</v>
      </c>
      <c r="F977" s="257" t="s">
        <v>3569</v>
      </c>
      <c r="G977" s="257" t="s">
        <v>3570</v>
      </c>
    </row>
    <row r="978" customHeight="1" spans="4:7">
      <c r="D978" s="256">
        <v>51010</v>
      </c>
      <c r="E978" s="257" t="s">
        <v>3545</v>
      </c>
      <c r="F978" s="257" t="s">
        <v>3571</v>
      </c>
      <c r="G978" s="257" t="s">
        <v>3572</v>
      </c>
    </row>
    <row r="979" customHeight="1" spans="4:7">
      <c r="D979" s="256">
        <v>51010</v>
      </c>
      <c r="E979" s="257" t="s">
        <v>3545</v>
      </c>
      <c r="F979" s="257" t="s">
        <v>3573</v>
      </c>
      <c r="G979" s="257" t="s">
        <v>3574</v>
      </c>
    </row>
    <row r="980" customHeight="1" spans="4:7">
      <c r="D980" s="256">
        <v>51010</v>
      </c>
      <c r="E980" s="257" t="s">
        <v>3545</v>
      </c>
      <c r="F980" s="257" t="s">
        <v>3575</v>
      </c>
      <c r="G980" s="257" t="s">
        <v>3576</v>
      </c>
    </row>
    <row r="981" customHeight="1" spans="4:7">
      <c r="D981" s="256">
        <v>51010</v>
      </c>
      <c r="E981" s="257" t="s">
        <v>3545</v>
      </c>
      <c r="F981" s="257" t="s">
        <v>3577</v>
      </c>
      <c r="G981" s="257" t="s">
        <v>3578</v>
      </c>
    </row>
    <row r="982" customHeight="1" spans="4:7">
      <c r="D982" s="256">
        <v>51010</v>
      </c>
      <c r="E982" s="257" t="s">
        <v>3545</v>
      </c>
      <c r="F982" s="257" t="s">
        <v>3579</v>
      </c>
      <c r="G982" s="257" t="s">
        <v>3580</v>
      </c>
    </row>
    <row r="983" customHeight="1" spans="4:7">
      <c r="D983" s="256">
        <v>51010</v>
      </c>
      <c r="E983" s="257" t="s">
        <v>3545</v>
      </c>
      <c r="F983" s="257" t="s">
        <v>3581</v>
      </c>
      <c r="G983" s="257" t="s">
        <v>3582</v>
      </c>
    </row>
    <row r="984" customHeight="1" spans="4:7">
      <c r="D984" s="256">
        <v>51010</v>
      </c>
      <c r="E984" s="257" t="s">
        <v>3545</v>
      </c>
      <c r="F984" s="257" t="s">
        <v>3583</v>
      </c>
      <c r="G984" s="257" t="s">
        <v>2051</v>
      </c>
    </row>
    <row r="985" customHeight="1" spans="4:7">
      <c r="D985" s="256">
        <v>51010</v>
      </c>
      <c r="E985" s="257" t="s">
        <v>3545</v>
      </c>
      <c r="F985" s="257" t="s">
        <v>3584</v>
      </c>
      <c r="G985" s="257" t="s">
        <v>2675</v>
      </c>
    </row>
    <row r="986" customHeight="1" spans="4:7">
      <c r="D986" s="256">
        <v>51010</v>
      </c>
      <c r="E986" s="257" t="s">
        <v>3545</v>
      </c>
      <c r="F986" s="257" t="s">
        <v>3585</v>
      </c>
      <c r="G986" s="257" t="s">
        <v>3586</v>
      </c>
    </row>
    <row r="987" customHeight="1" spans="4:7">
      <c r="D987" s="256">
        <v>51010</v>
      </c>
      <c r="E987" s="257" t="s">
        <v>3545</v>
      </c>
      <c r="F987" s="257" t="s">
        <v>3587</v>
      </c>
      <c r="G987" s="257" t="s">
        <v>3588</v>
      </c>
    </row>
    <row r="988" customHeight="1" spans="4:7">
      <c r="D988" s="256">
        <v>51010</v>
      </c>
      <c r="E988" s="257" t="s">
        <v>3545</v>
      </c>
      <c r="F988" s="257" t="s">
        <v>3589</v>
      </c>
      <c r="G988" s="257" t="s">
        <v>3590</v>
      </c>
    </row>
    <row r="989" customHeight="1" spans="4:7">
      <c r="D989" s="256">
        <v>51010</v>
      </c>
      <c r="E989" s="257" t="s">
        <v>3545</v>
      </c>
      <c r="F989" s="257" t="s">
        <v>3591</v>
      </c>
      <c r="G989" s="257" t="s">
        <v>3592</v>
      </c>
    </row>
    <row r="990" customHeight="1" spans="4:7">
      <c r="D990" s="256">
        <v>48010</v>
      </c>
      <c r="E990" s="257" t="s">
        <v>3593</v>
      </c>
      <c r="F990" s="257" t="s">
        <v>3594</v>
      </c>
      <c r="G990" s="257" t="s">
        <v>3595</v>
      </c>
    </row>
    <row r="991" customHeight="1" spans="4:7">
      <c r="D991" s="256">
        <v>48010</v>
      </c>
      <c r="E991" s="257" t="s">
        <v>3593</v>
      </c>
      <c r="F991" s="257" t="s">
        <v>3596</v>
      </c>
      <c r="G991" s="257" t="s">
        <v>3597</v>
      </c>
    </row>
    <row r="992" customHeight="1" spans="4:7">
      <c r="D992" s="256">
        <v>48010</v>
      </c>
      <c r="E992" s="257" t="s">
        <v>3593</v>
      </c>
      <c r="F992" s="257" t="s">
        <v>3598</v>
      </c>
      <c r="G992" s="257" t="s">
        <v>3599</v>
      </c>
    </row>
    <row r="993" customHeight="1" spans="4:7">
      <c r="D993" s="256">
        <v>48010</v>
      </c>
      <c r="E993" s="257" t="s">
        <v>3593</v>
      </c>
      <c r="F993" s="257" t="s">
        <v>3600</v>
      </c>
      <c r="G993" s="257" t="s">
        <v>3601</v>
      </c>
    </row>
    <row r="994" customHeight="1" spans="4:7">
      <c r="D994" s="256">
        <v>48010</v>
      </c>
      <c r="E994" s="257" t="s">
        <v>3593</v>
      </c>
      <c r="F994" s="257" t="s">
        <v>3602</v>
      </c>
      <c r="G994" s="257" t="s">
        <v>3603</v>
      </c>
    </row>
    <row r="995" customHeight="1" spans="4:7">
      <c r="D995" s="256">
        <v>48010</v>
      </c>
      <c r="E995" s="257" t="s">
        <v>3593</v>
      </c>
      <c r="F995" s="257" t="s">
        <v>3604</v>
      </c>
      <c r="G995" s="257" t="s">
        <v>3605</v>
      </c>
    </row>
    <row r="996" customHeight="1" spans="4:7">
      <c r="D996" s="256">
        <v>48010</v>
      </c>
      <c r="E996" s="257" t="s">
        <v>3593</v>
      </c>
      <c r="F996" s="257" t="s">
        <v>3606</v>
      </c>
      <c r="G996" s="257" t="s">
        <v>3607</v>
      </c>
    </row>
    <row r="997" customHeight="1" spans="4:7">
      <c r="D997" s="256">
        <v>48010</v>
      </c>
      <c r="E997" s="257" t="s">
        <v>3593</v>
      </c>
      <c r="F997" s="257" t="s">
        <v>3608</v>
      </c>
      <c r="G997" s="257" t="s">
        <v>3609</v>
      </c>
    </row>
    <row r="998" customHeight="1" spans="4:7">
      <c r="D998" s="256">
        <v>48010</v>
      </c>
      <c r="E998" s="257" t="s">
        <v>3593</v>
      </c>
      <c r="F998" s="257" t="s">
        <v>3610</v>
      </c>
      <c r="G998" s="257" t="s">
        <v>3611</v>
      </c>
    </row>
    <row r="999" customHeight="1" spans="4:7">
      <c r="D999" s="256">
        <v>48010</v>
      </c>
      <c r="E999" s="257" t="s">
        <v>3593</v>
      </c>
      <c r="F999" s="257" t="s">
        <v>3612</v>
      </c>
      <c r="G999" s="257" t="s">
        <v>3613</v>
      </c>
    </row>
    <row r="1000" customHeight="1" spans="4:7">
      <c r="D1000" s="256">
        <v>48010</v>
      </c>
      <c r="E1000" s="257" t="s">
        <v>3593</v>
      </c>
      <c r="F1000" s="257" t="s">
        <v>3614</v>
      </c>
      <c r="G1000" s="257" t="s">
        <v>3615</v>
      </c>
    </row>
    <row r="1001" customHeight="1" spans="4:7">
      <c r="D1001" s="256">
        <v>48010</v>
      </c>
      <c r="E1001" s="257" t="s">
        <v>3593</v>
      </c>
      <c r="F1001" s="257" t="s">
        <v>3616</v>
      </c>
      <c r="G1001" s="257" t="s">
        <v>3617</v>
      </c>
    </row>
    <row r="1002" customHeight="1" spans="4:7">
      <c r="D1002" s="256">
        <v>48010</v>
      </c>
      <c r="E1002" s="257" t="s">
        <v>3593</v>
      </c>
      <c r="F1002" s="257" t="s">
        <v>3618</v>
      </c>
      <c r="G1002" s="257" t="s">
        <v>3619</v>
      </c>
    </row>
    <row r="1003" customHeight="1" spans="4:7">
      <c r="D1003" s="256">
        <v>48010</v>
      </c>
      <c r="E1003" s="257" t="s">
        <v>3593</v>
      </c>
      <c r="F1003" s="257" t="s">
        <v>3620</v>
      </c>
      <c r="G1003" s="257" t="s">
        <v>3621</v>
      </c>
    </row>
    <row r="1004" customHeight="1" spans="4:7">
      <c r="D1004" s="256">
        <v>48010</v>
      </c>
      <c r="E1004" s="257" t="s">
        <v>3593</v>
      </c>
      <c r="F1004" s="257" t="s">
        <v>3622</v>
      </c>
      <c r="G1004" s="257" t="s">
        <v>3623</v>
      </c>
    </row>
    <row r="1005" customHeight="1" spans="4:7">
      <c r="D1005" s="256">
        <v>48010</v>
      </c>
      <c r="E1005" s="257" t="s">
        <v>3593</v>
      </c>
      <c r="F1005" s="257" t="s">
        <v>3624</v>
      </c>
      <c r="G1005" s="257" t="s">
        <v>3625</v>
      </c>
    </row>
    <row r="1006" customHeight="1" spans="4:7">
      <c r="D1006" s="256">
        <v>48010</v>
      </c>
      <c r="E1006" s="257" t="s">
        <v>3593</v>
      </c>
      <c r="F1006" s="257" t="s">
        <v>3626</v>
      </c>
      <c r="G1006" s="257" t="s">
        <v>3627</v>
      </c>
    </row>
    <row r="1007" customHeight="1" spans="4:7">
      <c r="D1007" s="256">
        <v>48010</v>
      </c>
      <c r="E1007" s="257" t="s">
        <v>3593</v>
      </c>
      <c r="F1007" s="257" t="s">
        <v>3628</v>
      </c>
      <c r="G1007" s="257" t="s">
        <v>3629</v>
      </c>
    </row>
    <row r="1008" customHeight="1" spans="4:7">
      <c r="D1008" s="256">
        <v>48010</v>
      </c>
      <c r="E1008" s="257" t="s">
        <v>3593</v>
      </c>
      <c r="F1008" s="257" t="s">
        <v>3630</v>
      </c>
      <c r="G1008" s="257" t="s">
        <v>3631</v>
      </c>
    </row>
    <row r="1009" customHeight="1" spans="4:7">
      <c r="D1009" s="256">
        <v>48010</v>
      </c>
      <c r="E1009" s="257" t="s">
        <v>3593</v>
      </c>
      <c r="F1009" s="257" t="s">
        <v>3632</v>
      </c>
      <c r="G1009" s="257" t="s">
        <v>3633</v>
      </c>
    </row>
    <row r="1010" customHeight="1" spans="4:7">
      <c r="D1010" s="256">
        <v>48010</v>
      </c>
      <c r="E1010" s="257" t="s">
        <v>3593</v>
      </c>
      <c r="F1010" s="257" t="s">
        <v>3634</v>
      </c>
      <c r="G1010" s="257" t="s">
        <v>3635</v>
      </c>
    </row>
    <row r="1011" customHeight="1" spans="4:7">
      <c r="D1011" s="256">
        <v>48010</v>
      </c>
      <c r="E1011" s="257" t="s">
        <v>3593</v>
      </c>
      <c r="F1011" s="257" t="s">
        <v>3636</v>
      </c>
      <c r="G1011" s="257" t="s">
        <v>3637</v>
      </c>
    </row>
    <row r="1012" customHeight="1" spans="4:7">
      <c r="D1012" s="256">
        <v>48010</v>
      </c>
      <c r="E1012" s="257" t="s">
        <v>3593</v>
      </c>
      <c r="F1012" s="257" t="s">
        <v>3638</v>
      </c>
      <c r="G1012" s="257" t="s">
        <v>3639</v>
      </c>
    </row>
    <row r="1013" customHeight="1" spans="4:7">
      <c r="D1013" s="256">
        <v>48010</v>
      </c>
      <c r="E1013" s="257" t="s">
        <v>3593</v>
      </c>
      <c r="F1013" s="257" t="s">
        <v>3640</v>
      </c>
      <c r="G1013" s="257" t="s">
        <v>3641</v>
      </c>
    </row>
    <row r="1014" customHeight="1" spans="4:7">
      <c r="D1014" s="256">
        <v>51009</v>
      </c>
      <c r="E1014" s="257" t="s">
        <v>3642</v>
      </c>
      <c r="F1014" s="257" t="s">
        <v>3643</v>
      </c>
      <c r="G1014" s="257" t="s">
        <v>3644</v>
      </c>
    </row>
    <row r="1015" customHeight="1" spans="4:7">
      <c r="D1015" s="256">
        <v>51009</v>
      </c>
      <c r="E1015" s="257" t="s">
        <v>3642</v>
      </c>
      <c r="F1015" s="257" t="s">
        <v>3645</v>
      </c>
      <c r="G1015" s="257" t="s">
        <v>3646</v>
      </c>
    </row>
    <row r="1016" customHeight="1" spans="4:7">
      <c r="D1016" s="256">
        <v>51009</v>
      </c>
      <c r="E1016" s="257" t="s">
        <v>3642</v>
      </c>
      <c r="F1016" s="257" t="s">
        <v>3647</v>
      </c>
      <c r="G1016" s="257" t="s">
        <v>3648</v>
      </c>
    </row>
    <row r="1017" customHeight="1" spans="4:7">
      <c r="D1017" s="256">
        <v>51009</v>
      </c>
      <c r="E1017" s="257" t="s">
        <v>3642</v>
      </c>
      <c r="F1017" s="257" t="s">
        <v>3649</v>
      </c>
      <c r="G1017" s="257" t="s">
        <v>3650</v>
      </c>
    </row>
    <row r="1018" customHeight="1" spans="4:7">
      <c r="D1018" s="256">
        <v>51009</v>
      </c>
      <c r="E1018" s="257" t="s">
        <v>3642</v>
      </c>
      <c r="F1018" s="257" t="s">
        <v>3651</v>
      </c>
      <c r="G1018" s="257" t="s">
        <v>3652</v>
      </c>
    </row>
    <row r="1019" customHeight="1" spans="4:7">
      <c r="D1019" s="256">
        <v>51009</v>
      </c>
      <c r="E1019" s="257" t="s">
        <v>3642</v>
      </c>
      <c r="F1019" s="257" t="s">
        <v>3653</v>
      </c>
      <c r="G1019" s="257" t="s">
        <v>3654</v>
      </c>
    </row>
    <row r="1020" customHeight="1" spans="4:7">
      <c r="D1020" s="256">
        <v>51009</v>
      </c>
      <c r="E1020" s="257" t="s">
        <v>3642</v>
      </c>
      <c r="F1020" s="257" t="s">
        <v>3655</v>
      </c>
      <c r="G1020" s="257" t="s">
        <v>3656</v>
      </c>
    </row>
    <row r="1021" customHeight="1" spans="4:7">
      <c r="D1021" s="256">
        <v>51009</v>
      </c>
      <c r="E1021" s="257" t="s">
        <v>3642</v>
      </c>
      <c r="F1021" s="257" t="s">
        <v>3657</v>
      </c>
      <c r="G1021" s="257" t="s">
        <v>3658</v>
      </c>
    </row>
    <row r="1022" customHeight="1" spans="4:7">
      <c r="D1022" s="256">
        <v>51009</v>
      </c>
      <c r="E1022" s="257" t="s">
        <v>3642</v>
      </c>
      <c r="F1022" s="257" t="s">
        <v>3659</v>
      </c>
      <c r="G1022" s="257" t="s">
        <v>3660</v>
      </c>
    </row>
    <row r="1023" customHeight="1" spans="4:7">
      <c r="D1023" s="256">
        <v>51009</v>
      </c>
      <c r="E1023" s="257" t="s">
        <v>3642</v>
      </c>
      <c r="F1023" s="257" t="s">
        <v>3661</v>
      </c>
      <c r="G1023" s="257" t="s">
        <v>3662</v>
      </c>
    </row>
    <row r="1024" customHeight="1" spans="4:7">
      <c r="D1024" s="256">
        <v>50009</v>
      </c>
      <c r="E1024" s="257" t="s">
        <v>3663</v>
      </c>
      <c r="F1024" s="257" t="s">
        <v>3664</v>
      </c>
      <c r="G1024" s="257" t="s">
        <v>3665</v>
      </c>
    </row>
    <row r="1025" customHeight="1" spans="4:7">
      <c r="D1025" s="256">
        <v>50009</v>
      </c>
      <c r="E1025" s="257" t="s">
        <v>3663</v>
      </c>
      <c r="F1025" s="257" t="s">
        <v>3666</v>
      </c>
      <c r="G1025" s="257" t="s">
        <v>3667</v>
      </c>
    </row>
    <row r="1026" customHeight="1" spans="4:7">
      <c r="D1026" s="256">
        <v>50009</v>
      </c>
      <c r="E1026" s="257" t="s">
        <v>3663</v>
      </c>
      <c r="F1026" s="257" t="s">
        <v>3668</v>
      </c>
      <c r="G1026" s="257" t="s">
        <v>3669</v>
      </c>
    </row>
    <row r="1027" customHeight="1" spans="4:7">
      <c r="D1027" s="256">
        <v>50009</v>
      </c>
      <c r="E1027" s="257" t="s">
        <v>3663</v>
      </c>
      <c r="F1027" s="257" t="s">
        <v>3670</v>
      </c>
      <c r="G1027" s="257" t="s">
        <v>1388</v>
      </c>
    </row>
    <row r="1028" customHeight="1" spans="4:7">
      <c r="D1028" s="256">
        <v>50009</v>
      </c>
      <c r="E1028" s="257" t="s">
        <v>3663</v>
      </c>
      <c r="F1028" s="257" t="s">
        <v>3671</v>
      </c>
      <c r="G1028" s="257" t="s">
        <v>3672</v>
      </c>
    </row>
    <row r="1029" customHeight="1" spans="4:7">
      <c r="D1029" s="256">
        <v>50009</v>
      </c>
      <c r="E1029" s="257" t="s">
        <v>3663</v>
      </c>
      <c r="F1029" s="257" t="s">
        <v>3673</v>
      </c>
      <c r="G1029" s="257" t="s">
        <v>3674</v>
      </c>
    </row>
    <row r="1030" customHeight="1" spans="4:7">
      <c r="D1030" s="256">
        <v>50009</v>
      </c>
      <c r="E1030" s="257" t="s">
        <v>3663</v>
      </c>
      <c r="F1030" s="257" t="s">
        <v>3675</v>
      </c>
      <c r="G1030" s="257" t="s">
        <v>3676</v>
      </c>
    </row>
    <row r="1031" customHeight="1" spans="4:7">
      <c r="D1031" s="256">
        <v>50009</v>
      </c>
      <c r="E1031" s="257" t="s">
        <v>3663</v>
      </c>
      <c r="F1031" s="257" t="s">
        <v>3677</v>
      </c>
      <c r="G1031" s="257" t="s">
        <v>3678</v>
      </c>
    </row>
    <row r="1032" customHeight="1" spans="4:7">
      <c r="D1032" s="256">
        <v>50009</v>
      </c>
      <c r="E1032" s="257" t="s">
        <v>3663</v>
      </c>
      <c r="F1032" s="257" t="s">
        <v>3679</v>
      </c>
      <c r="G1032" s="257" t="s">
        <v>3680</v>
      </c>
    </row>
    <row r="1033" customHeight="1" spans="4:7">
      <c r="D1033" s="256">
        <v>50009</v>
      </c>
      <c r="E1033" s="257" t="s">
        <v>3663</v>
      </c>
      <c r="F1033" s="257" t="s">
        <v>3681</v>
      </c>
      <c r="G1033" s="257" t="s">
        <v>3682</v>
      </c>
    </row>
    <row r="1034" customHeight="1" spans="4:7">
      <c r="D1034" s="256">
        <v>50009</v>
      </c>
      <c r="E1034" s="257" t="s">
        <v>3663</v>
      </c>
      <c r="F1034" s="257" t="s">
        <v>3683</v>
      </c>
      <c r="G1034" s="257" t="s">
        <v>3684</v>
      </c>
    </row>
    <row r="1035" customHeight="1" spans="4:7">
      <c r="D1035" s="256">
        <v>50009</v>
      </c>
      <c r="E1035" s="257" t="s">
        <v>3663</v>
      </c>
      <c r="F1035" s="257" t="s">
        <v>3685</v>
      </c>
      <c r="G1035" s="257" t="s">
        <v>3686</v>
      </c>
    </row>
    <row r="1036" customHeight="1" spans="4:7">
      <c r="D1036" s="256">
        <v>50009</v>
      </c>
      <c r="E1036" s="257" t="s">
        <v>3663</v>
      </c>
      <c r="F1036" s="257" t="s">
        <v>3687</v>
      </c>
      <c r="G1036" s="257" t="s">
        <v>3688</v>
      </c>
    </row>
    <row r="1037" customHeight="1" spans="4:7">
      <c r="D1037" s="256">
        <v>50009</v>
      </c>
      <c r="E1037" s="257" t="s">
        <v>3663</v>
      </c>
      <c r="F1037" s="257" t="s">
        <v>3689</v>
      </c>
      <c r="G1037" s="257" t="s">
        <v>3690</v>
      </c>
    </row>
    <row r="1038" customHeight="1" spans="4:7">
      <c r="D1038" s="256">
        <v>50009</v>
      </c>
      <c r="E1038" s="257" t="s">
        <v>3663</v>
      </c>
      <c r="F1038" s="257" t="s">
        <v>3691</v>
      </c>
      <c r="G1038" s="257" t="s">
        <v>3692</v>
      </c>
    </row>
    <row r="1039" customHeight="1" spans="4:7">
      <c r="D1039" s="256">
        <v>50009</v>
      </c>
      <c r="E1039" s="257" t="s">
        <v>3663</v>
      </c>
      <c r="F1039" s="257" t="s">
        <v>3693</v>
      </c>
      <c r="G1039" s="257" t="s">
        <v>3694</v>
      </c>
    </row>
    <row r="1040" customHeight="1" spans="4:7">
      <c r="D1040" s="256">
        <v>50009</v>
      </c>
      <c r="E1040" s="257" t="s">
        <v>3663</v>
      </c>
      <c r="F1040" s="257" t="s">
        <v>3695</v>
      </c>
      <c r="G1040" s="257" t="s">
        <v>3696</v>
      </c>
    </row>
    <row r="1041" customHeight="1" spans="4:7">
      <c r="D1041" s="256">
        <v>50009</v>
      </c>
      <c r="E1041" s="257" t="s">
        <v>3663</v>
      </c>
      <c r="F1041" s="257" t="s">
        <v>3697</v>
      </c>
      <c r="G1041" s="257" t="s">
        <v>3698</v>
      </c>
    </row>
    <row r="1042" customHeight="1" spans="4:7">
      <c r="D1042" s="256">
        <v>50009</v>
      </c>
      <c r="E1042" s="257" t="s">
        <v>3663</v>
      </c>
      <c r="F1042" s="257" t="s">
        <v>3699</v>
      </c>
      <c r="G1042" s="257" t="s">
        <v>3700</v>
      </c>
    </row>
    <row r="1043" customHeight="1" spans="4:7">
      <c r="D1043" s="256">
        <v>50009</v>
      </c>
      <c r="E1043" s="257" t="s">
        <v>3663</v>
      </c>
      <c r="F1043" s="257" t="s">
        <v>3701</v>
      </c>
      <c r="G1043" s="257" t="s">
        <v>3702</v>
      </c>
    </row>
    <row r="1044" customHeight="1" spans="4:7">
      <c r="D1044" s="256">
        <v>50009</v>
      </c>
      <c r="E1044" s="257" t="s">
        <v>3663</v>
      </c>
      <c r="F1044" s="257" t="s">
        <v>3703</v>
      </c>
      <c r="G1044" s="257" t="s">
        <v>3704</v>
      </c>
    </row>
    <row r="1045" customHeight="1" spans="4:7">
      <c r="D1045" s="256">
        <v>50009</v>
      </c>
      <c r="E1045" s="257" t="s">
        <v>3663</v>
      </c>
      <c r="F1045" s="257" t="s">
        <v>3705</v>
      </c>
      <c r="G1045" s="257" t="s">
        <v>3706</v>
      </c>
    </row>
    <row r="1046" customHeight="1" spans="4:7">
      <c r="D1046" s="256">
        <v>53005</v>
      </c>
      <c r="E1046" s="257" t="s">
        <v>3707</v>
      </c>
      <c r="F1046" s="257" t="s">
        <v>3708</v>
      </c>
      <c r="G1046" s="257" t="s">
        <v>3709</v>
      </c>
    </row>
    <row r="1047" customHeight="1" spans="4:7">
      <c r="D1047" s="256">
        <v>53005</v>
      </c>
      <c r="E1047" s="257" t="s">
        <v>3707</v>
      </c>
      <c r="F1047" s="257" t="s">
        <v>3710</v>
      </c>
      <c r="G1047" s="257" t="s">
        <v>3711</v>
      </c>
    </row>
    <row r="1048" customHeight="1" spans="4:7">
      <c r="D1048" s="256">
        <v>53005</v>
      </c>
      <c r="E1048" s="257" t="s">
        <v>3707</v>
      </c>
      <c r="F1048" s="257" t="s">
        <v>3712</v>
      </c>
      <c r="G1048" s="257" t="s">
        <v>3713</v>
      </c>
    </row>
    <row r="1049" customHeight="1" spans="4:7">
      <c r="D1049" s="256">
        <v>53005</v>
      </c>
      <c r="E1049" s="257" t="s">
        <v>3707</v>
      </c>
      <c r="F1049" s="257" t="s">
        <v>3714</v>
      </c>
      <c r="G1049" s="257" t="s">
        <v>3715</v>
      </c>
    </row>
    <row r="1050" customHeight="1" spans="4:7">
      <c r="D1050" s="256">
        <v>53005</v>
      </c>
      <c r="E1050" s="257" t="s">
        <v>3707</v>
      </c>
      <c r="F1050" s="257" t="s">
        <v>3716</v>
      </c>
      <c r="G1050" s="257" t="s">
        <v>3717</v>
      </c>
    </row>
    <row r="1051" customHeight="1" spans="4:7">
      <c r="D1051" s="256">
        <v>52005</v>
      </c>
      <c r="E1051" s="257" t="s">
        <v>3718</v>
      </c>
      <c r="F1051" s="257" t="s">
        <v>3719</v>
      </c>
      <c r="G1051" s="257" t="s">
        <v>2201</v>
      </c>
    </row>
    <row r="1052" customHeight="1" spans="4:7">
      <c r="D1052" s="256">
        <v>52005</v>
      </c>
      <c r="E1052" s="257" t="s">
        <v>3718</v>
      </c>
      <c r="F1052" s="257" t="s">
        <v>3720</v>
      </c>
      <c r="G1052" s="257" t="s">
        <v>3721</v>
      </c>
    </row>
    <row r="1053" customHeight="1" spans="4:7">
      <c r="D1053" s="256">
        <v>52005</v>
      </c>
      <c r="E1053" s="257" t="s">
        <v>3718</v>
      </c>
      <c r="F1053" s="257" t="s">
        <v>3722</v>
      </c>
      <c r="G1053" s="257" t="s">
        <v>3723</v>
      </c>
    </row>
    <row r="1054" customHeight="1" spans="4:7">
      <c r="D1054" s="256">
        <v>52005</v>
      </c>
      <c r="E1054" s="257" t="s">
        <v>3718</v>
      </c>
      <c r="F1054" s="257" t="s">
        <v>3724</v>
      </c>
      <c r="G1054" s="257" t="s">
        <v>3725</v>
      </c>
    </row>
    <row r="1055" customHeight="1" spans="4:7">
      <c r="D1055" s="256">
        <v>52005</v>
      </c>
      <c r="E1055" s="257" t="s">
        <v>3718</v>
      </c>
      <c r="F1055" s="257" t="s">
        <v>3726</v>
      </c>
      <c r="G1055" s="257" t="s">
        <v>3727</v>
      </c>
    </row>
    <row r="1056" customHeight="1" spans="4:7">
      <c r="D1056" s="256">
        <v>52005</v>
      </c>
      <c r="E1056" s="257" t="s">
        <v>3718</v>
      </c>
      <c r="F1056" s="257" t="s">
        <v>3728</v>
      </c>
      <c r="G1056" s="257" t="s">
        <v>3729</v>
      </c>
    </row>
    <row r="1057" customHeight="1" spans="4:7">
      <c r="D1057" s="256">
        <v>52005</v>
      </c>
      <c r="E1057" s="257" t="s">
        <v>3718</v>
      </c>
      <c r="F1057" s="257" t="s">
        <v>3730</v>
      </c>
      <c r="G1057" s="257" t="s">
        <v>3731</v>
      </c>
    </row>
    <row r="1058" customHeight="1" spans="4:7">
      <c r="D1058" s="256">
        <v>52005</v>
      </c>
      <c r="E1058" s="257" t="s">
        <v>3718</v>
      </c>
      <c r="F1058" s="257" t="s">
        <v>3732</v>
      </c>
      <c r="G1058" s="257" t="s">
        <v>3733</v>
      </c>
    </row>
    <row r="1059" customHeight="1" spans="4:7">
      <c r="D1059" s="256">
        <v>52005</v>
      </c>
      <c r="E1059" s="257" t="s">
        <v>3718</v>
      </c>
      <c r="F1059" s="257" t="s">
        <v>3734</v>
      </c>
      <c r="G1059" s="257" t="s">
        <v>3735</v>
      </c>
    </row>
    <row r="1060" customHeight="1" spans="4:7">
      <c r="D1060" s="256">
        <v>52005</v>
      </c>
      <c r="E1060" s="257" t="s">
        <v>3718</v>
      </c>
      <c r="F1060" s="257" t="s">
        <v>3736</v>
      </c>
      <c r="G1060" s="257" t="s">
        <v>3737</v>
      </c>
    </row>
    <row r="1061" customHeight="1" spans="4:7">
      <c r="D1061" s="256">
        <v>52005</v>
      </c>
      <c r="E1061" s="257" t="s">
        <v>3718</v>
      </c>
      <c r="F1061" s="257" t="s">
        <v>3738</v>
      </c>
      <c r="G1061" s="257" t="s">
        <v>3739</v>
      </c>
    </row>
    <row r="1062" customHeight="1" spans="4:7">
      <c r="D1062" s="256">
        <v>52005</v>
      </c>
      <c r="E1062" s="257" t="s">
        <v>3718</v>
      </c>
      <c r="F1062" s="257" t="s">
        <v>3740</v>
      </c>
      <c r="G1062" s="257" t="s">
        <v>3741</v>
      </c>
    </row>
    <row r="1063" customHeight="1" spans="4:7">
      <c r="D1063" s="256">
        <v>52005</v>
      </c>
      <c r="E1063" s="257" t="s">
        <v>3718</v>
      </c>
      <c r="F1063" s="257" t="s">
        <v>3742</v>
      </c>
      <c r="G1063" s="257" t="s">
        <v>3743</v>
      </c>
    </row>
    <row r="1064" customHeight="1" spans="4:7">
      <c r="D1064" s="256">
        <v>52005</v>
      </c>
      <c r="E1064" s="257" t="s">
        <v>3718</v>
      </c>
      <c r="F1064" s="257" t="s">
        <v>3744</v>
      </c>
      <c r="G1064" s="257" t="s">
        <v>3745</v>
      </c>
    </row>
    <row r="1065" customHeight="1" spans="4:7">
      <c r="D1065" s="256">
        <v>52005</v>
      </c>
      <c r="E1065" s="257" t="s">
        <v>3718</v>
      </c>
      <c r="F1065" s="257" t="s">
        <v>3746</v>
      </c>
      <c r="G1065" s="257" t="s">
        <v>3747</v>
      </c>
    </row>
    <row r="1066" customHeight="1" spans="4:7">
      <c r="D1066" s="256">
        <v>52005</v>
      </c>
      <c r="E1066" s="257" t="s">
        <v>3718</v>
      </c>
      <c r="F1066" s="257" t="s">
        <v>3748</v>
      </c>
      <c r="G1066" s="257" t="s">
        <v>3749</v>
      </c>
    </row>
    <row r="1067" customHeight="1" spans="4:7">
      <c r="D1067" s="256">
        <v>52005</v>
      </c>
      <c r="E1067" s="257" t="s">
        <v>3718</v>
      </c>
      <c r="F1067" s="257" t="s">
        <v>3750</v>
      </c>
      <c r="G1067" s="257" t="s">
        <v>3751</v>
      </c>
    </row>
    <row r="1068" customHeight="1" spans="4:7">
      <c r="D1068" s="256">
        <v>50010</v>
      </c>
      <c r="E1068" s="257" t="s">
        <v>3752</v>
      </c>
      <c r="F1068" s="257" t="s">
        <v>3753</v>
      </c>
      <c r="G1068" s="257" t="s">
        <v>3754</v>
      </c>
    </row>
    <row r="1069" customHeight="1" spans="4:7">
      <c r="D1069" s="256">
        <v>50010</v>
      </c>
      <c r="E1069" s="257" t="s">
        <v>3752</v>
      </c>
      <c r="F1069" s="257" t="s">
        <v>3755</v>
      </c>
      <c r="G1069" s="257" t="s">
        <v>3756</v>
      </c>
    </row>
    <row r="1070" customHeight="1" spans="4:7">
      <c r="D1070" s="256">
        <v>50010</v>
      </c>
      <c r="E1070" s="257" t="s">
        <v>3752</v>
      </c>
      <c r="F1070" s="257" t="s">
        <v>3757</v>
      </c>
      <c r="G1070" s="257" t="s">
        <v>3758</v>
      </c>
    </row>
    <row r="1071" customHeight="1" spans="4:7">
      <c r="D1071" s="256">
        <v>50010</v>
      </c>
      <c r="E1071" s="257" t="s">
        <v>3752</v>
      </c>
      <c r="F1071" s="257" t="s">
        <v>3759</v>
      </c>
      <c r="G1071" s="257" t="s">
        <v>3760</v>
      </c>
    </row>
    <row r="1072" customHeight="1" spans="4:7">
      <c r="D1072" s="256">
        <v>50010</v>
      </c>
      <c r="E1072" s="257" t="s">
        <v>3752</v>
      </c>
      <c r="F1072" s="257" t="s">
        <v>3761</v>
      </c>
      <c r="G1072" s="257" t="s">
        <v>3762</v>
      </c>
    </row>
    <row r="1073" customHeight="1" spans="4:7">
      <c r="D1073" s="256">
        <v>50010</v>
      </c>
      <c r="E1073" s="257" t="s">
        <v>3752</v>
      </c>
      <c r="F1073" s="257" t="s">
        <v>3763</v>
      </c>
      <c r="G1073" s="257" t="s">
        <v>1552</v>
      </c>
    </row>
    <row r="1074" customHeight="1" spans="4:7">
      <c r="D1074" s="256">
        <v>50010</v>
      </c>
      <c r="E1074" s="257" t="s">
        <v>3752</v>
      </c>
      <c r="F1074" s="257" t="s">
        <v>3764</v>
      </c>
      <c r="G1074" s="257" t="s">
        <v>3765</v>
      </c>
    </row>
    <row r="1075" customHeight="1" spans="4:7">
      <c r="D1075" s="256">
        <v>50010</v>
      </c>
      <c r="E1075" s="257" t="s">
        <v>3752</v>
      </c>
      <c r="F1075" s="257" t="s">
        <v>3766</v>
      </c>
      <c r="G1075" s="257" t="s">
        <v>3767</v>
      </c>
    </row>
    <row r="1076" customHeight="1" spans="4:7">
      <c r="D1076" s="256">
        <v>50010</v>
      </c>
      <c r="E1076" s="257" t="s">
        <v>3752</v>
      </c>
      <c r="F1076" s="257" t="s">
        <v>3768</v>
      </c>
      <c r="G1076" s="257" t="s">
        <v>3769</v>
      </c>
    </row>
    <row r="1077" customHeight="1" spans="4:7">
      <c r="D1077" s="256">
        <v>50010</v>
      </c>
      <c r="E1077" s="257" t="s">
        <v>3752</v>
      </c>
      <c r="F1077" s="257" t="s">
        <v>3770</v>
      </c>
      <c r="G1077" s="257" t="s">
        <v>3771</v>
      </c>
    </row>
    <row r="1078" customHeight="1" spans="4:7">
      <c r="D1078" s="256">
        <v>50010</v>
      </c>
      <c r="E1078" s="257" t="s">
        <v>3752</v>
      </c>
      <c r="F1078" s="257" t="s">
        <v>3772</v>
      </c>
      <c r="G1078" s="257" t="s">
        <v>3773</v>
      </c>
    </row>
    <row r="1079" customHeight="1" spans="4:7">
      <c r="D1079" s="256">
        <v>50010</v>
      </c>
      <c r="E1079" s="257" t="s">
        <v>3752</v>
      </c>
      <c r="F1079" s="257" t="s">
        <v>3774</v>
      </c>
      <c r="G1079" s="257" t="s">
        <v>3775</v>
      </c>
    </row>
    <row r="1080" customHeight="1" spans="4:7">
      <c r="D1080" s="256">
        <v>50010</v>
      </c>
      <c r="E1080" s="257" t="s">
        <v>3752</v>
      </c>
      <c r="F1080" s="257" t="s">
        <v>3776</v>
      </c>
      <c r="G1080" s="257" t="s">
        <v>3777</v>
      </c>
    </row>
    <row r="1081" customHeight="1" spans="4:7">
      <c r="D1081" s="256">
        <v>50010</v>
      </c>
      <c r="E1081" s="257" t="s">
        <v>3752</v>
      </c>
      <c r="F1081" s="257" t="s">
        <v>3778</v>
      </c>
      <c r="G1081" s="257" t="s">
        <v>3779</v>
      </c>
    </row>
    <row r="1082" customHeight="1" spans="4:7">
      <c r="D1082" s="256">
        <v>52006</v>
      </c>
      <c r="E1082" s="257" t="s">
        <v>3780</v>
      </c>
      <c r="F1082" s="257" t="s">
        <v>3781</v>
      </c>
      <c r="G1082" s="257" t="s">
        <v>3782</v>
      </c>
    </row>
    <row r="1083" customHeight="1" spans="4:7">
      <c r="D1083" s="256">
        <v>52006</v>
      </c>
      <c r="E1083" s="257" t="s">
        <v>3780</v>
      </c>
      <c r="F1083" s="257" t="s">
        <v>3783</v>
      </c>
      <c r="G1083" s="257" t="s">
        <v>3784</v>
      </c>
    </row>
    <row r="1084" customHeight="1" spans="4:7">
      <c r="D1084" s="256">
        <v>52006</v>
      </c>
      <c r="E1084" s="257" t="s">
        <v>3780</v>
      </c>
      <c r="F1084" s="257" t="s">
        <v>3785</v>
      </c>
      <c r="G1084" s="257" t="s">
        <v>3786</v>
      </c>
    </row>
    <row r="1085" customHeight="1" spans="4:7">
      <c r="D1085" s="256">
        <v>52006</v>
      </c>
      <c r="E1085" s="257" t="s">
        <v>3780</v>
      </c>
      <c r="F1085" s="257" t="s">
        <v>3787</v>
      </c>
      <c r="G1085" s="257" t="s">
        <v>3788</v>
      </c>
    </row>
    <row r="1086" customHeight="1" spans="4:7">
      <c r="D1086" s="256">
        <v>52006</v>
      </c>
      <c r="E1086" s="257" t="s">
        <v>3780</v>
      </c>
      <c r="F1086" s="257" t="s">
        <v>3789</v>
      </c>
      <c r="G1086" s="257" t="s">
        <v>3790</v>
      </c>
    </row>
    <row r="1087" customHeight="1" spans="4:7">
      <c r="D1087" s="256">
        <v>52006</v>
      </c>
      <c r="E1087" s="257" t="s">
        <v>3780</v>
      </c>
      <c r="F1087" s="257" t="s">
        <v>3791</v>
      </c>
      <c r="G1087" s="257" t="s">
        <v>3792</v>
      </c>
    </row>
    <row r="1088" customHeight="1" spans="4:7">
      <c r="D1088" s="256">
        <v>52006</v>
      </c>
      <c r="E1088" s="257" t="s">
        <v>3780</v>
      </c>
      <c r="F1088" s="257" t="s">
        <v>3793</v>
      </c>
      <c r="G1088" s="257" t="s">
        <v>3794</v>
      </c>
    </row>
    <row r="1089" customHeight="1" spans="4:7">
      <c r="D1089" s="256">
        <v>52006</v>
      </c>
      <c r="E1089" s="257" t="s">
        <v>3780</v>
      </c>
      <c r="F1089" s="257" t="s">
        <v>3795</v>
      </c>
      <c r="G1089" s="257" t="s">
        <v>3796</v>
      </c>
    </row>
    <row r="1090" customHeight="1" spans="4:7">
      <c r="D1090" s="256">
        <v>52006</v>
      </c>
      <c r="E1090" s="257" t="s">
        <v>3780</v>
      </c>
      <c r="F1090" s="257" t="s">
        <v>3797</v>
      </c>
      <c r="G1090" s="257" t="s">
        <v>3798</v>
      </c>
    </row>
    <row r="1091" customHeight="1" spans="4:7">
      <c r="D1091" s="256">
        <v>52006</v>
      </c>
      <c r="E1091" s="257" t="s">
        <v>3780</v>
      </c>
      <c r="F1091" s="257" t="s">
        <v>3799</v>
      </c>
      <c r="G1091" s="257" t="s">
        <v>3800</v>
      </c>
    </row>
    <row r="1092" customHeight="1" spans="4:7">
      <c r="D1092" s="256">
        <v>52006</v>
      </c>
      <c r="E1092" s="257" t="s">
        <v>3780</v>
      </c>
      <c r="F1092" s="257" t="s">
        <v>3801</v>
      </c>
      <c r="G1092" s="257" t="s">
        <v>3802</v>
      </c>
    </row>
    <row r="1093" customHeight="1" spans="4:7">
      <c r="D1093" s="256">
        <v>52006</v>
      </c>
      <c r="E1093" s="257" t="s">
        <v>3780</v>
      </c>
      <c r="F1093" s="257" t="s">
        <v>3803</v>
      </c>
      <c r="G1093" s="257" t="s">
        <v>3804</v>
      </c>
    </row>
    <row r="1094" customHeight="1" spans="4:7">
      <c r="D1094" s="256">
        <v>52006</v>
      </c>
      <c r="E1094" s="257" t="s">
        <v>3780</v>
      </c>
      <c r="F1094" s="257" t="s">
        <v>3805</v>
      </c>
      <c r="G1094" s="257" t="s">
        <v>3806</v>
      </c>
    </row>
    <row r="1095" customHeight="1" spans="4:7">
      <c r="D1095" s="256">
        <v>52006</v>
      </c>
      <c r="E1095" s="257" t="s">
        <v>3780</v>
      </c>
      <c r="F1095" s="257" t="s">
        <v>3807</v>
      </c>
      <c r="G1095" s="257" t="s">
        <v>3808</v>
      </c>
    </row>
    <row r="1096" customHeight="1" spans="4:7">
      <c r="D1096" s="256">
        <v>52006</v>
      </c>
      <c r="E1096" s="257" t="s">
        <v>3780</v>
      </c>
      <c r="F1096" s="257" t="s">
        <v>3809</v>
      </c>
      <c r="G1096" s="257" t="s">
        <v>3810</v>
      </c>
    </row>
    <row r="1097" customHeight="1" spans="4:7">
      <c r="D1097" s="256">
        <v>52006</v>
      </c>
      <c r="E1097" s="257" t="s">
        <v>3780</v>
      </c>
      <c r="F1097" s="257" t="s">
        <v>3811</v>
      </c>
      <c r="G1097" s="257" t="s">
        <v>3812</v>
      </c>
    </row>
    <row r="1098" customHeight="1" spans="4:7">
      <c r="D1098" s="256">
        <v>52006</v>
      </c>
      <c r="E1098" s="257" t="s">
        <v>3780</v>
      </c>
      <c r="F1098" s="257" t="s">
        <v>3813</v>
      </c>
      <c r="G1098" s="257" t="s">
        <v>3814</v>
      </c>
    </row>
    <row r="1099" customHeight="1" spans="4:7">
      <c r="D1099" s="256">
        <v>52006</v>
      </c>
      <c r="E1099" s="257" t="s">
        <v>3780</v>
      </c>
      <c r="F1099" s="257" t="s">
        <v>3815</v>
      </c>
      <c r="G1099" s="257" t="s">
        <v>3816</v>
      </c>
    </row>
    <row r="1100" customHeight="1" spans="4:7">
      <c r="D1100" s="256">
        <v>52006</v>
      </c>
      <c r="E1100" s="257" t="s">
        <v>3780</v>
      </c>
      <c r="F1100" s="257" t="s">
        <v>3817</v>
      </c>
      <c r="G1100" s="257" t="s">
        <v>3818</v>
      </c>
    </row>
    <row r="1101" customHeight="1" spans="4:7">
      <c r="D1101" s="256">
        <v>52006</v>
      </c>
      <c r="E1101" s="257" t="s">
        <v>3780</v>
      </c>
      <c r="F1101" s="257" t="s">
        <v>3819</v>
      </c>
      <c r="G1101" s="257" t="s">
        <v>3820</v>
      </c>
    </row>
    <row r="1102" customHeight="1" spans="4:7">
      <c r="D1102" s="256">
        <v>52006</v>
      </c>
      <c r="E1102" s="257" t="s">
        <v>3780</v>
      </c>
      <c r="F1102" s="257" t="s">
        <v>3821</v>
      </c>
      <c r="G1102" s="257" t="s">
        <v>3822</v>
      </c>
    </row>
    <row r="1103" customHeight="1" spans="4:7">
      <c r="D1103" s="256">
        <v>52006</v>
      </c>
      <c r="E1103" s="257" t="s">
        <v>3780</v>
      </c>
      <c r="F1103" s="257" t="s">
        <v>3823</v>
      </c>
      <c r="G1103" s="257" t="s">
        <v>3824</v>
      </c>
    </row>
    <row r="1104" customHeight="1" spans="4:7">
      <c r="D1104" s="256">
        <v>52006</v>
      </c>
      <c r="E1104" s="257" t="s">
        <v>3780</v>
      </c>
      <c r="F1104" s="257" t="s">
        <v>3825</v>
      </c>
      <c r="G1104" s="257" t="s">
        <v>3826</v>
      </c>
    </row>
    <row r="1105" customHeight="1" spans="4:7">
      <c r="D1105" s="256">
        <v>52006</v>
      </c>
      <c r="E1105" s="257" t="s">
        <v>3780</v>
      </c>
      <c r="F1105" s="257" t="s">
        <v>3827</v>
      </c>
      <c r="G1105" s="257" t="s">
        <v>3828</v>
      </c>
    </row>
    <row r="1106" customHeight="1" spans="4:7">
      <c r="D1106" s="256">
        <v>52006</v>
      </c>
      <c r="E1106" s="257" t="s">
        <v>3780</v>
      </c>
      <c r="F1106" s="257" t="s">
        <v>3829</v>
      </c>
      <c r="G1106" s="257" t="s">
        <v>3830</v>
      </c>
    </row>
    <row r="1107" customHeight="1" spans="4:7">
      <c r="D1107" s="256">
        <v>52006</v>
      </c>
      <c r="E1107" s="257" t="s">
        <v>3780</v>
      </c>
      <c r="F1107" s="257" t="s">
        <v>3831</v>
      </c>
      <c r="G1107" s="257" t="s">
        <v>2164</v>
      </c>
    </row>
    <row r="1108" customHeight="1" spans="4:7">
      <c r="D1108" s="256">
        <v>52006</v>
      </c>
      <c r="E1108" s="257" t="s">
        <v>3780</v>
      </c>
      <c r="F1108" s="257" t="s">
        <v>3832</v>
      </c>
      <c r="G1108" s="257" t="s">
        <v>3833</v>
      </c>
    </row>
    <row r="1109" customHeight="1" spans="4:7">
      <c r="D1109" s="256">
        <v>52006</v>
      </c>
      <c r="E1109" s="257" t="s">
        <v>3780</v>
      </c>
      <c r="F1109" s="257" t="s">
        <v>3834</v>
      </c>
      <c r="G1109" s="257" t="s">
        <v>3835</v>
      </c>
    </row>
    <row r="1110" customHeight="1" spans="4:7">
      <c r="D1110" s="256">
        <v>52006</v>
      </c>
      <c r="E1110" s="257" t="s">
        <v>3780</v>
      </c>
      <c r="F1110" s="257" t="s">
        <v>3836</v>
      </c>
      <c r="G1110" s="257" t="s">
        <v>3837</v>
      </c>
    </row>
    <row r="1111" customHeight="1" spans="4:7">
      <c r="D1111" s="256">
        <v>52006</v>
      </c>
      <c r="E1111" s="257" t="s">
        <v>3780</v>
      </c>
      <c r="F1111" s="257" t="s">
        <v>3838</v>
      </c>
      <c r="G1111" s="257" t="s">
        <v>3837</v>
      </c>
    </row>
    <row r="1112" customHeight="1" spans="4:7">
      <c r="D1112" s="256">
        <v>52006</v>
      </c>
      <c r="E1112" s="257" t="s">
        <v>3780</v>
      </c>
      <c r="F1112" s="257" t="s">
        <v>3839</v>
      </c>
      <c r="G1112" s="257" t="s">
        <v>3840</v>
      </c>
    </row>
    <row r="1113" customHeight="1" spans="4:7">
      <c r="D1113" s="256">
        <v>52006</v>
      </c>
      <c r="E1113" s="257" t="s">
        <v>3780</v>
      </c>
      <c r="F1113" s="257" t="s">
        <v>3841</v>
      </c>
      <c r="G1113" s="257" t="s">
        <v>3842</v>
      </c>
    </row>
    <row r="1114" customHeight="1" spans="4:7">
      <c r="D1114" s="256">
        <v>46009</v>
      </c>
      <c r="E1114" s="257" t="s">
        <v>3843</v>
      </c>
      <c r="F1114" s="257" t="s">
        <v>3844</v>
      </c>
      <c r="G1114" s="257" t="s">
        <v>3845</v>
      </c>
    </row>
    <row r="1115" customHeight="1" spans="4:7">
      <c r="D1115" s="256">
        <v>46009</v>
      </c>
      <c r="E1115" s="257" t="s">
        <v>3843</v>
      </c>
      <c r="F1115" s="257" t="s">
        <v>3846</v>
      </c>
      <c r="G1115" s="257" t="s">
        <v>1540</v>
      </c>
    </row>
    <row r="1116" customHeight="1" spans="4:7">
      <c r="D1116" s="256">
        <v>46009</v>
      </c>
      <c r="E1116" s="257" t="s">
        <v>3843</v>
      </c>
      <c r="F1116" s="257" t="s">
        <v>3847</v>
      </c>
      <c r="G1116" s="257" t="s">
        <v>3848</v>
      </c>
    </row>
    <row r="1117" customHeight="1" spans="4:7">
      <c r="D1117" s="256">
        <v>46009</v>
      </c>
      <c r="E1117" s="257" t="s">
        <v>3843</v>
      </c>
      <c r="F1117" s="257" t="s">
        <v>3849</v>
      </c>
      <c r="G1117" s="257" t="s">
        <v>3850</v>
      </c>
    </row>
    <row r="1118" customHeight="1" spans="4:7">
      <c r="D1118" s="256">
        <v>46009</v>
      </c>
      <c r="E1118" s="257" t="s">
        <v>3843</v>
      </c>
      <c r="F1118" s="257" t="s">
        <v>3851</v>
      </c>
      <c r="G1118" s="257" t="s">
        <v>3852</v>
      </c>
    </row>
    <row r="1119" customHeight="1" spans="4:7">
      <c r="D1119" s="256">
        <v>46009</v>
      </c>
      <c r="E1119" s="257" t="s">
        <v>3843</v>
      </c>
      <c r="F1119" s="257" t="s">
        <v>3853</v>
      </c>
      <c r="G1119" s="257" t="s">
        <v>1994</v>
      </c>
    </row>
    <row r="1120" customHeight="1" spans="4:7">
      <c r="D1120" s="256">
        <v>46009</v>
      </c>
      <c r="E1120" s="257" t="s">
        <v>3843</v>
      </c>
      <c r="F1120" s="257" t="s">
        <v>3854</v>
      </c>
      <c r="G1120" s="257" t="s">
        <v>3855</v>
      </c>
    </row>
    <row r="1121" customHeight="1" spans="4:7">
      <c r="D1121" s="256">
        <v>46009</v>
      </c>
      <c r="E1121" s="257" t="s">
        <v>3843</v>
      </c>
      <c r="F1121" s="257" t="s">
        <v>3856</v>
      </c>
      <c r="G1121" s="257" t="s">
        <v>3857</v>
      </c>
    </row>
    <row r="1122" customHeight="1" spans="4:7">
      <c r="D1122" s="256">
        <v>46009</v>
      </c>
      <c r="E1122" s="257" t="s">
        <v>3843</v>
      </c>
      <c r="F1122" s="257" t="s">
        <v>3858</v>
      </c>
      <c r="G1122" s="257" t="s">
        <v>3859</v>
      </c>
    </row>
    <row r="1123" customHeight="1" spans="4:7">
      <c r="D1123" s="256">
        <v>46009</v>
      </c>
      <c r="E1123" s="257" t="s">
        <v>3843</v>
      </c>
      <c r="F1123" s="257" t="s">
        <v>3860</v>
      </c>
      <c r="G1123" s="257" t="s">
        <v>3861</v>
      </c>
    </row>
    <row r="1124" customHeight="1" spans="4:7">
      <c r="D1124" s="256">
        <v>46009</v>
      </c>
      <c r="E1124" s="257" t="s">
        <v>3843</v>
      </c>
      <c r="F1124" s="257" t="s">
        <v>3862</v>
      </c>
      <c r="G1124" s="257" t="s">
        <v>3863</v>
      </c>
    </row>
    <row r="1125" customHeight="1" spans="4:7">
      <c r="D1125" s="256">
        <v>46009</v>
      </c>
      <c r="E1125" s="257" t="s">
        <v>3843</v>
      </c>
      <c r="F1125" s="257" t="s">
        <v>3864</v>
      </c>
      <c r="G1125" s="257" t="s">
        <v>3865</v>
      </c>
    </row>
    <row r="1126" customHeight="1" spans="4:7">
      <c r="D1126" s="256">
        <v>46009</v>
      </c>
      <c r="E1126" s="257" t="s">
        <v>3843</v>
      </c>
      <c r="F1126" s="257" t="s">
        <v>3866</v>
      </c>
      <c r="G1126" s="257" t="s">
        <v>3867</v>
      </c>
    </row>
    <row r="1127" customHeight="1" spans="4:7">
      <c r="D1127" s="256">
        <v>46009</v>
      </c>
      <c r="E1127" s="257" t="s">
        <v>3843</v>
      </c>
      <c r="F1127" s="257" t="s">
        <v>3868</v>
      </c>
      <c r="G1127" s="257" t="s">
        <v>3869</v>
      </c>
    </row>
    <row r="1128" customHeight="1" spans="4:7">
      <c r="D1128" s="256">
        <v>50011</v>
      </c>
      <c r="E1128" s="257" t="s">
        <v>3870</v>
      </c>
      <c r="F1128" s="257" t="s">
        <v>3871</v>
      </c>
      <c r="G1128" s="257" t="s">
        <v>3872</v>
      </c>
    </row>
    <row r="1129" customHeight="1" spans="4:7">
      <c r="D1129" s="256">
        <v>50011</v>
      </c>
      <c r="E1129" s="257" t="s">
        <v>3870</v>
      </c>
      <c r="F1129" s="257" t="s">
        <v>3873</v>
      </c>
      <c r="G1129" s="257" t="s">
        <v>3874</v>
      </c>
    </row>
    <row r="1130" customHeight="1" spans="4:7">
      <c r="D1130" s="256">
        <v>50011</v>
      </c>
      <c r="E1130" s="257" t="s">
        <v>3870</v>
      </c>
      <c r="F1130" s="257" t="s">
        <v>3875</v>
      </c>
      <c r="G1130" s="257" t="s">
        <v>3876</v>
      </c>
    </row>
    <row r="1131" customHeight="1" spans="4:7">
      <c r="D1131" s="256">
        <v>50011</v>
      </c>
      <c r="E1131" s="257" t="s">
        <v>3870</v>
      </c>
      <c r="F1131" s="257" t="s">
        <v>3877</v>
      </c>
      <c r="G1131" s="257" t="s">
        <v>3878</v>
      </c>
    </row>
    <row r="1132" customHeight="1" spans="4:7">
      <c r="D1132" s="256">
        <v>50011</v>
      </c>
      <c r="E1132" s="257" t="s">
        <v>3870</v>
      </c>
      <c r="F1132" s="257" t="s">
        <v>3879</v>
      </c>
      <c r="G1132" s="257" t="s">
        <v>3880</v>
      </c>
    </row>
    <row r="1133" customHeight="1" spans="4:7">
      <c r="D1133" s="256">
        <v>50011</v>
      </c>
      <c r="E1133" s="257" t="s">
        <v>3870</v>
      </c>
      <c r="F1133" s="257" t="s">
        <v>3881</v>
      </c>
      <c r="G1133" s="257" t="s">
        <v>3882</v>
      </c>
    </row>
    <row r="1134" customHeight="1" spans="4:7">
      <c r="D1134" s="256">
        <v>50011</v>
      </c>
      <c r="E1134" s="257" t="s">
        <v>3870</v>
      </c>
      <c r="F1134" s="257" t="s">
        <v>3883</v>
      </c>
      <c r="G1134" s="257" t="s">
        <v>3884</v>
      </c>
    </row>
    <row r="1135" customHeight="1" spans="4:7">
      <c r="D1135" s="256">
        <v>50011</v>
      </c>
      <c r="E1135" s="257" t="s">
        <v>3870</v>
      </c>
      <c r="F1135" s="257" t="s">
        <v>3885</v>
      </c>
      <c r="G1135" s="257" t="s">
        <v>3886</v>
      </c>
    </row>
    <row r="1136" customHeight="1" spans="4:7">
      <c r="D1136" s="256">
        <v>51011</v>
      </c>
      <c r="E1136" s="257" t="s">
        <v>3887</v>
      </c>
      <c r="F1136" s="257" t="s">
        <v>3888</v>
      </c>
      <c r="G1136" s="257" t="s">
        <v>3889</v>
      </c>
    </row>
    <row r="1137" customHeight="1" spans="4:7">
      <c r="D1137" s="256">
        <v>51011</v>
      </c>
      <c r="E1137" s="257" t="s">
        <v>3887</v>
      </c>
      <c r="F1137" s="257" t="s">
        <v>3890</v>
      </c>
      <c r="G1137" s="257" t="s">
        <v>3891</v>
      </c>
    </row>
    <row r="1138" customHeight="1" spans="4:7">
      <c r="D1138" s="256">
        <v>51011</v>
      </c>
      <c r="E1138" s="257" t="s">
        <v>3887</v>
      </c>
      <c r="F1138" s="257" t="s">
        <v>3892</v>
      </c>
      <c r="G1138" s="257" t="s">
        <v>3893</v>
      </c>
    </row>
    <row r="1139" customHeight="1" spans="4:7">
      <c r="D1139" s="256">
        <v>51011</v>
      </c>
      <c r="E1139" s="257" t="s">
        <v>3887</v>
      </c>
      <c r="F1139" s="257" t="s">
        <v>3894</v>
      </c>
      <c r="G1139" s="257" t="s">
        <v>3895</v>
      </c>
    </row>
    <row r="1140" customHeight="1" spans="4:7">
      <c r="D1140" s="256">
        <v>51012</v>
      </c>
      <c r="E1140" s="257" t="s">
        <v>3896</v>
      </c>
      <c r="F1140" s="257" t="s">
        <v>3897</v>
      </c>
      <c r="G1140" s="257" t="s">
        <v>3898</v>
      </c>
    </row>
    <row r="1141" customHeight="1" spans="4:7">
      <c r="D1141" s="256">
        <v>51012</v>
      </c>
      <c r="E1141" s="257" t="s">
        <v>3896</v>
      </c>
      <c r="F1141" s="257" t="s">
        <v>3899</v>
      </c>
      <c r="G1141" s="257" t="s">
        <v>3900</v>
      </c>
    </row>
    <row r="1142" customHeight="1" spans="4:7">
      <c r="D1142" s="256">
        <v>51012</v>
      </c>
      <c r="E1142" s="257" t="s">
        <v>3896</v>
      </c>
      <c r="F1142" s="257" t="s">
        <v>3901</v>
      </c>
      <c r="G1142" s="257" t="s">
        <v>3902</v>
      </c>
    </row>
    <row r="1143" customHeight="1" spans="4:7">
      <c r="D1143" s="256">
        <v>51012</v>
      </c>
      <c r="E1143" s="257" t="s">
        <v>3896</v>
      </c>
      <c r="F1143" s="257" t="s">
        <v>3903</v>
      </c>
      <c r="G1143" s="257" t="s">
        <v>3904</v>
      </c>
    </row>
    <row r="1144" customHeight="1" spans="4:7">
      <c r="D1144" s="256">
        <v>51012</v>
      </c>
      <c r="E1144" s="257" t="s">
        <v>3896</v>
      </c>
      <c r="F1144" s="257" t="s">
        <v>3905</v>
      </c>
      <c r="G1144" s="257" t="s">
        <v>3906</v>
      </c>
    </row>
    <row r="1145" customHeight="1" spans="4:7">
      <c r="D1145" s="256">
        <v>51012</v>
      </c>
      <c r="E1145" s="257" t="s">
        <v>3896</v>
      </c>
      <c r="F1145" s="257" t="s">
        <v>3907</v>
      </c>
      <c r="G1145" s="257" t="s">
        <v>3908</v>
      </c>
    </row>
    <row r="1146" customHeight="1" spans="4:7">
      <c r="D1146" s="256">
        <v>51012</v>
      </c>
      <c r="E1146" s="257" t="s">
        <v>3896</v>
      </c>
      <c r="F1146" s="257" t="s">
        <v>3909</v>
      </c>
      <c r="G1146" s="257" t="s">
        <v>3910</v>
      </c>
    </row>
    <row r="1147" customHeight="1" spans="4:7">
      <c r="D1147" s="256">
        <v>51012</v>
      </c>
      <c r="E1147" s="257" t="s">
        <v>3896</v>
      </c>
      <c r="F1147" s="257" t="s">
        <v>3911</v>
      </c>
      <c r="G1147" s="257" t="s">
        <v>3912</v>
      </c>
    </row>
    <row r="1148" customHeight="1" spans="4:7">
      <c r="D1148" s="256">
        <v>51012</v>
      </c>
      <c r="E1148" s="257" t="s">
        <v>3896</v>
      </c>
      <c r="F1148" s="257" t="s">
        <v>3913</v>
      </c>
      <c r="G1148" s="257" t="s">
        <v>3914</v>
      </c>
    </row>
    <row r="1149" customHeight="1" spans="4:7">
      <c r="D1149" s="256">
        <v>51012</v>
      </c>
      <c r="E1149" s="257" t="s">
        <v>3896</v>
      </c>
      <c r="F1149" s="257" t="s">
        <v>3915</v>
      </c>
      <c r="G1149" s="257" t="s">
        <v>3916</v>
      </c>
    </row>
    <row r="1150" customHeight="1" spans="4:7">
      <c r="D1150" s="256">
        <v>51012</v>
      </c>
      <c r="E1150" s="257" t="s">
        <v>3896</v>
      </c>
      <c r="F1150" s="257" t="s">
        <v>3917</v>
      </c>
      <c r="G1150" s="257" t="s">
        <v>3918</v>
      </c>
    </row>
    <row r="1151" customHeight="1" spans="4:7">
      <c r="D1151" s="256">
        <v>51012</v>
      </c>
      <c r="E1151" s="257" t="s">
        <v>3896</v>
      </c>
      <c r="F1151" s="257" t="s">
        <v>3919</v>
      </c>
      <c r="G1151" s="257" t="s">
        <v>3920</v>
      </c>
    </row>
    <row r="1152" customHeight="1" spans="4:7">
      <c r="D1152" s="256">
        <v>51012</v>
      </c>
      <c r="E1152" s="257" t="s">
        <v>3896</v>
      </c>
      <c r="F1152" s="257" t="s">
        <v>3921</v>
      </c>
      <c r="G1152" s="257" t="s">
        <v>3922</v>
      </c>
    </row>
    <row r="1153" customHeight="1" spans="4:7">
      <c r="D1153" s="256">
        <v>51012</v>
      </c>
      <c r="E1153" s="257" t="s">
        <v>3896</v>
      </c>
      <c r="F1153" s="257" t="s">
        <v>3923</v>
      </c>
      <c r="G1153" s="257" t="s">
        <v>3924</v>
      </c>
    </row>
    <row r="1154" customHeight="1" spans="4:7">
      <c r="D1154" s="256">
        <v>51012</v>
      </c>
      <c r="E1154" s="257" t="s">
        <v>3896</v>
      </c>
      <c r="F1154" s="257" t="s">
        <v>3925</v>
      </c>
      <c r="G1154" s="257" t="s">
        <v>3926</v>
      </c>
    </row>
    <row r="1155" customHeight="1" spans="4:7">
      <c r="D1155" s="256">
        <v>51012</v>
      </c>
      <c r="E1155" s="257" t="s">
        <v>3896</v>
      </c>
      <c r="F1155" s="257" t="s">
        <v>3927</v>
      </c>
      <c r="G1155" s="257" t="s">
        <v>3928</v>
      </c>
    </row>
    <row r="1156" customHeight="1" spans="4:7">
      <c r="D1156" s="256">
        <v>51012</v>
      </c>
      <c r="E1156" s="257" t="s">
        <v>3896</v>
      </c>
      <c r="F1156" s="257" t="s">
        <v>3929</v>
      </c>
      <c r="G1156" s="257" t="s">
        <v>3930</v>
      </c>
    </row>
    <row r="1157" customHeight="1" spans="4:7">
      <c r="D1157" s="256">
        <v>51012</v>
      </c>
      <c r="E1157" s="257" t="s">
        <v>3896</v>
      </c>
      <c r="F1157" s="257" t="s">
        <v>3931</v>
      </c>
      <c r="G1157" s="257" t="s">
        <v>3932</v>
      </c>
    </row>
    <row r="1158" customHeight="1" spans="4:7">
      <c r="D1158" s="256">
        <v>51012</v>
      </c>
      <c r="E1158" s="257" t="s">
        <v>3896</v>
      </c>
      <c r="F1158" s="257" t="s">
        <v>3933</v>
      </c>
      <c r="G1158" s="257" t="s">
        <v>3934</v>
      </c>
    </row>
    <row r="1159" customHeight="1" spans="4:7">
      <c r="D1159" s="256">
        <v>51012</v>
      </c>
      <c r="E1159" s="257" t="s">
        <v>3896</v>
      </c>
      <c r="F1159" s="257" t="s">
        <v>3935</v>
      </c>
      <c r="G1159" s="257" t="s">
        <v>3936</v>
      </c>
    </row>
    <row r="1160" customHeight="1" spans="4:7">
      <c r="D1160" s="256">
        <v>51012</v>
      </c>
      <c r="E1160" s="257" t="s">
        <v>3896</v>
      </c>
      <c r="F1160" s="257" t="s">
        <v>3937</v>
      </c>
      <c r="G1160" s="257" t="s">
        <v>3938</v>
      </c>
    </row>
    <row r="1161" customHeight="1" spans="4:7">
      <c r="D1161" s="256">
        <v>51012</v>
      </c>
      <c r="E1161" s="257" t="s">
        <v>3896</v>
      </c>
      <c r="F1161" s="257" t="s">
        <v>3939</v>
      </c>
      <c r="G1161" s="257" t="s">
        <v>2591</v>
      </c>
    </row>
    <row r="1162" customHeight="1" spans="4:7">
      <c r="D1162" s="256">
        <v>51012</v>
      </c>
      <c r="E1162" s="257" t="s">
        <v>3896</v>
      </c>
      <c r="F1162" s="257" t="s">
        <v>3940</v>
      </c>
      <c r="G1162" s="257" t="s">
        <v>3941</v>
      </c>
    </row>
    <row r="1163" customHeight="1" spans="4:7">
      <c r="D1163" s="256">
        <v>51012</v>
      </c>
      <c r="E1163" s="257" t="s">
        <v>3896</v>
      </c>
      <c r="F1163" s="257" t="s">
        <v>3942</v>
      </c>
      <c r="G1163" s="257" t="s">
        <v>3943</v>
      </c>
    </row>
    <row r="1164" customHeight="1" spans="4:7">
      <c r="D1164" s="256">
        <v>51012</v>
      </c>
      <c r="E1164" s="257" t="s">
        <v>3896</v>
      </c>
      <c r="F1164" s="257" t="s">
        <v>3944</v>
      </c>
      <c r="G1164" s="257" t="s">
        <v>3945</v>
      </c>
    </row>
    <row r="1165" customHeight="1" spans="4:7">
      <c r="D1165" s="256">
        <v>51012</v>
      </c>
      <c r="E1165" s="257" t="s">
        <v>3896</v>
      </c>
      <c r="F1165" s="257" t="s">
        <v>3946</v>
      </c>
      <c r="G1165" s="257" t="s">
        <v>3947</v>
      </c>
    </row>
    <row r="1166" customHeight="1" spans="4:7">
      <c r="D1166" s="256">
        <v>51012</v>
      </c>
      <c r="E1166" s="257" t="s">
        <v>3896</v>
      </c>
      <c r="F1166" s="257" t="s">
        <v>3948</v>
      </c>
      <c r="G1166" s="257" t="s">
        <v>3949</v>
      </c>
    </row>
    <row r="1167" customHeight="1" spans="4:7">
      <c r="D1167" s="256">
        <v>51012</v>
      </c>
      <c r="E1167" s="257" t="s">
        <v>3896</v>
      </c>
      <c r="F1167" s="257" t="s">
        <v>3950</v>
      </c>
      <c r="G1167" s="257" t="s">
        <v>3951</v>
      </c>
    </row>
    <row r="1168" customHeight="1" spans="4:7">
      <c r="D1168" s="256">
        <v>51012</v>
      </c>
      <c r="E1168" s="257" t="s">
        <v>3896</v>
      </c>
      <c r="F1168" s="257" t="s">
        <v>3952</v>
      </c>
      <c r="G1168" s="257" t="s">
        <v>3953</v>
      </c>
    </row>
    <row r="1169" customHeight="1" spans="4:7">
      <c r="D1169" s="256">
        <v>51012</v>
      </c>
      <c r="E1169" s="257" t="s">
        <v>3896</v>
      </c>
      <c r="F1169" s="257" t="s">
        <v>3954</v>
      </c>
      <c r="G1169" s="257" t="s">
        <v>2431</v>
      </c>
    </row>
    <row r="1170" customHeight="1" spans="4:7">
      <c r="D1170" s="256">
        <v>51012</v>
      </c>
      <c r="E1170" s="257" t="s">
        <v>3896</v>
      </c>
      <c r="F1170" s="257" t="s">
        <v>3955</v>
      </c>
      <c r="G1170" s="257" t="s">
        <v>3956</v>
      </c>
    </row>
    <row r="1171" customHeight="1" spans="4:7">
      <c r="D1171" s="256">
        <v>51012</v>
      </c>
      <c r="E1171" s="257" t="s">
        <v>3896</v>
      </c>
      <c r="F1171" s="257" t="s">
        <v>3957</v>
      </c>
      <c r="G1171" s="257" t="s">
        <v>2285</v>
      </c>
    </row>
    <row r="1172" customHeight="1" spans="4:7">
      <c r="D1172" s="256">
        <v>51012</v>
      </c>
      <c r="E1172" s="257" t="s">
        <v>3896</v>
      </c>
      <c r="F1172" s="257" t="s">
        <v>3958</v>
      </c>
      <c r="G1172" s="257" t="s">
        <v>3959</v>
      </c>
    </row>
    <row r="1173" customHeight="1" spans="4:7">
      <c r="D1173" s="256">
        <v>51012</v>
      </c>
      <c r="E1173" s="257" t="s">
        <v>3896</v>
      </c>
      <c r="F1173" s="257" t="s">
        <v>3960</v>
      </c>
      <c r="G1173" s="257" t="s">
        <v>3961</v>
      </c>
    </row>
    <row r="1174" customHeight="1" spans="4:7">
      <c r="D1174" s="256">
        <v>51012</v>
      </c>
      <c r="E1174" s="257" t="s">
        <v>3896</v>
      </c>
      <c r="F1174" s="257" t="s">
        <v>3962</v>
      </c>
      <c r="G1174" s="257" t="s">
        <v>3963</v>
      </c>
    </row>
    <row r="1175" customHeight="1" spans="4:7">
      <c r="D1175" s="256">
        <v>51012</v>
      </c>
      <c r="E1175" s="257" t="s">
        <v>3896</v>
      </c>
      <c r="F1175" s="257" t="s">
        <v>3964</v>
      </c>
      <c r="G1175" s="257" t="s">
        <v>3042</v>
      </c>
    </row>
    <row r="1176" customHeight="1" spans="4:7">
      <c r="D1176" s="256">
        <v>53006</v>
      </c>
      <c r="E1176" s="257" t="s">
        <v>3965</v>
      </c>
      <c r="F1176" s="257" t="s">
        <v>3966</v>
      </c>
      <c r="G1176" s="257" t="s">
        <v>3967</v>
      </c>
    </row>
    <row r="1177" customHeight="1" spans="4:7">
      <c r="D1177" s="256">
        <v>53006</v>
      </c>
      <c r="E1177" s="257" t="s">
        <v>3965</v>
      </c>
      <c r="F1177" s="257" t="s">
        <v>3968</v>
      </c>
      <c r="G1177" s="257" t="s">
        <v>3969</v>
      </c>
    </row>
    <row r="1178" customHeight="1" spans="4:7">
      <c r="D1178" s="256">
        <v>53006</v>
      </c>
      <c r="E1178" s="257" t="s">
        <v>3965</v>
      </c>
      <c r="F1178" s="257" t="s">
        <v>3970</v>
      </c>
      <c r="G1178" s="257" t="s">
        <v>3971</v>
      </c>
    </row>
    <row r="1179" customHeight="1" spans="4:7">
      <c r="D1179" s="256">
        <v>53006</v>
      </c>
      <c r="E1179" s="257" t="s">
        <v>3965</v>
      </c>
      <c r="F1179" s="257" t="s">
        <v>3972</v>
      </c>
      <c r="G1179" s="257" t="s">
        <v>3973</v>
      </c>
    </row>
    <row r="1180" customHeight="1" spans="4:7">
      <c r="D1180" s="256">
        <v>53006</v>
      </c>
      <c r="E1180" s="257" t="s">
        <v>3965</v>
      </c>
      <c r="F1180" s="257" t="s">
        <v>3974</v>
      </c>
      <c r="G1180" s="257" t="s">
        <v>3975</v>
      </c>
    </row>
    <row r="1181" customHeight="1" spans="4:7">
      <c r="D1181" s="256">
        <v>53006</v>
      </c>
      <c r="E1181" s="257" t="s">
        <v>3965</v>
      </c>
      <c r="F1181" s="257" t="s">
        <v>3976</v>
      </c>
      <c r="G1181" s="257" t="s">
        <v>3977</v>
      </c>
    </row>
    <row r="1182" customHeight="1" spans="4:7">
      <c r="D1182" s="256">
        <v>53006</v>
      </c>
      <c r="E1182" s="257" t="s">
        <v>3965</v>
      </c>
      <c r="F1182" s="257" t="s">
        <v>3978</v>
      </c>
      <c r="G1182" s="257" t="s">
        <v>3979</v>
      </c>
    </row>
    <row r="1183" customHeight="1" spans="4:7">
      <c r="D1183" s="256">
        <v>53006</v>
      </c>
      <c r="E1183" s="257" t="s">
        <v>3965</v>
      </c>
      <c r="F1183" s="257" t="s">
        <v>3980</v>
      </c>
      <c r="G1183" s="257" t="s">
        <v>3981</v>
      </c>
    </row>
    <row r="1184" customHeight="1" spans="4:7">
      <c r="D1184" s="256">
        <v>53006</v>
      </c>
      <c r="E1184" s="257" t="s">
        <v>3965</v>
      </c>
      <c r="F1184" s="257" t="s">
        <v>3982</v>
      </c>
      <c r="G1184" s="257" t="s">
        <v>3983</v>
      </c>
    </row>
    <row r="1185" customHeight="1" spans="4:7">
      <c r="D1185" s="256">
        <v>53006</v>
      </c>
      <c r="E1185" s="257" t="s">
        <v>3965</v>
      </c>
      <c r="F1185" s="257" t="s">
        <v>3984</v>
      </c>
      <c r="G1185" s="257" t="s">
        <v>3985</v>
      </c>
    </row>
    <row r="1186" customHeight="1" spans="4:7">
      <c r="D1186" s="256">
        <v>53006</v>
      </c>
      <c r="E1186" s="257" t="s">
        <v>3965</v>
      </c>
      <c r="F1186" s="257" t="s">
        <v>3986</v>
      </c>
      <c r="G1186" s="257" t="s">
        <v>3987</v>
      </c>
    </row>
    <row r="1187" customHeight="1" spans="4:7">
      <c r="D1187" s="256">
        <v>53006</v>
      </c>
      <c r="E1187" s="257" t="s">
        <v>3965</v>
      </c>
      <c r="F1187" s="257" t="s">
        <v>3988</v>
      </c>
      <c r="G1187" s="257" t="s">
        <v>3989</v>
      </c>
    </row>
    <row r="1188" customHeight="1" spans="4:7">
      <c r="D1188" s="256">
        <v>53006</v>
      </c>
      <c r="E1188" s="257" t="s">
        <v>3965</v>
      </c>
      <c r="F1188" s="257" t="s">
        <v>3990</v>
      </c>
      <c r="G1188" s="257" t="s">
        <v>3991</v>
      </c>
    </row>
    <row r="1189" customHeight="1" spans="4:7">
      <c r="D1189" s="256">
        <v>53006</v>
      </c>
      <c r="E1189" s="257" t="s">
        <v>3965</v>
      </c>
      <c r="F1189" s="257" t="s">
        <v>3992</v>
      </c>
      <c r="G1189" s="257" t="s">
        <v>3993</v>
      </c>
    </row>
    <row r="1190" customHeight="1" spans="4:7">
      <c r="D1190" s="256">
        <v>53006</v>
      </c>
      <c r="E1190" s="257" t="s">
        <v>3965</v>
      </c>
      <c r="F1190" s="257" t="s">
        <v>3994</v>
      </c>
      <c r="G1190" s="257" t="s">
        <v>3995</v>
      </c>
    </row>
    <row r="1191" customHeight="1" spans="4:7">
      <c r="D1191" s="256">
        <v>46010</v>
      </c>
      <c r="E1191" s="257" t="s">
        <v>3996</v>
      </c>
      <c r="F1191" s="257" t="s">
        <v>3997</v>
      </c>
      <c r="G1191" s="257" t="s">
        <v>3998</v>
      </c>
    </row>
    <row r="1192" customHeight="1" spans="4:7">
      <c r="D1192" s="256">
        <v>46010</v>
      </c>
      <c r="E1192" s="257" t="s">
        <v>3996</v>
      </c>
      <c r="F1192" s="257" t="s">
        <v>3999</v>
      </c>
      <c r="G1192" s="257" t="s">
        <v>4000</v>
      </c>
    </row>
    <row r="1193" customHeight="1" spans="4:7">
      <c r="D1193" s="256">
        <v>46010</v>
      </c>
      <c r="E1193" s="257" t="s">
        <v>3996</v>
      </c>
      <c r="F1193" s="257" t="s">
        <v>4001</v>
      </c>
      <c r="G1193" s="257" t="s">
        <v>4002</v>
      </c>
    </row>
    <row r="1194" customHeight="1" spans="4:7">
      <c r="D1194" s="256">
        <v>46010</v>
      </c>
      <c r="E1194" s="257" t="s">
        <v>3996</v>
      </c>
      <c r="F1194" s="257" t="s">
        <v>4003</v>
      </c>
      <c r="G1194" s="257" t="s">
        <v>4004</v>
      </c>
    </row>
    <row r="1195" customHeight="1" spans="4:7">
      <c r="D1195" s="256">
        <v>46010</v>
      </c>
      <c r="E1195" s="257" t="s">
        <v>3996</v>
      </c>
      <c r="F1195" s="257" t="s">
        <v>4005</v>
      </c>
      <c r="G1195" s="257" t="s">
        <v>3471</v>
      </c>
    </row>
    <row r="1196" customHeight="1" spans="4:7">
      <c r="D1196" s="256">
        <v>46010</v>
      </c>
      <c r="E1196" s="257" t="s">
        <v>3996</v>
      </c>
      <c r="F1196" s="257" t="s">
        <v>4006</v>
      </c>
      <c r="G1196" s="257" t="s">
        <v>4007</v>
      </c>
    </row>
    <row r="1197" customHeight="1" spans="4:7">
      <c r="D1197" s="256">
        <v>46010</v>
      </c>
      <c r="E1197" s="257" t="s">
        <v>3996</v>
      </c>
      <c r="F1197" s="257" t="s">
        <v>4008</v>
      </c>
      <c r="G1197" s="257" t="s">
        <v>4009</v>
      </c>
    </row>
    <row r="1198" customHeight="1" spans="4:7">
      <c r="D1198" s="256">
        <v>46010</v>
      </c>
      <c r="E1198" s="257" t="s">
        <v>3996</v>
      </c>
      <c r="F1198" s="257" t="s">
        <v>4010</v>
      </c>
      <c r="G1198" s="257" t="s">
        <v>4011</v>
      </c>
    </row>
    <row r="1199" customHeight="1" spans="4:7">
      <c r="D1199" s="256">
        <v>46010</v>
      </c>
      <c r="E1199" s="257" t="s">
        <v>3996</v>
      </c>
      <c r="F1199" s="257" t="s">
        <v>4012</v>
      </c>
      <c r="G1199" s="257" t="s">
        <v>4013</v>
      </c>
    </row>
    <row r="1200" customHeight="1" spans="4:7">
      <c r="D1200" s="256">
        <v>46010</v>
      </c>
      <c r="E1200" s="257" t="s">
        <v>3996</v>
      </c>
      <c r="F1200" s="257" t="s">
        <v>4014</v>
      </c>
      <c r="G1200" s="257" t="s">
        <v>1866</v>
      </c>
    </row>
    <row r="1201" customHeight="1" spans="4:7">
      <c r="D1201" s="256">
        <v>46010</v>
      </c>
      <c r="E1201" s="257" t="s">
        <v>3996</v>
      </c>
      <c r="F1201" s="257" t="s">
        <v>4015</v>
      </c>
      <c r="G1201" s="257" t="s">
        <v>4016</v>
      </c>
    </row>
    <row r="1202" customHeight="1" spans="4:7">
      <c r="D1202" s="256">
        <v>46010</v>
      </c>
      <c r="E1202" s="257" t="s">
        <v>3996</v>
      </c>
      <c r="F1202" s="257" t="s">
        <v>4017</v>
      </c>
      <c r="G1202" s="257" t="s">
        <v>4018</v>
      </c>
    </row>
    <row r="1203" customHeight="1" spans="4:7">
      <c r="D1203" s="256">
        <v>46010</v>
      </c>
      <c r="E1203" s="257" t="s">
        <v>3996</v>
      </c>
      <c r="F1203" s="257" t="s">
        <v>4019</v>
      </c>
      <c r="G1203" s="257" t="s">
        <v>4020</v>
      </c>
    </row>
    <row r="1204" customHeight="1" spans="4:7">
      <c r="D1204" s="256">
        <v>46010</v>
      </c>
      <c r="E1204" s="257" t="s">
        <v>3996</v>
      </c>
      <c r="F1204" s="257" t="s">
        <v>4021</v>
      </c>
      <c r="G1204" s="257" t="s">
        <v>4022</v>
      </c>
    </row>
    <row r="1205" customHeight="1" spans="4:7">
      <c r="D1205" s="256">
        <v>46010</v>
      </c>
      <c r="E1205" s="257" t="s">
        <v>3996</v>
      </c>
      <c r="F1205" s="257" t="s">
        <v>4023</v>
      </c>
      <c r="G1205" s="257" t="s">
        <v>4024</v>
      </c>
    </row>
    <row r="1206" customHeight="1" spans="4:7">
      <c r="D1206" s="256">
        <v>46010</v>
      </c>
      <c r="E1206" s="257" t="s">
        <v>3996</v>
      </c>
      <c r="F1206" s="257" t="s">
        <v>4025</v>
      </c>
      <c r="G1206" s="257" t="s">
        <v>4026</v>
      </c>
    </row>
    <row r="1207" customHeight="1" spans="4:7">
      <c r="D1207" s="256">
        <v>52007</v>
      </c>
      <c r="E1207" s="257" t="s">
        <v>4027</v>
      </c>
      <c r="F1207" s="257" t="s">
        <v>4028</v>
      </c>
      <c r="G1207" s="257" t="s">
        <v>4029</v>
      </c>
    </row>
    <row r="1208" customHeight="1" spans="4:7">
      <c r="D1208" s="256">
        <v>52007</v>
      </c>
      <c r="E1208" s="257" t="s">
        <v>4027</v>
      </c>
      <c r="F1208" s="257" t="s">
        <v>4030</v>
      </c>
      <c r="G1208" s="257" t="s">
        <v>4031</v>
      </c>
    </row>
    <row r="1209" customHeight="1" spans="4:7">
      <c r="D1209" s="256">
        <v>52007</v>
      </c>
      <c r="E1209" s="257" t="s">
        <v>4027</v>
      </c>
      <c r="F1209" s="257" t="s">
        <v>4032</v>
      </c>
      <c r="G1209" s="257" t="s">
        <v>4033</v>
      </c>
    </row>
    <row r="1210" customHeight="1" spans="4:7">
      <c r="D1210" s="256">
        <v>52007</v>
      </c>
      <c r="E1210" s="257" t="s">
        <v>4027</v>
      </c>
      <c r="F1210" s="257" t="s">
        <v>4034</v>
      </c>
      <c r="G1210" s="257" t="s">
        <v>4035</v>
      </c>
    </row>
    <row r="1211" customHeight="1" spans="4:7">
      <c r="D1211" s="256">
        <v>52007</v>
      </c>
      <c r="E1211" s="257" t="s">
        <v>4027</v>
      </c>
      <c r="F1211" s="257" t="s">
        <v>4036</v>
      </c>
      <c r="G1211" s="257" t="s">
        <v>4037</v>
      </c>
    </row>
    <row r="1212" customHeight="1" spans="4:7">
      <c r="D1212" s="256">
        <v>52007</v>
      </c>
      <c r="E1212" s="257" t="s">
        <v>4027</v>
      </c>
      <c r="F1212" s="257" t="s">
        <v>4038</v>
      </c>
      <c r="G1212" s="257" t="s">
        <v>4039</v>
      </c>
    </row>
    <row r="1213" customHeight="1" spans="4:7">
      <c r="D1213" s="256">
        <v>52007</v>
      </c>
      <c r="E1213" s="257" t="s">
        <v>4027</v>
      </c>
      <c r="F1213" s="257" t="s">
        <v>4040</v>
      </c>
      <c r="G1213" s="257" t="s">
        <v>4041</v>
      </c>
    </row>
    <row r="1214" customHeight="1" spans="4:7">
      <c r="D1214" s="256">
        <v>52007</v>
      </c>
      <c r="E1214" s="257" t="s">
        <v>4027</v>
      </c>
      <c r="F1214" s="257" t="s">
        <v>4042</v>
      </c>
      <c r="G1214" s="257" t="s">
        <v>4043</v>
      </c>
    </row>
    <row r="1215" customHeight="1" spans="4:7">
      <c r="D1215" s="256">
        <v>52007</v>
      </c>
      <c r="E1215" s="257" t="s">
        <v>4027</v>
      </c>
      <c r="F1215" s="257" t="s">
        <v>4044</v>
      </c>
      <c r="G1215" s="257" t="s">
        <v>4045</v>
      </c>
    </row>
    <row r="1216" customHeight="1" spans="4:7">
      <c r="D1216" s="256">
        <v>52007</v>
      </c>
      <c r="E1216" s="257" t="s">
        <v>4027</v>
      </c>
      <c r="F1216" s="257" t="s">
        <v>4046</v>
      </c>
      <c r="G1216" s="257" t="s">
        <v>4047</v>
      </c>
    </row>
    <row r="1217" customHeight="1" spans="4:7">
      <c r="D1217" s="256">
        <v>52007</v>
      </c>
      <c r="E1217" s="257" t="s">
        <v>4027</v>
      </c>
      <c r="F1217" s="257" t="s">
        <v>4048</v>
      </c>
      <c r="G1217" s="257" t="s">
        <v>4049</v>
      </c>
    </row>
    <row r="1218" customHeight="1" spans="4:7">
      <c r="D1218" s="256">
        <v>52007</v>
      </c>
      <c r="E1218" s="257" t="s">
        <v>4027</v>
      </c>
      <c r="F1218" s="257" t="s">
        <v>4050</v>
      </c>
      <c r="G1218" s="257" t="s">
        <v>4051</v>
      </c>
    </row>
    <row r="1219" customHeight="1" spans="4:7">
      <c r="D1219" s="256">
        <v>51013</v>
      </c>
      <c r="E1219" s="257" t="s">
        <v>4052</v>
      </c>
      <c r="F1219" s="257" t="s">
        <v>4053</v>
      </c>
      <c r="G1219" s="257" t="s">
        <v>4054</v>
      </c>
    </row>
    <row r="1220" customHeight="1" spans="4:7">
      <c r="D1220" s="256">
        <v>51013</v>
      </c>
      <c r="E1220" s="257" t="s">
        <v>4052</v>
      </c>
      <c r="F1220" s="257" t="s">
        <v>4055</v>
      </c>
      <c r="G1220" s="257" t="s">
        <v>4056</v>
      </c>
    </row>
    <row r="1221" customHeight="1" spans="4:7">
      <c r="D1221" s="256">
        <v>51013</v>
      </c>
      <c r="E1221" s="257" t="s">
        <v>4052</v>
      </c>
      <c r="F1221" s="257" t="s">
        <v>4057</v>
      </c>
      <c r="G1221" s="257" t="s">
        <v>4058</v>
      </c>
    </row>
    <row r="1222" customHeight="1" spans="4:7">
      <c r="D1222" s="256">
        <v>51013</v>
      </c>
      <c r="E1222" s="257" t="s">
        <v>4052</v>
      </c>
      <c r="F1222" s="257" t="s">
        <v>4059</v>
      </c>
      <c r="G1222" s="257" t="s">
        <v>4060</v>
      </c>
    </row>
    <row r="1223" customHeight="1" spans="4:7">
      <c r="D1223" s="256">
        <v>51013</v>
      </c>
      <c r="E1223" s="257" t="s">
        <v>4052</v>
      </c>
      <c r="F1223" s="257" t="s">
        <v>4061</v>
      </c>
      <c r="G1223" s="257" t="s">
        <v>4062</v>
      </c>
    </row>
    <row r="1224" customHeight="1" spans="4:7">
      <c r="D1224" s="256">
        <v>51013</v>
      </c>
      <c r="E1224" s="257" t="s">
        <v>4052</v>
      </c>
      <c r="F1224" s="257" t="s">
        <v>4063</v>
      </c>
      <c r="G1224" s="257" t="s">
        <v>4064</v>
      </c>
    </row>
    <row r="1225" customHeight="1" spans="4:7">
      <c r="D1225" s="256">
        <v>51013</v>
      </c>
      <c r="E1225" s="257" t="s">
        <v>4052</v>
      </c>
      <c r="F1225" s="257" t="s">
        <v>4065</v>
      </c>
      <c r="G1225" s="257" t="s">
        <v>4066</v>
      </c>
    </row>
    <row r="1226" customHeight="1" spans="4:7">
      <c r="D1226" s="256">
        <v>51013</v>
      </c>
      <c r="E1226" s="257" t="s">
        <v>4052</v>
      </c>
      <c r="F1226" s="257" t="s">
        <v>4067</v>
      </c>
      <c r="G1226" s="257" t="s">
        <v>4068</v>
      </c>
    </row>
    <row r="1227" customHeight="1" spans="4:7">
      <c r="D1227" s="256">
        <v>51013</v>
      </c>
      <c r="E1227" s="257" t="s">
        <v>4052</v>
      </c>
      <c r="F1227" s="257" t="s">
        <v>4069</v>
      </c>
      <c r="G1227" s="257" t="s">
        <v>4070</v>
      </c>
    </row>
    <row r="1228" customHeight="1" spans="4:7">
      <c r="D1228" s="256">
        <v>51013</v>
      </c>
      <c r="E1228" s="257" t="s">
        <v>4052</v>
      </c>
      <c r="F1228" s="257" t="s">
        <v>4071</v>
      </c>
      <c r="G1228" s="257" t="s">
        <v>4072</v>
      </c>
    </row>
    <row r="1229" customHeight="1" spans="4:7">
      <c r="D1229" s="256">
        <v>51013</v>
      </c>
      <c r="E1229" s="257" t="s">
        <v>4052</v>
      </c>
      <c r="F1229" s="257" t="s">
        <v>4073</v>
      </c>
      <c r="G1229" s="257" t="s">
        <v>4074</v>
      </c>
    </row>
    <row r="1230" customHeight="1" spans="4:7">
      <c r="D1230" s="256">
        <v>51013</v>
      </c>
      <c r="E1230" s="257" t="s">
        <v>4052</v>
      </c>
      <c r="F1230" s="257" t="s">
        <v>4075</v>
      </c>
      <c r="G1230" s="257" t="s">
        <v>4076</v>
      </c>
    </row>
    <row r="1231" customHeight="1" spans="4:7">
      <c r="D1231" s="256">
        <v>51013</v>
      </c>
      <c r="E1231" s="257" t="s">
        <v>4052</v>
      </c>
      <c r="F1231" s="257" t="s">
        <v>4077</v>
      </c>
      <c r="G1231" s="257" t="s">
        <v>4078</v>
      </c>
    </row>
    <row r="1232" customHeight="1" spans="4:7">
      <c r="D1232" s="256">
        <v>51013</v>
      </c>
      <c r="E1232" s="257" t="s">
        <v>4052</v>
      </c>
      <c r="F1232" s="257" t="s">
        <v>4079</v>
      </c>
      <c r="G1232" s="257" t="s">
        <v>4080</v>
      </c>
    </row>
    <row r="1233" customHeight="1" spans="4:7">
      <c r="D1233" s="256">
        <v>51013</v>
      </c>
      <c r="E1233" s="257" t="s">
        <v>4052</v>
      </c>
      <c r="F1233" s="257" t="s">
        <v>4081</v>
      </c>
      <c r="G1233" s="257" t="s">
        <v>3531</v>
      </c>
    </row>
    <row r="1234" customHeight="1" spans="4:7">
      <c r="D1234" s="256">
        <v>51013</v>
      </c>
      <c r="E1234" s="257" t="s">
        <v>4052</v>
      </c>
      <c r="F1234" s="257" t="s">
        <v>4082</v>
      </c>
      <c r="G1234" s="257" t="s">
        <v>4083</v>
      </c>
    </row>
    <row r="1235" customHeight="1" spans="4:7">
      <c r="D1235" s="256">
        <v>51013</v>
      </c>
      <c r="E1235" s="257" t="s">
        <v>4052</v>
      </c>
      <c r="F1235" s="257" t="s">
        <v>4084</v>
      </c>
      <c r="G1235" s="257" t="s">
        <v>1409</v>
      </c>
    </row>
    <row r="1236" customHeight="1" spans="4:7">
      <c r="D1236" s="256">
        <v>51013</v>
      </c>
      <c r="E1236" s="257" t="s">
        <v>4052</v>
      </c>
      <c r="F1236" s="257" t="s">
        <v>4085</v>
      </c>
      <c r="G1236" s="257" t="s">
        <v>4086</v>
      </c>
    </row>
    <row r="1237" customHeight="1" spans="4:7">
      <c r="D1237" s="256">
        <v>51013</v>
      </c>
      <c r="E1237" s="257" t="s">
        <v>4052</v>
      </c>
      <c r="F1237" s="257" t="s">
        <v>4087</v>
      </c>
      <c r="G1237" s="257" t="s">
        <v>4088</v>
      </c>
    </row>
    <row r="1238" customHeight="1" spans="4:7">
      <c r="D1238" s="256">
        <v>51013</v>
      </c>
      <c r="E1238" s="257" t="s">
        <v>4052</v>
      </c>
      <c r="F1238" s="257" t="s">
        <v>4089</v>
      </c>
      <c r="G1238" s="257" t="s">
        <v>4090</v>
      </c>
    </row>
    <row r="1239" customHeight="1" spans="4:7">
      <c r="D1239" s="256">
        <v>51013</v>
      </c>
      <c r="E1239" s="257" t="s">
        <v>4052</v>
      </c>
      <c r="F1239" s="257" t="s">
        <v>4091</v>
      </c>
      <c r="G1239" s="257" t="s">
        <v>4092</v>
      </c>
    </row>
    <row r="1240" customHeight="1" spans="4:7">
      <c r="D1240" s="256">
        <v>51013</v>
      </c>
      <c r="E1240" s="257" t="s">
        <v>4052</v>
      </c>
      <c r="F1240" s="257" t="s">
        <v>4093</v>
      </c>
      <c r="G1240" s="257" t="s">
        <v>2675</v>
      </c>
    </row>
    <row r="1241" customHeight="1" spans="4:7">
      <c r="D1241" s="256">
        <v>51013</v>
      </c>
      <c r="E1241" s="257" t="s">
        <v>4052</v>
      </c>
      <c r="F1241" s="257" t="s">
        <v>4094</v>
      </c>
      <c r="G1241" s="257" t="s">
        <v>4095</v>
      </c>
    </row>
    <row r="1242" customHeight="1" spans="4:7">
      <c r="D1242" s="256">
        <v>51013</v>
      </c>
      <c r="E1242" s="257" t="s">
        <v>4052</v>
      </c>
      <c r="F1242" s="257" t="s">
        <v>4096</v>
      </c>
      <c r="G1242" s="257" t="s">
        <v>4097</v>
      </c>
    </row>
    <row r="1243" customHeight="1" spans="4:7">
      <c r="D1243" s="256">
        <v>51013</v>
      </c>
      <c r="E1243" s="257" t="s">
        <v>4052</v>
      </c>
      <c r="F1243" s="257" t="s">
        <v>4098</v>
      </c>
      <c r="G1243" s="257" t="s">
        <v>4099</v>
      </c>
    </row>
    <row r="1244" customHeight="1" spans="4:7">
      <c r="D1244" s="256">
        <v>49007</v>
      </c>
      <c r="E1244" s="257" t="s">
        <v>4100</v>
      </c>
      <c r="F1244" s="257" t="s">
        <v>4101</v>
      </c>
      <c r="G1244" s="257" t="s">
        <v>4102</v>
      </c>
    </row>
    <row r="1245" customHeight="1" spans="4:7">
      <c r="D1245" s="256">
        <v>49007</v>
      </c>
      <c r="E1245" s="257" t="s">
        <v>4100</v>
      </c>
      <c r="F1245" s="257" t="s">
        <v>4103</v>
      </c>
      <c r="G1245" s="257" t="s">
        <v>4104</v>
      </c>
    </row>
    <row r="1246" customHeight="1" spans="4:7">
      <c r="D1246" s="256">
        <v>49007</v>
      </c>
      <c r="E1246" s="257" t="s">
        <v>4100</v>
      </c>
      <c r="F1246" s="257" t="s">
        <v>4105</v>
      </c>
      <c r="G1246" s="257" t="s">
        <v>4106</v>
      </c>
    </row>
    <row r="1247" customHeight="1" spans="4:7">
      <c r="D1247" s="256">
        <v>49007</v>
      </c>
      <c r="E1247" s="257" t="s">
        <v>4100</v>
      </c>
      <c r="F1247" s="257" t="s">
        <v>4107</v>
      </c>
      <c r="G1247" s="257" t="s">
        <v>4108</v>
      </c>
    </row>
    <row r="1248" customHeight="1" spans="4:7">
      <c r="D1248" s="256">
        <v>49007</v>
      </c>
      <c r="E1248" s="257" t="s">
        <v>4100</v>
      </c>
      <c r="F1248" s="257" t="s">
        <v>4109</v>
      </c>
      <c r="G1248" s="257" t="s">
        <v>4110</v>
      </c>
    </row>
    <row r="1249" customHeight="1" spans="4:7">
      <c r="D1249" s="256">
        <v>49007</v>
      </c>
      <c r="E1249" s="257" t="s">
        <v>4100</v>
      </c>
      <c r="F1249" s="257" t="s">
        <v>4111</v>
      </c>
      <c r="G1249" s="257" t="s">
        <v>4112</v>
      </c>
    </row>
    <row r="1250" customHeight="1" spans="4:7">
      <c r="D1250" s="256">
        <v>49007</v>
      </c>
      <c r="E1250" s="257" t="s">
        <v>4100</v>
      </c>
      <c r="F1250" s="257" t="s">
        <v>4113</v>
      </c>
      <c r="G1250" s="257" t="s">
        <v>4114</v>
      </c>
    </row>
    <row r="1251" customHeight="1" spans="4:7">
      <c r="D1251" s="256">
        <v>49007</v>
      </c>
      <c r="E1251" s="257" t="s">
        <v>4100</v>
      </c>
      <c r="F1251" s="257" t="s">
        <v>4115</v>
      </c>
      <c r="G1251" s="257" t="s">
        <v>4116</v>
      </c>
    </row>
    <row r="1252" customHeight="1" spans="4:7">
      <c r="D1252" s="256">
        <v>49007</v>
      </c>
      <c r="E1252" s="257" t="s">
        <v>4100</v>
      </c>
      <c r="F1252" s="257" t="s">
        <v>4117</v>
      </c>
      <c r="G1252" s="257" t="s">
        <v>4118</v>
      </c>
    </row>
    <row r="1253" customHeight="1" spans="4:7">
      <c r="D1253" s="256">
        <v>49007</v>
      </c>
      <c r="E1253" s="257" t="s">
        <v>4100</v>
      </c>
      <c r="F1253" s="257" t="s">
        <v>4119</v>
      </c>
      <c r="G1253" s="257" t="s">
        <v>4120</v>
      </c>
    </row>
    <row r="1254" customHeight="1" spans="4:7">
      <c r="D1254" s="256">
        <v>48011</v>
      </c>
      <c r="E1254" s="257" t="s">
        <v>4121</v>
      </c>
      <c r="F1254" s="257" t="s">
        <v>4122</v>
      </c>
      <c r="G1254" s="257" t="s">
        <v>4123</v>
      </c>
    </row>
    <row r="1255" customHeight="1" spans="4:7">
      <c r="D1255" s="256">
        <v>48011</v>
      </c>
      <c r="E1255" s="257" t="s">
        <v>4121</v>
      </c>
      <c r="F1255" s="257" t="s">
        <v>4124</v>
      </c>
      <c r="G1255" s="257" t="s">
        <v>4125</v>
      </c>
    </row>
    <row r="1256" customHeight="1" spans="4:7">
      <c r="D1256" s="256">
        <v>48011</v>
      </c>
      <c r="E1256" s="257" t="s">
        <v>4121</v>
      </c>
      <c r="F1256" s="257" t="s">
        <v>4126</v>
      </c>
      <c r="G1256" s="257" t="s">
        <v>4127</v>
      </c>
    </row>
    <row r="1257" customHeight="1" spans="4:7">
      <c r="D1257" s="256">
        <v>48011</v>
      </c>
      <c r="E1257" s="257" t="s">
        <v>4121</v>
      </c>
      <c r="F1257" s="257" t="s">
        <v>4128</v>
      </c>
      <c r="G1257" s="257" t="s">
        <v>4129</v>
      </c>
    </row>
    <row r="1258" customHeight="1" spans="4:7">
      <c r="D1258" s="256">
        <v>48011</v>
      </c>
      <c r="E1258" s="257" t="s">
        <v>4121</v>
      </c>
      <c r="F1258" s="257" t="s">
        <v>4130</v>
      </c>
      <c r="G1258" s="257" t="s">
        <v>4131</v>
      </c>
    </row>
    <row r="1259" customHeight="1" spans="4:7">
      <c r="D1259" s="256">
        <v>48011</v>
      </c>
      <c r="E1259" s="257" t="s">
        <v>4121</v>
      </c>
      <c r="F1259" s="257" t="s">
        <v>4132</v>
      </c>
      <c r="G1259" s="257" t="s">
        <v>4133</v>
      </c>
    </row>
    <row r="1260" customHeight="1" spans="4:7">
      <c r="D1260" s="256">
        <v>48011</v>
      </c>
      <c r="E1260" s="257" t="s">
        <v>4121</v>
      </c>
      <c r="F1260" s="257" t="s">
        <v>4134</v>
      </c>
      <c r="G1260" s="257" t="s">
        <v>4135</v>
      </c>
    </row>
    <row r="1261" customHeight="1" spans="4:7">
      <c r="D1261" s="256">
        <v>48011</v>
      </c>
      <c r="E1261" s="257" t="s">
        <v>4121</v>
      </c>
      <c r="F1261" s="257" t="s">
        <v>4136</v>
      </c>
      <c r="G1261" s="257" t="s">
        <v>4137</v>
      </c>
    </row>
    <row r="1262" customHeight="1" spans="4:7">
      <c r="D1262" s="256">
        <v>48011</v>
      </c>
      <c r="E1262" s="257" t="s">
        <v>4121</v>
      </c>
      <c r="F1262" s="257" t="s">
        <v>4138</v>
      </c>
      <c r="G1262" s="257" t="s">
        <v>4139</v>
      </c>
    </row>
    <row r="1263" customHeight="1" spans="4:7">
      <c r="D1263" s="256">
        <v>48011</v>
      </c>
      <c r="E1263" s="257" t="s">
        <v>4121</v>
      </c>
      <c r="F1263" s="257" t="s">
        <v>4140</v>
      </c>
      <c r="G1263" s="257" t="s">
        <v>4141</v>
      </c>
    </row>
    <row r="1264" customHeight="1" spans="4:7">
      <c r="D1264" s="256">
        <v>48011</v>
      </c>
      <c r="E1264" s="257" t="s">
        <v>4121</v>
      </c>
      <c r="F1264" s="257" t="s">
        <v>4142</v>
      </c>
      <c r="G1264" s="257" t="s">
        <v>4143</v>
      </c>
    </row>
    <row r="1265" customHeight="1" spans="4:7">
      <c r="D1265" s="256">
        <v>48011</v>
      </c>
      <c r="E1265" s="257" t="s">
        <v>4121</v>
      </c>
      <c r="F1265" s="257" t="s">
        <v>4144</v>
      </c>
      <c r="G1265" s="257" t="s">
        <v>4145</v>
      </c>
    </row>
    <row r="1266" customHeight="1" spans="4:7">
      <c r="D1266" s="256">
        <v>48011</v>
      </c>
      <c r="E1266" s="257" t="s">
        <v>4121</v>
      </c>
      <c r="F1266" s="257" t="s">
        <v>4146</v>
      </c>
      <c r="G1266" s="257" t="s">
        <v>4147</v>
      </c>
    </row>
    <row r="1267" customHeight="1" spans="4:7">
      <c r="D1267" s="256">
        <v>48011</v>
      </c>
      <c r="E1267" s="257" t="s">
        <v>4121</v>
      </c>
      <c r="F1267" s="257" t="s">
        <v>4148</v>
      </c>
      <c r="G1267" s="257" t="s">
        <v>2363</v>
      </c>
    </row>
    <row r="1268" customHeight="1" spans="4:7">
      <c r="D1268" s="256">
        <v>48011</v>
      </c>
      <c r="E1268" s="257" t="s">
        <v>4121</v>
      </c>
      <c r="F1268" s="257" t="s">
        <v>4149</v>
      </c>
      <c r="G1268" s="257" t="s">
        <v>4150</v>
      </c>
    </row>
    <row r="1269" customHeight="1" spans="4:7">
      <c r="D1269" s="256">
        <v>48011</v>
      </c>
      <c r="E1269" s="257" t="s">
        <v>4121</v>
      </c>
      <c r="F1269" s="257" t="s">
        <v>4151</v>
      </c>
      <c r="G1269" s="257" t="s">
        <v>4152</v>
      </c>
    </row>
    <row r="1270" customHeight="1" spans="4:7">
      <c r="D1270" s="256">
        <v>48011</v>
      </c>
      <c r="E1270" s="257" t="s">
        <v>4121</v>
      </c>
      <c r="F1270" s="257" t="s">
        <v>4153</v>
      </c>
      <c r="G1270" s="257" t="s">
        <v>4154</v>
      </c>
    </row>
    <row r="1271" customHeight="1" spans="4:7">
      <c r="D1271" s="256">
        <v>48011</v>
      </c>
      <c r="E1271" s="257" t="s">
        <v>4121</v>
      </c>
      <c r="F1271" s="257" t="s">
        <v>4155</v>
      </c>
      <c r="G1271" s="257" t="s">
        <v>4156</v>
      </c>
    </row>
    <row r="1272" customHeight="1" spans="4:7">
      <c r="D1272" s="256">
        <v>48011</v>
      </c>
      <c r="E1272" s="257" t="s">
        <v>4121</v>
      </c>
      <c r="F1272" s="257" t="s">
        <v>4157</v>
      </c>
      <c r="G1272" s="257" t="s">
        <v>4158</v>
      </c>
    </row>
    <row r="1273" customHeight="1" spans="4:7">
      <c r="D1273" s="256">
        <v>48011</v>
      </c>
      <c r="E1273" s="257" t="s">
        <v>4121</v>
      </c>
      <c r="F1273" s="257" t="s">
        <v>4159</v>
      </c>
      <c r="G1273" s="257" t="s">
        <v>4160</v>
      </c>
    </row>
    <row r="1274" customHeight="1" spans="4:7">
      <c r="D1274" s="256">
        <v>48011</v>
      </c>
      <c r="E1274" s="257" t="s">
        <v>4121</v>
      </c>
      <c r="F1274" s="257" t="s">
        <v>4161</v>
      </c>
      <c r="G1274" s="257" t="s">
        <v>4162</v>
      </c>
    </row>
    <row r="1275" customHeight="1" spans="4:7">
      <c r="D1275" s="256">
        <v>48011</v>
      </c>
      <c r="E1275" s="257" t="s">
        <v>4121</v>
      </c>
      <c r="F1275" s="257" t="s">
        <v>4163</v>
      </c>
      <c r="G1275" s="257" t="s">
        <v>4164</v>
      </c>
    </row>
    <row r="1276" customHeight="1" spans="4:7">
      <c r="D1276" s="256">
        <v>48011</v>
      </c>
      <c r="E1276" s="257" t="s">
        <v>4121</v>
      </c>
      <c r="F1276" s="257" t="s">
        <v>4165</v>
      </c>
      <c r="G1276" s="257" t="s">
        <v>4166</v>
      </c>
    </row>
    <row r="1277" customHeight="1" spans="4:7">
      <c r="D1277" s="256">
        <v>48011</v>
      </c>
      <c r="E1277" s="257" t="s">
        <v>4121</v>
      </c>
      <c r="F1277" s="257" t="s">
        <v>4167</v>
      </c>
      <c r="G1277" s="257" t="s">
        <v>4168</v>
      </c>
    </row>
    <row r="1278" customHeight="1" spans="4:7">
      <c r="D1278" s="256">
        <v>48011</v>
      </c>
      <c r="E1278" s="257" t="s">
        <v>4121</v>
      </c>
      <c r="F1278" s="257" t="s">
        <v>4169</v>
      </c>
      <c r="G1278" s="257" t="s">
        <v>4170</v>
      </c>
    </row>
    <row r="1279" customHeight="1" spans="4:7">
      <c r="D1279" s="256">
        <v>48011</v>
      </c>
      <c r="E1279" s="257" t="s">
        <v>4121</v>
      </c>
      <c r="F1279" s="257" t="s">
        <v>4171</v>
      </c>
      <c r="G1279" s="257" t="s">
        <v>4172</v>
      </c>
    </row>
    <row r="1280" customHeight="1" spans="4:7">
      <c r="D1280" s="256">
        <v>48011</v>
      </c>
      <c r="E1280" s="257" t="s">
        <v>4121</v>
      </c>
      <c r="F1280" s="257" t="s">
        <v>4173</v>
      </c>
      <c r="G1280" s="257" t="s">
        <v>4174</v>
      </c>
    </row>
    <row r="1281" customHeight="1" spans="4:7">
      <c r="D1281" s="256">
        <v>48011</v>
      </c>
      <c r="E1281" s="257" t="s">
        <v>4121</v>
      </c>
      <c r="F1281" s="257" t="s">
        <v>4175</v>
      </c>
      <c r="G1281" s="257" t="s">
        <v>4176</v>
      </c>
    </row>
    <row r="1282" customHeight="1" spans="4:7">
      <c r="D1282" s="256">
        <v>48011</v>
      </c>
      <c r="E1282" s="257" t="s">
        <v>4121</v>
      </c>
      <c r="F1282" s="257" t="s">
        <v>4177</v>
      </c>
      <c r="G1282" s="257" t="s">
        <v>4178</v>
      </c>
    </row>
    <row r="1283" customHeight="1" spans="4:7">
      <c r="D1283" s="256">
        <v>48012</v>
      </c>
      <c r="E1283" s="257" t="s">
        <v>4179</v>
      </c>
      <c r="F1283" s="257" t="s">
        <v>4180</v>
      </c>
      <c r="G1283" s="257" t="s">
        <v>4181</v>
      </c>
    </row>
    <row r="1284" customHeight="1" spans="4:7">
      <c r="D1284" s="256">
        <v>48012</v>
      </c>
      <c r="E1284" s="257" t="s">
        <v>4179</v>
      </c>
      <c r="F1284" s="257" t="s">
        <v>4182</v>
      </c>
      <c r="G1284" s="257" t="s">
        <v>4183</v>
      </c>
    </row>
    <row r="1285" customHeight="1" spans="4:7">
      <c r="D1285" s="256">
        <v>48012</v>
      </c>
      <c r="E1285" s="257" t="s">
        <v>4179</v>
      </c>
      <c r="F1285" s="257" t="s">
        <v>4184</v>
      </c>
      <c r="G1285" s="257" t="s">
        <v>4185</v>
      </c>
    </row>
    <row r="1286" customHeight="1" spans="4:7">
      <c r="D1286" s="256">
        <v>48012</v>
      </c>
      <c r="E1286" s="257" t="s">
        <v>4179</v>
      </c>
      <c r="F1286" s="257" t="s">
        <v>4186</v>
      </c>
      <c r="G1286" s="257" t="s">
        <v>4187</v>
      </c>
    </row>
    <row r="1287" customHeight="1" spans="4:7">
      <c r="D1287" s="256">
        <v>48012</v>
      </c>
      <c r="E1287" s="257" t="s">
        <v>4179</v>
      </c>
      <c r="F1287" s="257" t="s">
        <v>4188</v>
      </c>
      <c r="G1287" s="257" t="s">
        <v>4189</v>
      </c>
    </row>
    <row r="1288" customHeight="1" spans="4:7">
      <c r="D1288" s="256">
        <v>48012</v>
      </c>
      <c r="E1288" s="257" t="s">
        <v>4179</v>
      </c>
      <c r="F1288" s="257" t="s">
        <v>4190</v>
      </c>
      <c r="G1288" s="257" t="s">
        <v>4191</v>
      </c>
    </row>
    <row r="1289" customHeight="1" spans="4:7">
      <c r="D1289" s="256">
        <v>48012</v>
      </c>
      <c r="E1289" s="257" t="s">
        <v>4179</v>
      </c>
      <c r="F1289" s="257" t="s">
        <v>4192</v>
      </c>
      <c r="G1289" s="257" t="s">
        <v>4193</v>
      </c>
    </row>
    <row r="1290" customHeight="1" spans="4:7">
      <c r="D1290" s="256">
        <v>48012</v>
      </c>
      <c r="E1290" s="257" t="s">
        <v>4179</v>
      </c>
      <c r="F1290" s="257" t="s">
        <v>4194</v>
      </c>
      <c r="G1290" s="257" t="s">
        <v>4195</v>
      </c>
    </row>
    <row r="1291" customHeight="1" spans="4:7">
      <c r="D1291" s="256">
        <v>48012</v>
      </c>
      <c r="E1291" s="257" t="s">
        <v>4179</v>
      </c>
      <c r="F1291" s="257" t="s">
        <v>4196</v>
      </c>
      <c r="G1291" s="257" t="s">
        <v>4197</v>
      </c>
    </row>
    <row r="1292" customHeight="1" spans="4:7">
      <c r="D1292" s="256">
        <v>48012</v>
      </c>
      <c r="E1292" s="257" t="s">
        <v>4179</v>
      </c>
      <c r="F1292" s="257" t="s">
        <v>4198</v>
      </c>
      <c r="G1292" s="257" t="s">
        <v>4199</v>
      </c>
    </row>
    <row r="1293" customHeight="1" spans="4:7">
      <c r="D1293" s="256">
        <v>48012</v>
      </c>
      <c r="E1293" s="257" t="s">
        <v>4179</v>
      </c>
      <c r="F1293" s="257" t="s">
        <v>4200</v>
      </c>
      <c r="G1293" s="257" t="s">
        <v>3181</v>
      </c>
    </row>
    <row r="1294" customHeight="1" spans="4:7">
      <c r="D1294" s="256">
        <v>48012</v>
      </c>
      <c r="E1294" s="257" t="s">
        <v>4179</v>
      </c>
      <c r="F1294" s="257" t="s">
        <v>4201</v>
      </c>
      <c r="G1294" s="257" t="s">
        <v>4202</v>
      </c>
    </row>
    <row r="1295" customHeight="1" spans="4:7">
      <c r="D1295" s="256">
        <v>48012</v>
      </c>
      <c r="E1295" s="257" t="s">
        <v>4179</v>
      </c>
      <c r="F1295" s="257" t="s">
        <v>4203</v>
      </c>
      <c r="G1295" s="257" t="s">
        <v>4204</v>
      </c>
    </row>
    <row r="1296" customHeight="1" spans="4:7">
      <c r="D1296" s="256">
        <v>48012</v>
      </c>
      <c r="E1296" s="257" t="s">
        <v>4179</v>
      </c>
      <c r="F1296" s="257" t="s">
        <v>4205</v>
      </c>
      <c r="G1296" s="257" t="s">
        <v>4206</v>
      </c>
    </row>
    <row r="1297" customHeight="1" spans="4:7">
      <c r="D1297" s="256">
        <v>48012</v>
      </c>
      <c r="E1297" s="257" t="s">
        <v>4179</v>
      </c>
      <c r="F1297" s="257" t="s">
        <v>4207</v>
      </c>
      <c r="G1297" s="257" t="s">
        <v>4208</v>
      </c>
    </row>
    <row r="1298" customHeight="1" spans="4:7">
      <c r="D1298" s="256">
        <v>48012</v>
      </c>
      <c r="E1298" s="257" t="s">
        <v>4179</v>
      </c>
      <c r="F1298" s="257" t="s">
        <v>4209</v>
      </c>
      <c r="G1298" s="257" t="s">
        <v>2302</v>
      </c>
    </row>
    <row r="1299" customHeight="1" spans="4:7">
      <c r="D1299" s="256">
        <v>48012</v>
      </c>
      <c r="E1299" s="257" t="s">
        <v>4179</v>
      </c>
      <c r="F1299" s="257" t="s">
        <v>4210</v>
      </c>
      <c r="G1299" s="257" t="s">
        <v>4211</v>
      </c>
    </row>
    <row r="1300" customHeight="1" spans="4:7">
      <c r="D1300" s="256">
        <v>48012</v>
      </c>
      <c r="E1300" s="257" t="s">
        <v>4179</v>
      </c>
      <c r="F1300" s="257" t="s">
        <v>4212</v>
      </c>
      <c r="G1300" s="257" t="s">
        <v>4213</v>
      </c>
    </row>
    <row r="1301" customHeight="1" spans="4:7">
      <c r="D1301" s="256">
        <v>48012</v>
      </c>
      <c r="E1301" s="257" t="s">
        <v>4179</v>
      </c>
      <c r="F1301" s="257" t="s">
        <v>4214</v>
      </c>
      <c r="G1301" s="257" t="s">
        <v>4215</v>
      </c>
    </row>
    <row r="1302" customHeight="1" spans="4:7">
      <c r="D1302" s="256">
        <v>48012</v>
      </c>
      <c r="E1302" s="257" t="s">
        <v>4179</v>
      </c>
      <c r="F1302" s="257" t="s">
        <v>4216</v>
      </c>
      <c r="G1302" s="257" t="s">
        <v>4217</v>
      </c>
    </row>
    <row r="1303" customHeight="1" spans="4:7">
      <c r="D1303" s="256">
        <v>48012</v>
      </c>
      <c r="E1303" s="257" t="s">
        <v>4179</v>
      </c>
      <c r="F1303" s="257" t="s">
        <v>4218</v>
      </c>
      <c r="G1303" s="257" t="s">
        <v>4219</v>
      </c>
    </row>
    <row r="1304" customHeight="1" spans="4:7">
      <c r="D1304" s="256">
        <v>48012</v>
      </c>
      <c r="E1304" s="257" t="s">
        <v>4179</v>
      </c>
      <c r="F1304" s="257" t="s">
        <v>4220</v>
      </c>
      <c r="G1304" s="257" t="s">
        <v>4221</v>
      </c>
    </row>
    <row r="1305" customHeight="1" spans="4:7">
      <c r="D1305" s="256">
        <v>48012</v>
      </c>
      <c r="E1305" s="257" t="s">
        <v>4179</v>
      </c>
      <c r="F1305" s="257" t="s">
        <v>4222</v>
      </c>
      <c r="G1305" s="257" t="s">
        <v>2531</v>
      </c>
    </row>
    <row r="1306" customHeight="1" spans="4:7">
      <c r="D1306" s="256">
        <v>48012</v>
      </c>
      <c r="E1306" s="257" t="s">
        <v>4179</v>
      </c>
      <c r="F1306" s="257" t="s">
        <v>4223</v>
      </c>
      <c r="G1306" s="257" t="s">
        <v>2906</v>
      </c>
    </row>
    <row r="1307" customHeight="1" spans="4:7">
      <c r="D1307" s="256">
        <v>48012</v>
      </c>
      <c r="E1307" s="257" t="s">
        <v>4179</v>
      </c>
      <c r="F1307" s="257" t="s">
        <v>4224</v>
      </c>
      <c r="G1307" s="257" t="s">
        <v>4225</v>
      </c>
    </row>
    <row r="1308" customHeight="1" spans="4:7">
      <c r="D1308" s="256">
        <v>48012</v>
      </c>
      <c r="E1308" s="257" t="s">
        <v>4179</v>
      </c>
      <c r="F1308" s="257" t="s">
        <v>4226</v>
      </c>
      <c r="G1308" s="257" t="s">
        <v>4227</v>
      </c>
    </row>
    <row r="1309" customHeight="1" spans="4:7">
      <c r="D1309" s="256">
        <v>48012</v>
      </c>
      <c r="E1309" s="257" t="s">
        <v>4179</v>
      </c>
      <c r="F1309" s="257" t="s">
        <v>4228</v>
      </c>
      <c r="G1309" s="257" t="s">
        <v>4229</v>
      </c>
    </row>
    <row r="1310" customHeight="1" spans="4:7">
      <c r="D1310" s="256">
        <v>48012</v>
      </c>
      <c r="E1310" s="257" t="s">
        <v>4179</v>
      </c>
      <c r="F1310" s="257" t="s">
        <v>4230</v>
      </c>
      <c r="G1310" s="257" t="s">
        <v>4231</v>
      </c>
    </row>
    <row r="1311" customHeight="1" spans="4:7">
      <c r="D1311" s="256">
        <v>52008</v>
      </c>
      <c r="E1311" s="257" t="s">
        <v>4232</v>
      </c>
      <c r="F1311" s="257" t="s">
        <v>4233</v>
      </c>
      <c r="G1311" s="257" t="s">
        <v>4234</v>
      </c>
    </row>
    <row r="1312" customHeight="1" spans="4:7">
      <c r="D1312" s="256">
        <v>52008</v>
      </c>
      <c r="E1312" s="257" t="s">
        <v>4232</v>
      </c>
      <c r="F1312" s="257" t="s">
        <v>4235</v>
      </c>
      <c r="G1312" s="257" t="s">
        <v>4236</v>
      </c>
    </row>
    <row r="1313" customHeight="1" spans="4:7">
      <c r="D1313" s="256">
        <v>52008</v>
      </c>
      <c r="E1313" s="257" t="s">
        <v>4232</v>
      </c>
      <c r="F1313" s="257" t="s">
        <v>4237</v>
      </c>
      <c r="G1313" s="257" t="s">
        <v>4238</v>
      </c>
    </row>
    <row r="1314" customHeight="1" spans="4:7">
      <c r="D1314" s="256">
        <v>52008</v>
      </c>
      <c r="E1314" s="257" t="s">
        <v>4232</v>
      </c>
      <c r="F1314" s="257" t="s">
        <v>4239</v>
      </c>
      <c r="G1314" s="257" t="s">
        <v>4240</v>
      </c>
    </row>
    <row r="1315" customHeight="1" spans="4:7">
      <c r="D1315" s="256">
        <v>52008</v>
      </c>
      <c r="E1315" s="257" t="s">
        <v>4232</v>
      </c>
      <c r="F1315" s="257" t="s">
        <v>4241</v>
      </c>
      <c r="G1315" s="257" t="s">
        <v>4242</v>
      </c>
    </row>
    <row r="1316" customHeight="1" spans="4:7">
      <c r="D1316" s="256">
        <v>52008</v>
      </c>
      <c r="E1316" s="257" t="s">
        <v>4232</v>
      </c>
      <c r="F1316" s="257" t="s">
        <v>4243</v>
      </c>
      <c r="G1316" s="257" t="s">
        <v>4244</v>
      </c>
    </row>
    <row r="1317" customHeight="1" spans="4:7">
      <c r="D1317" s="256">
        <v>52009</v>
      </c>
      <c r="E1317" s="257" t="s">
        <v>4245</v>
      </c>
      <c r="F1317" s="257" t="s">
        <v>4246</v>
      </c>
      <c r="G1317" s="257" t="s">
        <v>4247</v>
      </c>
    </row>
    <row r="1318" customHeight="1" spans="4:7">
      <c r="D1318" s="256">
        <v>52009</v>
      </c>
      <c r="E1318" s="257" t="s">
        <v>4245</v>
      </c>
      <c r="F1318" s="257" t="s">
        <v>4248</v>
      </c>
      <c r="G1318" s="257" t="s">
        <v>4249</v>
      </c>
    </row>
    <row r="1319" customHeight="1" spans="4:7">
      <c r="D1319" s="256">
        <v>50012</v>
      </c>
      <c r="E1319" s="257" t="s">
        <v>4250</v>
      </c>
      <c r="F1319" s="257" t="s">
        <v>4251</v>
      </c>
      <c r="G1319" s="257" t="s">
        <v>4252</v>
      </c>
    </row>
    <row r="1320" customHeight="1" spans="4:7">
      <c r="D1320" s="256">
        <v>50012</v>
      </c>
      <c r="E1320" s="257" t="s">
        <v>4250</v>
      </c>
      <c r="F1320" s="257" t="s">
        <v>4253</v>
      </c>
      <c r="G1320" s="257" t="s">
        <v>4254</v>
      </c>
    </row>
    <row r="1321" customHeight="1" spans="4:7">
      <c r="D1321" s="256">
        <v>50012</v>
      </c>
      <c r="E1321" s="257" t="s">
        <v>4250</v>
      </c>
      <c r="F1321" s="257" t="s">
        <v>4255</v>
      </c>
      <c r="G1321" s="257" t="s">
        <v>4256</v>
      </c>
    </row>
    <row r="1322" customHeight="1" spans="4:7">
      <c r="D1322" s="256">
        <v>50012</v>
      </c>
      <c r="E1322" s="257" t="s">
        <v>4250</v>
      </c>
      <c r="F1322" s="257" t="s">
        <v>4257</v>
      </c>
      <c r="G1322" s="257" t="s">
        <v>4258</v>
      </c>
    </row>
    <row r="1323" customHeight="1" spans="4:7">
      <c r="D1323" s="256">
        <v>50012</v>
      </c>
      <c r="E1323" s="257" t="s">
        <v>4250</v>
      </c>
      <c r="F1323" s="257" t="s">
        <v>4259</v>
      </c>
      <c r="G1323" s="257" t="s">
        <v>4260</v>
      </c>
    </row>
    <row r="1324" customHeight="1" spans="4:7">
      <c r="D1324" s="256">
        <v>50012</v>
      </c>
      <c r="E1324" s="257" t="s">
        <v>4250</v>
      </c>
      <c r="F1324" s="257" t="s">
        <v>4261</v>
      </c>
      <c r="G1324" s="257" t="s">
        <v>4262</v>
      </c>
    </row>
    <row r="1325" customHeight="1" spans="4:7">
      <c r="D1325" s="256">
        <v>50012</v>
      </c>
      <c r="E1325" s="257" t="s">
        <v>4250</v>
      </c>
      <c r="F1325" s="257" t="s">
        <v>4263</v>
      </c>
      <c r="G1325" s="257" t="s">
        <v>4264</v>
      </c>
    </row>
    <row r="1326" customHeight="1" spans="4:7">
      <c r="D1326" s="256">
        <v>50012</v>
      </c>
      <c r="E1326" s="257" t="s">
        <v>4250</v>
      </c>
      <c r="F1326" s="257" t="s">
        <v>4265</v>
      </c>
      <c r="G1326" s="257" t="s">
        <v>4266</v>
      </c>
    </row>
    <row r="1327" customHeight="1" spans="4:7">
      <c r="D1327" s="256">
        <v>47022</v>
      </c>
      <c r="E1327" s="257" t="s">
        <v>4267</v>
      </c>
      <c r="F1327" s="257" t="s">
        <v>4268</v>
      </c>
      <c r="G1327" s="257" t="s">
        <v>4269</v>
      </c>
    </row>
    <row r="1328" customHeight="1" spans="4:7">
      <c r="D1328" s="256">
        <v>47022</v>
      </c>
      <c r="E1328" s="257" t="s">
        <v>4267</v>
      </c>
      <c r="F1328" s="257" t="s">
        <v>4270</v>
      </c>
      <c r="G1328" s="257" t="s">
        <v>3389</v>
      </c>
    </row>
    <row r="1329" customHeight="1" spans="4:7">
      <c r="D1329" s="256">
        <v>47022</v>
      </c>
      <c r="E1329" s="257" t="s">
        <v>4267</v>
      </c>
      <c r="F1329" s="257" t="s">
        <v>4271</v>
      </c>
      <c r="G1329" s="257" t="s">
        <v>4272</v>
      </c>
    </row>
    <row r="1330" customHeight="1" spans="4:7">
      <c r="D1330" s="256">
        <v>47022</v>
      </c>
      <c r="E1330" s="257" t="s">
        <v>4267</v>
      </c>
      <c r="F1330" s="257" t="s">
        <v>4273</v>
      </c>
      <c r="G1330" s="257" t="s">
        <v>4274</v>
      </c>
    </row>
    <row r="1331" customHeight="1" spans="4:7">
      <c r="D1331" s="256">
        <v>47022</v>
      </c>
      <c r="E1331" s="257" t="s">
        <v>4267</v>
      </c>
      <c r="F1331" s="257" t="s">
        <v>4275</v>
      </c>
      <c r="G1331" s="257" t="s">
        <v>4276</v>
      </c>
    </row>
    <row r="1332" customHeight="1" spans="4:7">
      <c r="D1332" s="256">
        <v>47022</v>
      </c>
      <c r="E1332" s="257" t="s">
        <v>4267</v>
      </c>
      <c r="F1332" s="257" t="s">
        <v>4277</v>
      </c>
      <c r="G1332" s="257" t="s">
        <v>3656</v>
      </c>
    </row>
    <row r="1333" customHeight="1" spans="4:7">
      <c r="D1333" s="256">
        <v>47022</v>
      </c>
      <c r="E1333" s="257" t="s">
        <v>4267</v>
      </c>
      <c r="F1333" s="257" t="s">
        <v>4278</v>
      </c>
      <c r="G1333" s="257" t="s">
        <v>1684</v>
      </c>
    </row>
    <row r="1334" customHeight="1" spans="4:7">
      <c r="D1334" s="256">
        <v>47022</v>
      </c>
      <c r="E1334" s="257" t="s">
        <v>4267</v>
      </c>
      <c r="F1334" s="257" t="s">
        <v>4279</v>
      </c>
      <c r="G1334" s="257" t="s">
        <v>4280</v>
      </c>
    </row>
    <row r="1335" customHeight="1" spans="4:7">
      <c r="D1335" s="256">
        <v>51014</v>
      </c>
      <c r="E1335" s="257" t="s">
        <v>4281</v>
      </c>
      <c r="F1335" s="257" t="s">
        <v>4282</v>
      </c>
      <c r="G1335" s="257" t="s">
        <v>4283</v>
      </c>
    </row>
    <row r="1336" customHeight="1" spans="4:7">
      <c r="D1336" s="256">
        <v>51014</v>
      </c>
      <c r="E1336" s="257" t="s">
        <v>4281</v>
      </c>
      <c r="F1336" s="257" t="s">
        <v>4284</v>
      </c>
      <c r="G1336" s="257" t="s">
        <v>4285</v>
      </c>
    </row>
    <row r="1337" customHeight="1" spans="4:7">
      <c r="D1337" s="256">
        <v>51014</v>
      </c>
      <c r="E1337" s="257" t="s">
        <v>4281</v>
      </c>
      <c r="F1337" s="257" t="s">
        <v>4286</v>
      </c>
      <c r="G1337" s="257" t="s">
        <v>4287</v>
      </c>
    </row>
    <row r="1338" customHeight="1" spans="4:7">
      <c r="D1338" s="256">
        <v>51014</v>
      </c>
      <c r="E1338" s="257" t="s">
        <v>4281</v>
      </c>
      <c r="F1338" s="257" t="s">
        <v>4288</v>
      </c>
      <c r="G1338" s="257" t="s">
        <v>4289</v>
      </c>
    </row>
    <row r="1339" customHeight="1" spans="4:7">
      <c r="D1339" s="256">
        <v>51014</v>
      </c>
      <c r="E1339" s="257" t="s">
        <v>4281</v>
      </c>
      <c r="F1339" s="257" t="s">
        <v>4290</v>
      </c>
      <c r="G1339" s="257" t="s">
        <v>4291</v>
      </c>
    </row>
    <row r="1340" customHeight="1" spans="4:7">
      <c r="D1340" s="256">
        <v>51014</v>
      </c>
      <c r="E1340" s="257" t="s">
        <v>4281</v>
      </c>
      <c r="F1340" s="257" t="s">
        <v>4292</v>
      </c>
      <c r="G1340" s="257" t="s">
        <v>4293</v>
      </c>
    </row>
    <row r="1341" customHeight="1" spans="4:7">
      <c r="D1341" s="256">
        <v>52010</v>
      </c>
      <c r="E1341" s="257" t="s">
        <v>4294</v>
      </c>
      <c r="F1341" s="257" t="s">
        <v>4295</v>
      </c>
      <c r="G1341" s="257" t="s">
        <v>4296</v>
      </c>
    </row>
    <row r="1342" customHeight="1" spans="4:7">
      <c r="D1342" s="256">
        <v>52010</v>
      </c>
      <c r="E1342" s="257" t="s">
        <v>4294</v>
      </c>
      <c r="F1342" s="257" t="s">
        <v>4297</v>
      </c>
      <c r="G1342" s="257" t="s">
        <v>3601</v>
      </c>
    </row>
    <row r="1343" customHeight="1" spans="4:7">
      <c r="D1343" s="256">
        <v>52010</v>
      </c>
      <c r="E1343" s="257" t="s">
        <v>4294</v>
      </c>
      <c r="F1343" s="257" t="s">
        <v>4298</v>
      </c>
      <c r="G1343" s="257" t="s">
        <v>4299</v>
      </c>
    </row>
    <row r="1344" customHeight="1" spans="4:7">
      <c r="D1344" s="256">
        <v>52010</v>
      </c>
      <c r="E1344" s="257" t="s">
        <v>4294</v>
      </c>
      <c r="F1344" s="257" t="s">
        <v>4300</v>
      </c>
      <c r="G1344" s="257" t="s">
        <v>4301</v>
      </c>
    </row>
    <row r="1345" customHeight="1" spans="4:7">
      <c r="D1345" s="256">
        <v>52010</v>
      </c>
      <c r="E1345" s="257" t="s">
        <v>4294</v>
      </c>
      <c r="F1345" s="257" t="s">
        <v>4302</v>
      </c>
      <c r="G1345" s="257" t="s">
        <v>4303</v>
      </c>
    </row>
    <row r="1346" customHeight="1" spans="4:7">
      <c r="D1346" s="256">
        <v>52010</v>
      </c>
      <c r="E1346" s="257" t="s">
        <v>4294</v>
      </c>
      <c r="F1346" s="257" t="s">
        <v>4304</v>
      </c>
      <c r="G1346" s="257" t="s">
        <v>4305</v>
      </c>
    </row>
    <row r="1347" customHeight="1" spans="4:7">
      <c r="D1347" s="256">
        <v>52010</v>
      </c>
      <c r="E1347" s="257" t="s">
        <v>4294</v>
      </c>
      <c r="F1347" s="257" t="s">
        <v>4306</v>
      </c>
      <c r="G1347" s="257" t="s">
        <v>4307</v>
      </c>
    </row>
    <row r="1348" customHeight="1" spans="4:7">
      <c r="D1348" s="256">
        <v>52010</v>
      </c>
      <c r="E1348" s="257" t="s">
        <v>4294</v>
      </c>
      <c r="F1348" s="257" t="s">
        <v>4308</v>
      </c>
      <c r="G1348" s="257" t="s">
        <v>4309</v>
      </c>
    </row>
    <row r="1349" customHeight="1" spans="4:7">
      <c r="D1349" s="256">
        <v>52010</v>
      </c>
      <c r="E1349" s="257" t="s">
        <v>4294</v>
      </c>
      <c r="F1349" s="257" t="s">
        <v>4310</v>
      </c>
      <c r="G1349" s="257" t="s">
        <v>4311</v>
      </c>
    </row>
    <row r="1350" customHeight="1" spans="4:7">
      <c r="D1350" s="256">
        <v>52010</v>
      </c>
      <c r="E1350" s="257" t="s">
        <v>4294</v>
      </c>
      <c r="F1350" s="257" t="s">
        <v>4312</v>
      </c>
      <c r="G1350" s="257" t="s">
        <v>4313</v>
      </c>
    </row>
    <row r="1351" customHeight="1" spans="4:7">
      <c r="D1351" s="256">
        <v>52010</v>
      </c>
      <c r="E1351" s="257" t="s">
        <v>4294</v>
      </c>
      <c r="F1351" s="257" t="s">
        <v>4314</v>
      </c>
      <c r="G1351" s="257" t="s">
        <v>4315</v>
      </c>
    </row>
    <row r="1352" customHeight="1" spans="4:7">
      <c r="D1352" s="256">
        <v>52010</v>
      </c>
      <c r="E1352" s="257" t="s">
        <v>4294</v>
      </c>
      <c r="F1352" s="257" t="s">
        <v>4316</v>
      </c>
      <c r="G1352" s="257" t="s">
        <v>4317</v>
      </c>
    </row>
    <row r="1353" customHeight="1" spans="4:7">
      <c r="D1353" s="256">
        <v>52010</v>
      </c>
      <c r="E1353" s="257" t="s">
        <v>4294</v>
      </c>
      <c r="F1353" s="257" t="s">
        <v>4318</v>
      </c>
      <c r="G1353" s="257" t="s">
        <v>3486</v>
      </c>
    </row>
    <row r="1354" customHeight="1" spans="4:7">
      <c r="D1354" s="256">
        <v>52011</v>
      </c>
      <c r="E1354" s="257" t="s">
        <v>4319</v>
      </c>
      <c r="F1354" s="257" t="s">
        <v>4320</v>
      </c>
      <c r="G1354" s="257" t="s">
        <v>4321</v>
      </c>
    </row>
    <row r="1355" customHeight="1" spans="4:7">
      <c r="D1355" s="256">
        <v>52011</v>
      </c>
      <c r="E1355" s="257" t="s">
        <v>4319</v>
      </c>
      <c r="F1355" s="257" t="s">
        <v>4322</v>
      </c>
      <c r="G1355" s="257" t="s">
        <v>4323</v>
      </c>
    </row>
    <row r="1356" customHeight="1" spans="4:7">
      <c r="D1356" s="256">
        <v>52011</v>
      </c>
      <c r="E1356" s="257" t="s">
        <v>4319</v>
      </c>
      <c r="F1356" s="257" t="s">
        <v>4324</v>
      </c>
      <c r="G1356" s="257" t="s">
        <v>4325</v>
      </c>
    </row>
    <row r="1357" customHeight="1" spans="4:7">
      <c r="D1357" s="256">
        <v>52011</v>
      </c>
      <c r="E1357" s="257" t="s">
        <v>4319</v>
      </c>
      <c r="F1357" s="257" t="s">
        <v>4326</v>
      </c>
      <c r="G1357" s="257" t="s">
        <v>4327</v>
      </c>
    </row>
    <row r="1358" customHeight="1" spans="4:7">
      <c r="D1358" s="256">
        <v>52011</v>
      </c>
      <c r="E1358" s="257" t="s">
        <v>4319</v>
      </c>
      <c r="F1358" s="257" t="s">
        <v>4328</v>
      </c>
      <c r="G1358" s="257" t="s">
        <v>4329</v>
      </c>
    </row>
    <row r="1359" customHeight="1" spans="4:7">
      <c r="D1359" s="256">
        <v>52011</v>
      </c>
      <c r="E1359" s="257" t="s">
        <v>4319</v>
      </c>
      <c r="F1359" s="257" t="s">
        <v>4330</v>
      </c>
      <c r="G1359" s="257" t="s">
        <v>4331</v>
      </c>
    </row>
    <row r="1360" customHeight="1" spans="4:7">
      <c r="D1360" s="256">
        <v>52011</v>
      </c>
      <c r="E1360" s="257" t="s">
        <v>4319</v>
      </c>
      <c r="F1360" s="257" t="s">
        <v>4332</v>
      </c>
      <c r="G1360" s="257" t="s">
        <v>4333</v>
      </c>
    </row>
    <row r="1361" customHeight="1" spans="4:7">
      <c r="D1361" s="256">
        <v>52011</v>
      </c>
      <c r="E1361" s="257" t="s">
        <v>4319</v>
      </c>
      <c r="F1361" s="257" t="s">
        <v>4334</v>
      </c>
      <c r="G1361" s="257" t="s">
        <v>4335</v>
      </c>
    </row>
    <row r="1362" customHeight="1" spans="4:7">
      <c r="D1362" s="256">
        <v>52011</v>
      </c>
      <c r="E1362" s="257" t="s">
        <v>4319</v>
      </c>
      <c r="F1362" s="257" t="s">
        <v>4336</v>
      </c>
      <c r="G1362" s="257" t="s">
        <v>4337</v>
      </c>
    </row>
    <row r="1363" customHeight="1" spans="4:7">
      <c r="D1363" s="256">
        <v>52011</v>
      </c>
      <c r="E1363" s="257" t="s">
        <v>4319</v>
      </c>
      <c r="F1363" s="257" t="s">
        <v>4338</v>
      </c>
      <c r="G1363" s="257" t="s">
        <v>4339</v>
      </c>
    </row>
    <row r="1364" customHeight="1" spans="4:7">
      <c r="D1364" s="256">
        <v>52011</v>
      </c>
      <c r="E1364" s="257" t="s">
        <v>4319</v>
      </c>
      <c r="F1364" s="257" t="s">
        <v>4340</v>
      </c>
      <c r="G1364" s="257" t="s">
        <v>4341</v>
      </c>
    </row>
    <row r="1365" customHeight="1" spans="4:7">
      <c r="D1365" s="256">
        <v>52011</v>
      </c>
      <c r="E1365" s="257" t="s">
        <v>4319</v>
      </c>
      <c r="F1365" s="257" t="s">
        <v>4342</v>
      </c>
      <c r="G1365" s="257" t="s">
        <v>4343</v>
      </c>
    </row>
    <row r="1366" customHeight="1" spans="4:7">
      <c r="D1366" s="256">
        <v>52011</v>
      </c>
      <c r="E1366" s="257" t="s">
        <v>4319</v>
      </c>
      <c r="F1366" s="257" t="s">
        <v>4344</v>
      </c>
      <c r="G1366" s="257" t="s">
        <v>4345</v>
      </c>
    </row>
    <row r="1367" customHeight="1" spans="4:7">
      <c r="D1367" s="256">
        <v>52011</v>
      </c>
      <c r="E1367" s="257" t="s">
        <v>4319</v>
      </c>
      <c r="F1367" s="257" t="s">
        <v>4346</v>
      </c>
      <c r="G1367" s="257" t="s">
        <v>4347</v>
      </c>
    </row>
    <row r="1368" customHeight="1" spans="4:7">
      <c r="D1368" s="256">
        <v>52011</v>
      </c>
      <c r="E1368" s="257" t="s">
        <v>4319</v>
      </c>
      <c r="F1368" s="257" t="s">
        <v>4348</v>
      </c>
      <c r="G1368" s="257" t="s">
        <v>4349</v>
      </c>
    </row>
    <row r="1369" customHeight="1" spans="4:7">
      <c r="D1369" s="256">
        <v>52011</v>
      </c>
      <c r="E1369" s="257" t="s">
        <v>4319</v>
      </c>
      <c r="F1369" s="257" t="s">
        <v>4350</v>
      </c>
      <c r="G1369" s="257" t="s">
        <v>4351</v>
      </c>
    </row>
    <row r="1370" customHeight="1" spans="4:7">
      <c r="D1370" s="256">
        <v>51015</v>
      </c>
      <c r="E1370" s="257" t="s">
        <v>4352</v>
      </c>
      <c r="F1370" s="257" t="s">
        <v>4353</v>
      </c>
      <c r="G1370" s="257" t="s">
        <v>4354</v>
      </c>
    </row>
    <row r="1371" customHeight="1" spans="4:7">
      <c r="D1371" s="256">
        <v>51015</v>
      </c>
      <c r="E1371" s="257" t="s">
        <v>4352</v>
      </c>
      <c r="F1371" s="257" t="s">
        <v>4355</v>
      </c>
      <c r="G1371" s="257" t="s">
        <v>4356</v>
      </c>
    </row>
    <row r="1372" customHeight="1" spans="4:7">
      <c r="D1372" s="256">
        <v>51015</v>
      </c>
      <c r="E1372" s="257" t="s">
        <v>4352</v>
      </c>
      <c r="F1372" s="257" t="s">
        <v>4357</v>
      </c>
      <c r="G1372" s="257" t="s">
        <v>4358</v>
      </c>
    </row>
    <row r="1373" customHeight="1" spans="4:7">
      <c r="D1373" s="256">
        <v>51015</v>
      </c>
      <c r="E1373" s="257" t="s">
        <v>4352</v>
      </c>
      <c r="F1373" s="257" t="s">
        <v>4359</v>
      </c>
      <c r="G1373" s="257" t="s">
        <v>4360</v>
      </c>
    </row>
    <row r="1374" customHeight="1" spans="4:7">
      <c r="D1374" s="256">
        <v>51015</v>
      </c>
      <c r="E1374" s="257" t="s">
        <v>4352</v>
      </c>
      <c r="F1374" s="257" t="s">
        <v>4361</v>
      </c>
      <c r="G1374" s="257" t="s">
        <v>4362</v>
      </c>
    </row>
    <row r="1375" customHeight="1" spans="4:7">
      <c r="D1375" s="256">
        <v>51015</v>
      </c>
      <c r="E1375" s="257" t="s">
        <v>4352</v>
      </c>
      <c r="F1375" s="257" t="s">
        <v>4363</v>
      </c>
      <c r="G1375" s="257" t="s">
        <v>4364</v>
      </c>
    </row>
    <row r="1376" customHeight="1" spans="4:7">
      <c r="D1376" s="256">
        <v>51015</v>
      </c>
      <c r="E1376" s="257" t="s">
        <v>4352</v>
      </c>
      <c r="F1376" s="257" t="s">
        <v>4365</v>
      </c>
      <c r="G1376" s="257" t="s">
        <v>2411</v>
      </c>
    </row>
    <row r="1377" customHeight="1" spans="4:7">
      <c r="D1377" s="256">
        <v>51015</v>
      </c>
      <c r="E1377" s="257" t="s">
        <v>4352</v>
      </c>
      <c r="F1377" s="257" t="s">
        <v>4366</v>
      </c>
      <c r="G1377" s="257" t="s">
        <v>4287</v>
      </c>
    </row>
    <row r="1378" customHeight="1" spans="4:7">
      <c r="D1378" s="256">
        <v>51015</v>
      </c>
      <c r="E1378" s="257" t="s">
        <v>4352</v>
      </c>
      <c r="F1378" s="257" t="s">
        <v>4367</v>
      </c>
      <c r="G1378" s="257" t="s">
        <v>4368</v>
      </c>
    </row>
    <row r="1379" customHeight="1" spans="4:7">
      <c r="D1379" s="256">
        <v>51015</v>
      </c>
      <c r="E1379" s="257" t="s">
        <v>4352</v>
      </c>
      <c r="F1379" s="257" t="s">
        <v>4369</v>
      </c>
      <c r="G1379" s="257" t="s">
        <v>4370</v>
      </c>
    </row>
    <row r="1380" customHeight="1" spans="4:7">
      <c r="D1380" s="256">
        <v>51015</v>
      </c>
      <c r="E1380" s="257" t="s">
        <v>4352</v>
      </c>
      <c r="F1380" s="257" t="s">
        <v>4371</v>
      </c>
      <c r="G1380" s="257" t="s">
        <v>4372</v>
      </c>
    </row>
    <row r="1381" customHeight="1" spans="4:7">
      <c r="D1381" s="256">
        <v>51015</v>
      </c>
      <c r="E1381" s="257" t="s">
        <v>4352</v>
      </c>
      <c r="F1381" s="257" t="s">
        <v>4373</v>
      </c>
      <c r="G1381" s="257" t="s">
        <v>4374</v>
      </c>
    </row>
    <row r="1382" customHeight="1" spans="4:7">
      <c r="D1382" s="256">
        <v>51015</v>
      </c>
      <c r="E1382" s="257" t="s">
        <v>4352</v>
      </c>
      <c r="F1382" s="257" t="s">
        <v>4375</v>
      </c>
      <c r="G1382" s="257" t="s">
        <v>4289</v>
      </c>
    </row>
    <row r="1383" customHeight="1" spans="4:7">
      <c r="D1383" s="256">
        <v>51015</v>
      </c>
      <c r="E1383" s="257" t="s">
        <v>4352</v>
      </c>
      <c r="F1383" s="257" t="s">
        <v>4376</v>
      </c>
      <c r="G1383" s="257" t="s">
        <v>4377</v>
      </c>
    </row>
    <row r="1384" customHeight="1" spans="4:7">
      <c r="D1384" s="256">
        <v>51015</v>
      </c>
      <c r="E1384" s="257" t="s">
        <v>4352</v>
      </c>
      <c r="F1384" s="257" t="s">
        <v>4378</v>
      </c>
      <c r="G1384" s="257" t="s">
        <v>4379</v>
      </c>
    </row>
    <row r="1385" customHeight="1" spans="4:7">
      <c r="D1385" s="256">
        <v>51015</v>
      </c>
      <c r="E1385" s="257" t="s">
        <v>4352</v>
      </c>
      <c r="F1385" s="257" t="s">
        <v>4380</v>
      </c>
      <c r="G1385" s="257" t="s">
        <v>4381</v>
      </c>
    </row>
    <row r="1386" customHeight="1" spans="4:7">
      <c r="D1386" s="256">
        <v>51015</v>
      </c>
      <c r="E1386" s="257" t="s">
        <v>4352</v>
      </c>
      <c r="F1386" s="257" t="s">
        <v>4382</v>
      </c>
      <c r="G1386" s="257" t="s">
        <v>4383</v>
      </c>
    </row>
    <row r="1387" customHeight="1" spans="4:7">
      <c r="D1387" s="256">
        <v>53007</v>
      </c>
      <c r="E1387" s="257" t="s">
        <v>4384</v>
      </c>
      <c r="F1387" s="257" t="s">
        <v>4385</v>
      </c>
      <c r="G1387" s="257" t="s">
        <v>4386</v>
      </c>
    </row>
    <row r="1388" customHeight="1" spans="4:7">
      <c r="D1388" s="256">
        <v>53007</v>
      </c>
      <c r="E1388" s="257" t="s">
        <v>4384</v>
      </c>
      <c r="F1388" s="257" t="s">
        <v>4387</v>
      </c>
      <c r="G1388" s="257" t="s">
        <v>4388</v>
      </c>
    </row>
    <row r="1389" customHeight="1" spans="4:7">
      <c r="D1389" s="256">
        <v>53007</v>
      </c>
      <c r="E1389" s="257" t="s">
        <v>4384</v>
      </c>
      <c r="F1389" s="257" t="s">
        <v>4389</v>
      </c>
      <c r="G1389" s="257" t="s">
        <v>4390</v>
      </c>
    </row>
    <row r="1390" customHeight="1" spans="4:7">
      <c r="D1390" s="256">
        <v>53007</v>
      </c>
      <c r="E1390" s="257" t="s">
        <v>4384</v>
      </c>
      <c r="F1390" s="257" t="s">
        <v>4391</v>
      </c>
      <c r="G1390" s="257" t="s">
        <v>4392</v>
      </c>
    </row>
    <row r="1391" customHeight="1" spans="4:7">
      <c r="D1391" s="256">
        <v>53007</v>
      </c>
      <c r="E1391" s="257" t="s">
        <v>4384</v>
      </c>
      <c r="F1391" s="257" t="s">
        <v>4393</v>
      </c>
      <c r="G1391" s="257" t="s">
        <v>4394</v>
      </c>
    </row>
    <row r="1392" customHeight="1" spans="4:7">
      <c r="D1392" s="256">
        <v>53007</v>
      </c>
      <c r="E1392" s="257" t="s">
        <v>4384</v>
      </c>
      <c r="F1392" s="257" t="s">
        <v>4395</v>
      </c>
      <c r="G1392" s="257" t="s">
        <v>4396</v>
      </c>
    </row>
    <row r="1393" customHeight="1" spans="4:7">
      <c r="D1393" s="256">
        <v>53007</v>
      </c>
      <c r="E1393" s="257" t="s">
        <v>4384</v>
      </c>
      <c r="F1393" s="257" t="s">
        <v>4397</v>
      </c>
      <c r="G1393" s="257" t="s">
        <v>4398</v>
      </c>
    </row>
    <row r="1394" customHeight="1" spans="4:7">
      <c r="D1394" s="256">
        <v>53007</v>
      </c>
      <c r="E1394" s="257" t="s">
        <v>4384</v>
      </c>
      <c r="F1394" s="257" t="s">
        <v>4399</v>
      </c>
      <c r="G1394" s="257" t="s">
        <v>4400</v>
      </c>
    </row>
    <row r="1395" customHeight="1" spans="4:7">
      <c r="D1395" s="256">
        <v>53007</v>
      </c>
      <c r="E1395" s="257" t="s">
        <v>4384</v>
      </c>
      <c r="F1395" s="257" t="s">
        <v>4401</v>
      </c>
      <c r="G1395" s="257" t="s">
        <v>4402</v>
      </c>
    </row>
    <row r="1396" customHeight="1" spans="4:7">
      <c r="D1396" s="256">
        <v>53007</v>
      </c>
      <c r="E1396" s="257" t="s">
        <v>4384</v>
      </c>
      <c r="F1396" s="257" t="s">
        <v>4403</v>
      </c>
      <c r="G1396" s="257" t="s">
        <v>4404</v>
      </c>
    </row>
    <row r="1397" customHeight="1" spans="4:7">
      <c r="D1397" s="256">
        <v>53007</v>
      </c>
      <c r="E1397" s="257" t="s">
        <v>4384</v>
      </c>
      <c r="F1397" s="257" t="s">
        <v>4405</v>
      </c>
      <c r="G1397" s="257" t="s">
        <v>4406</v>
      </c>
    </row>
    <row r="1398" customHeight="1" spans="4:7">
      <c r="D1398" s="256">
        <v>53007</v>
      </c>
      <c r="E1398" s="257" t="s">
        <v>4384</v>
      </c>
      <c r="F1398" s="257" t="s">
        <v>4407</v>
      </c>
      <c r="G1398" s="257" t="s">
        <v>4408</v>
      </c>
    </row>
    <row r="1399" customHeight="1" spans="4:7">
      <c r="D1399" s="256">
        <v>53007</v>
      </c>
      <c r="E1399" s="257" t="s">
        <v>4384</v>
      </c>
      <c r="F1399" s="257" t="s">
        <v>4409</v>
      </c>
      <c r="G1399" s="257" t="s">
        <v>4410</v>
      </c>
    </row>
    <row r="1400" customHeight="1" spans="4:7">
      <c r="D1400" s="256">
        <v>53007</v>
      </c>
      <c r="E1400" s="257" t="s">
        <v>4384</v>
      </c>
      <c r="F1400" s="257" t="s">
        <v>4411</v>
      </c>
      <c r="G1400" s="257" t="s">
        <v>4412</v>
      </c>
    </row>
    <row r="1401" customHeight="1" spans="4:7">
      <c r="D1401" s="256">
        <v>53007</v>
      </c>
      <c r="E1401" s="257" t="s">
        <v>4384</v>
      </c>
      <c r="F1401" s="257" t="s">
        <v>4413</v>
      </c>
      <c r="G1401" s="257" t="s">
        <v>2740</v>
      </c>
    </row>
    <row r="1402" customHeight="1" spans="4:7">
      <c r="D1402" s="256">
        <v>53007</v>
      </c>
      <c r="E1402" s="257" t="s">
        <v>4384</v>
      </c>
      <c r="F1402" s="257" t="s">
        <v>4414</v>
      </c>
      <c r="G1402" s="257" t="s">
        <v>4415</v>
      </c>
    </row>
    <row r="1403" customHeight="1" spans="4:7">
      <c r="D1403" s="256">
        <v>51016</v>
      </c>
      <c r="E1403" s="257" t="s">
        <v>4416</v>
      </c>
      <c r="F1403" s="257" t="s">
        <v>4417</v>
      </c>
      <c r="G1403" s="257" t="s">
        <v>4418</v>
      </c>
    </row>
    <row r="1404" customHeight="1" spans="4:7">
      <c r="D1404" s="256">
        <v>51016</v>
      </c>
      <c r="E1404" s="257" t="s">
        <v>4416</v>
      </c>
      <c r="F1404" s="257" t="s">
        <v>4419</v>
      </c>
      <c r="G1404" s="257" t="s">
        <v>4420</v>
      </c>
    </row>
    <row r="1405" customHeight="1" spans="4:7">
      <c r="D1405" s="256">
        <v>51016</v>
      </c>
      <c r="E1405" s="257" t="s">
        <v>4416</v>
      </c>
      <c r="F1405" s="257" t="s">
        <v>4421</v>
      </c>
      <c r="G1405" s="257" t="s">
        <v>4422</v>
      </c>
    </row>
    <row r="1406" customHeight="1" spans="4:7">
      <c r="D1406" s="256">
        <v>51016</v>
      </c>
      <c r="E1406" s="257" t="s">
        <v>4416</v>
      </c>
      <c r="F1406" s="257" t="s">
        <v>4423</v>
      </c>
      <c r="G1406" s="257" t="s">
        <v>4424</v>
      </c>
    </row>
    <row r="1407" customHeight="1" spans="4:7">
      <c r="D1407" s="256">
        <v>51016</v>
      </c>
      <c r="E1407" s="257" t="s">
        <v>4416</v>
      </c>
      <c r="F1407" s="257" t="s">
        <v>4425</v>
      </c>
      <c r="G1407" s="257" t="s">
        <v>4426</v>
      </c>
    </row>
    <row r="1408" customHeight="1" spans="4:7">
      <c r="D1408" s="256">
        <v>51016</v>
      </c>
      <c r="E1408" s="257" t="s">
        <v>4416</v>
      </c>
      <c r="F1408" s="257" t="s">
        <v>4427</v>
      </c>
      <c r="G1408" s="257" t="s">
        <v>4428</v>
      </c>
    </row>
    <row r="1409" customHeight="1" spans="4:7">
      <c r="D1409" s="256">
        <v>51016</v>
      </c>
      <c r="E1409" s="257" t="s">
        <v>4416</v>
      </c>
      <c r="F1409" s="257" t="s">
        <v>4429</v>
      </c>
      <c r="G1409" s="257" t="s">
        <v>4430</v>
      </c>
    </row>
    <row r="1410" customHeight="1" spans="4:7">
      <c r="D1410" s="256">
        <v>51016</v>
      </c>
      <c r="E1410" s="257" t="s">
        <v>4416</v>
      </c>
      <c r="F1410" s="257" t="s">
        <v>4431</v>
      </c>
      <c r="G1410" s="257" t="s">
        <v>4432</v>
      </c>
    </row>
    <row r="1411" customHeight="1" spans="4:7">
      <c r="D1411" s="256">
        <v>51016</v>
      </c>
      <c r="E1411" s="257" t="s">
        <v>4416</v>
      </c>
      <c r="F1411" s="257" t="s">
        <v>4433</v>
      </c>
      <c r="G1411" s="257" t="s">
        <v>4434</v>
      </c>
    </row>
    <row r="1412" customHeight="1" spans="4:7">
      <c r="D1412" s="256">
        <v>51016</v>
      </c>
      <c r="E1412" s="257" t="s">
        <v>4416</v>
      </c>
      <c r="F1412" s="257" t="s">
        <v>4435</v>
      </c>
      <c r="G1412" s="257" t="s">
        <v>4436</v>
      </c>
    </row>
    <row r="1413" customHeight="1" spans="4:7">
      <c r="D1413" s="256">
        <v>51016</v>
      </c>
      <c r="E1413" s="257" t="s">
        <v>4416</v>
      </c>
      <c r="F1413" s="257" t="s">
        <v>4437</v>
      </c>
      <c r="G1413" s="257" t="s">
        <v>4438</v>
      </c>
    </row>
    <row r="1414" customHeight="1" spans="4:7">
      <c r="D1414" s="256">
        <v>51016</v>
      </c>
      <c r="E1414" s="257" t="s">
        <v>4416</v>
      </c>
      <c r="F1414" s="257" t="s">
        <v>4439</v>
      </c>
      <c r="G1414" s="257" t="s">
        <v>4440</v>
      </c>
    </row>
    <row r="1415" customHeight="1" spans="4:7">
      <c r="D1415" s="256">
        <v>51016</v>
      </c>
      <c r="E1415" s="257" t="s">
        <v>4416</v>
      </c>
      <c r="F1415" s="257" t="s">
        <v>4441</v>
      </c>
      <c r="G1415" s="257" t="s">
        <v>4442</v>
      </c>
    </row>
    <row r="1416" customHeight="1" spans="4:7">
      <c r="D1416" s="256">
        <v>51016</v>
      </c>
      <c r="E1416" s="257" t="s">
        <v>4416</v>
      </c>
      <c r="F1416" s="257" t="s">
        <v>4443</v>
      </c>
      <c r="G1416" s="257" t="s">
        <v>4444</v>
      </c>
    </row>
    <row r="1417" customHeight="1" spans="4:7">
      <c r="D1417" s="256">
        <v>51016</v>
      </c>
      <c r="E1417" s="257" t="s">
        <v>4416</v>
      </c>
      <c r="F1417" s="257" t="s">
        <v>4445</v>
      </c>
      <c r="G1417" s="257" t="s">
        <v>4446</v>
      </c>
    </row>
    <row r="1418" customHeight="1" spans="4:7">
      <c r="D1418" s="256">
        <v>51016</v>
      </c>
      <c r="E1418" s="257" t="s">
        <v>4416</v>
      </c>
      <c r="F1418" s="257" t="s">
        <v>4447</v>
      </c>
      <c r="G1418" s="257" t="s">
        <v>4448</v>
      </c>
    </row>
    <row r="1419" customHeight="1" spans="4:7">
      <c r="D1419" s="256">
        <v>51016</v>
      </c>
      <c r="E1419" s="257" t="s">
        <v>4416</v>
      </c>
      <c r="F1419" s="257" t="s">
        <v>4449</v>
      </c>
      <c r="G1419" s="257" t="s">
        <v>4450</v>
      </c>
    </row>
    <row r="1420" customHeight="1" spans="4:7">
      <c r="D1420" s="256">
        <v>51016</v>
      </c>
      <c r="E1420" s="257" t="s">
        <v>4416</v>
      </c>
      <c r="F1420" s="257" t="s">
        <v>4451</v>
      </c>
      <c r="G1420" s="257" t="s">
        <v>4452</v>
      </c>
    </row>
    <row r="1421" customHeight="1" spans="4:7">
      <c r="D1421" s="256">
        <v>53008</v>
      </c>
      <c r="E1421" s="257" t="s">
        <v>4453</v>
      </c>
      <c r="F1421" s="257" t="s">
        <v>4454</v>
      </c>
      <c r="G1421" s="257" t="s">
        <v>4455</v>
      </c>
    </row>
    <row r="1422" customHeight="1" spans="4:7">
      <c r="D1422" s="256">
        <v>53008</v>
      </c>
      <c r="E1422" s="257" t="s">
        <v>4453</v>
      </c>
      <c r="F1422" s="257" t="s">
        <v>4456</v>
      </c>
      <c r="G1422" s="257" t="s">
        <v>4457</v>
      </c>
    </row>
    <row r="1423" customHeight="1" spans="4:7">
      <c r="D1423" s="256">
        <v>53008</v>
      </c>
      <c r="E1423" s="257" t="s">
        <v>4453</v>
      </c>
      <c r="F1423" s="257" t="s">
        <v>4458</v>
      </c>
      <c r="G1423" s="257" t="s">
        <v>4459</v>
      </c>
    </row>
    <row r="1424" customHeight="1" spans="4:7">
      <c r="D1424" s="256">
        <v>53008</v>
      </c>
      <c r="E1424" s="257" t="s">
        <v>4453</v>
      </c>
      <c r="F1424" s="257" t="s">
        <v>4460</v>
      </c>
      <c r="G1424" s="257" t="s">
        <v>4461</v>
      </c>
    </row>
    <row r="1425" customHeight="1" spans="4:7">
      <c r="D1425" s="256">
        <v>53008</v>
      </c>
      <c r="E1425" s="257" t="s">
        <v>4453</v>
      </c>
      <c r="F1425" s="257" t="s">
        <v>4462</v>
      </c>
      <c r="G1425" s="257" t="s">
        <v>3611</v>
      </c>
    </row>
    <row r="1426" customHeight="1" spans="4:7">
      <c r="D1426" s="256">
        <v>53008</v>
      </c>
      <c r="E1426" s="257" t="s">
        <v>4453</v>
      </c>
      <c r="F1426" s="257" t="s">
        <v>4463</v>
      </c>
      <c r="G1426" s="257" t="s">
        <v>4464</v>
      </c>
    </row>
    <row r="1427" customHeight="1" spans="4:7">
      <c r="D1427" s="256">
        <v>53008</v>
      </c>
      <c r="E1427" s="257" t="s">
        <v>4453</v>
      </c>
      <c r="F1427" s="257" t="s">
        <v>4465</v>
      </c>
      <c r="G1427" s="257" t="s">
        <v>3124</v>
      </c>
    </row>
    <row r="1428" customHeight="1" spans="4:7">
      <c r="D1428" s="256">
        <v>53008</v>
      </c>
      <c r="E1428" s="257" t="s">
        <v>4453</v>
      </c>
      <c r="F1428" s="257" t="s">
        <v>4466</v>
      </c>
      <c r="G1428" s="257" t="s">
        <v>4467</v>
      </c>
    </row>
    <row r="1429" customHeight="1" spans="4:7">
      <c r="D1429" s="256">
        <v>53008</v>
      </c>
      <c r="E1429" s="257" t="s">
        <v>4453</v>
      </c>
      <c r="F1429" s="257" t="s">
        <v>4468</v>
      </c>
      <c r="G1429" s="257" t="s">
        <v>4469</v>
      </c>
    </row>
    <row r="1430" customHeight="1" spans="4:7">
      <c r="D1430" s="256">
        <v>53008</v>
      </c>
      <c r="E1430" s="257" t="s">
        <v>4453</v>
      </c>
      <c r="F1430" s="257" t="s">
        <v>4470</v>
      </c>
      <c r="G1430" s="257" t="s">
        <v>4471</v>
      </c>
    </row>
    <row r="1431" customHeight="1" spans="4:7">
      <c r="D1431" s="256">
        <v>53008</v>
      </c>
      <c r="E1431" s="257" t="s">
        <v>4453</v>
      </c>
      <c r="F1431" s="257" t="s">
        <v>4472</v>
      </c>
      <c r="G1431" s="257" t="s">
        <v>4473</v>
      </c>
    </row>
    <row r="1432" customHeight="1" spans="4:7">
      <c r="D1432" s="256">
        <v>53008</v>
      </c>
      <c r="E1432" s="257" t="s">
        <v>4453</v>
      </c>
      <c r="F1432" s="257" t="s">
        <v>4474</v>
      </c>
      <c r="G1432" s="257" t="s">
        <v>4475</v>
      </c>
    </row>
    <row r="1433" customHeight="1" spans="4:7">
      <c r="D1433" s="256">
        <v>53008</v>
      </c>
      <c r="E1433" s="257" t="s">
        <v>4453</v>
      </c>
      <c r="F1433" s="257" t="s">
        <v>4476</v>
      </c>
      <c r="G1433" s="257" t="s">
        <v>4477</v>
      </c>
    </row>
    <row r="1434" customHeight="1" spans="4:7">
      <c r="D1434" s="256">
        <v>53008</v>
      </c>
      <c r="E1434" s="257" t="s">
        <v>4453</v>
      </c>
      <c r="F1434" s="257" t="s">
        <v>4478</v>
      </c>
      <c r="G1434" s="257" t="s">
        <v>4479</v>
      </c>
    </row>
    <row r="1435" customHeight="1" spans="4:7">
      <c r="D1435" s="256">
        <v>52012</v>
      </c>
      <c r="E1435" s="257" t="s">
        <v>4480</v>
      </c>
      <c r="F1435" s="257" t="s">
        <v>4481</v>
      </c>
      <c r="G1435" s="257" t="s">
        <v>4031</v>
      </c>
    </row>
    <row r="1436" customHeight="1" spans="4:7">
      <c r="D1436" s="256">
        <v>52012</v>
      </c>
      <c r="E1436" s="257" t="s">
        <v>4480</v>
      </c>
      <c r="F1436" s="257" t="s">
        <v>4482</v>
      </c>
      <c r="G1436" s="257" t="s">
        <v>2707</v>
      </c>
    </row>
    <row r="1437" customHeight="1" spans="4:7">
      <c r="D1437" s="256">
        <v>52012</v>
      </c>
      <c r="E1437" s="257" t="s">
        <v>4480</v>
      </c>
      <c r="F1437" s="257" t="s">
        <v>4483</v>
      </c>
      <c r="G1437" s="257" t="s">
        <v>4484</v>
      </c>
    </row>
    <row r="1438" customHeight="1" spans="4:7">
      <c r="D1438" s="256">
        <v>52012</v>
      </c>
      <c r="E1438" s="257" t="s">
        <v>4480</v>
      </c>
      <c r="F1438" s="257" t="s">
        <v>4485</v>
      </c>
      <c r="G1438" s="257" t="s">
        <v>4486</v>
      </c>
    </row>
    <row r="1439" customHeight="1" spans="4:7">
      <c r="D1439" s="256">
        <v>52012</v>
      </c>
      <c r="E1439" s="257" t="s">
        <v>4480</v>
      </c>
      <c r="F1439" s="257" t="s">
        <v>4487</v>
      </c>
      <c r="G1439" s="257" t="s">
        <v>4488</v>
      </c>
    </row>
    <row r="1440" customHeight="1" spans="4:7">
      <c r="D1440" s="256">
        <v>52012</v>
      </c>
      <c r="E1440" s="257" t="s">
        <v>4480</v>
      </c>
      <c r="F1440" s="257" t="s">
        <v>4489</v>
      </c>
      <c r="G1440" s="257" t="s">
        <v>4490</v>
      </c>
    </row>
    <row r="1441" customHeight="1" spans="4:7">
      <c r="D1441" s="256">
        <v>52012</v>
      </c>
      <c r="E1441" s="257" t="s">
        <v>4480</v>
      </c>
      <c r="F1441" s="257" t="s">
        <v>4491</v>
      </c>
      <c r="G1441" s="257" t="s">
        <v>4492</v>
      </c>
    </row>
    <row r="1442" customHeight="1" spans="4:7">
      <c r="D1442" s="256">
        <v>52012</v>
      </c>
      <c r="E1442" s="257" t="s">
        <v>4480</v>
      </c>
      <c r="F1442" s="257" t="s">
        <v>4493</v>
      </c>
      <c r="G1442" s="257" t="s">
        <v>4494</v>
      </c>
    </row>
    <row r="1443" customHeight="1" spans="4:7">
      <c r="D1443" s="256">
        <v>52012</v>
      </c>
      <c r="E1443" s="257" t="s">
        <v>4480</v>
      </c>
      <c r="F1443" s="257" t="s">
        <v>4495</v>
      </c>
      <c r="G1443" s="257" t="s">
        <v>4496</v>
      </c>
    </row>
    <row r="1444" customHeight="1" spans="4:7">
      <c r="D1444" s="256">
        <v>52012</v>
      </c>
      <c r="E1444" s="257" t="s">
        <v>4480</v>
      </c>
      <c r="F1444" s="257" t="s">
        <v>4497</v>
      </c>
      <c r="G1444" s="257" t="s">
        <v>4498</v>
      </c>
    </row>
    <row r="1445" customHeight="1" spans="4:7">
      <c r="D1445" s="256">
        <v>52012</v>
      </c>
      <c r="E1445" s="257" t="s">
        <v>4480</v>
      </c>
      <c r="F1445" s="257" t="s">
        <v>4499</v>
      </c>
      <c r="G1445" s="257" t="s">
        <v>4500</v>
      </c>
    </row>
    <row r="1446" customHeight="1" spans="4:7">
      <c r="D1446" s="256">
        <v>52012</v>
      </c>
      <c r="E1446" s="257" t="s">
        <v>4480</v>
      </c>
      <c r="F1446" s="257" t="s">
        <v>4501</v>
      </c>
      <c r="G1446" s="257" t="s">
        <v>4502</v>
      </c>
    </row>
    <row r="1447" customHeight="1" spans="4:7">
      <c r="D1447" s="256">
        <v>52012</v>
      </c>
      <c r="E1447" s="257" t="s">
        <v>4480</v>
      </c>
      <c r="F1447" s="257" t="s">
        <v>4503</v>
      </c>
      <c r="G1447" s="257" t="s">
        <v>3936</v>
      </c>
    </row>
    <row r="1448" customHeight="1" spans="4:7">
      <c r="D1448" s="256">
        <v>52012</v>
      </c>
      <c r="E1448" s="257" t="s">
        <v>4480</v>
      </c>
      <c r="F1448" s="257" t="s">
        <v>4504</v>
      </c>
      <c r="G1448" s="257" t="s">
        <v>4505</v>
      </c>
    </row>
    <row r="1449" customHeight="1" spans="4:7">
      <c r="D1449" s="256">
        <v>52012</v>
      </c>
      <c r="E1449" s="257" t="s">
        <v>4480</v>
      </c>
      <c r="F1449" s="257" t="s">
        <v>4506</v>
      </c>
      <c r="G1449" s="257" t="s">
        <v>4507</v>
      </c>
    </row>
    <row r="1450" customHeight="1" spans="4:7">
      <c r="D1450" s="256">
        <v>52012</v>
      </c>
      <c r="E1450" s="257" t="s">
        <v>4480</v>
      </c>
      <c r="F1450" s="257" t="s">
        <v>4508</v>
      </c>
      <c r="G1450" s="257" t="s">
        <v>4509</v>
      </c>
    </row>
    <row r="1451" customHeight="1" spans="4:7">
      <c r="D1451" s="256">
        <v>52012</v>
      </c>
      <c r="E1451" s="257" t="s">
        <v>4480</v>
      </c>
      <c r="F1451" s="257" t="s">
        <v>4510</v>
      </c>
      <c r="G1451" s="257" t="s">
        <v>4511</v>
      </c>
    </row>
    <row r="1452" customHeight="1" spans="4:7">
      <c r="D1452" s="256">
        <v>52012</v>
      </c>
      <c r="E1452" s="257" t="s">
        <v>4480</v>
      </c>
      <c r="F1452" s="257" t="s">
        <v>4512</v>
      </c>
      <c r="G1452" s="257" t="s">
        <v>1960</v>
      </c>
    </row>
    <row r="1453" customHeight="1" spans="4:7">
      <c r="D1453" s="256">
        <v>52012</v>
      </c>
      <c r="E1453" s="257" t="s">
        <v>4480</v>
      </c>
      <c r="F1453" s="257" t="s">
        <v>4513</v>
      </c>
      <c r="G1453" s="257" t="s">
        <v>4514</v>
      </c>
    </row>
    <row r="1454" customHeight="1" spans="4:7">
      <c r="D1454" s="256">
        <v>52012</v>
      </c>
      <c r="E1454" s="257" t="s">
        <v>4480</v>
      </c>
      <c r="F1454" s="257" t="s">
        <v>4515</v>
      </c>
      <c r="G1454" s="257" t="s">
        <v>4516</v>
      </c>
    </row>
    <row r="1455" customHeight="1" spans="4:7">
      <c r="D1455" s="256">
        <v>49008</v>
      </c>
      <c r="E1455" s="257" t="s">
        <v>4517</v>
      </c>
      <c r="F1455" s="257" t="s">
        <v>4518</v>
      </c>
      <c r="G1455" s="257" t="s">
        <v>4519</v>
      </c>
    </row>
    <row r="1456" customHeight="1" spans="4:7">
      <c r="D1456" s="256">
        <v>49008</v>
      </c>
      <c r="E1456" s="257" t="s">
        <v>4517</v>
      </c>
      <c r="F1456" s="257" t="s">
        <v>4520</v>
      </c>
      <c r="G1456" s="257" t="s">
        <v>4521</v>
      </c>
    </row>
    <row r="1457" customHeight="1" spans="4:7">
      <c r="D1457" s="256">
        <v>49008</v>
      </c>
      <c r="E1457" s="257" t="s">
        <v>4517</v>
      </c>
      <c r="F1457" s="257" t="s">
        <v>4522</v>
      </c>
      <c r="G1457" s="257" t="s">
        <v>4523</v>
      </c>
    </row>
    <row r="1458" customHeight="1" spans="4:7">
      <c r="D1458" s="256">
        <v>49008</v>
      </c>
      <c r="E1458" s="257" t="s">
        <v>4517</v>
      </c>
      <c r="F1458" s="257" t="s">
        <v>4524</v>
      </c>
      <c r="G1458" s="257" t="s">
        <v>4525</v>
      </c>
    </row>
    <row r="1459" customHeight="1" spans="4:7">
      <c r="D1459" s="256">
        <v>49008</v>
      </c>
      <c r="E1459" s="257" t="s">
        <v>4517</v>
      </c>
      <c r="F1459" s="257" t="s">
        <v>4526</v>
      </c>
      <c r="G1459" s="257" t="s">
        <v>4527</v>
      </c>
    </row>
    <row r="1460" customHeight="1" spans="4:7">
      <c r="D1460" s="256">
        <v>49008</v>
      </c>
      <c r="E1460" s="257" t="s">
        <v>4517</v>
      </c>
      <c r="F1460" s="257" t="s">
        <v>4528</v>
      </c>
      <c r="G1460" s="257" t="s">
        <v>4529</v>
      </c>
    </row>
    <row r="1461" customHeight="1" spans="4:7">
      <c r="D1461" s="256">
        <v>49008</v>
      </c>
      <c r="E1461" s="257" t="s">
        <v>4517</v>
      </c>
      <c r="F1461" s="257" t="s">
        <v>4530</v>
      </c>
      <c r="G1461" s="257" t="s">
        <v>4531</v>
      </c>
    </row>
    <row r="1462" customHeight="1" spans="4:7">
      <c r="D1462" s="256">
        <v>49008</v>
      </c>
      <c r="E1462" s="257" t="s">
        <v>4517</v>
      </c>
      <c r="F1462" s="257" t="s">
        <v>4532</v>
      </c>
      <c r="G1462" s="257" t="s">
        <v>4533</v>
      </c>
    </row>
    <row r="1463" customHeight="1" spans="4:7">
      <c r="D1463" s="256">
        <v>49008</v>
      </c>
      <c r="E1463" s="257" t="s">
        <v>4517</v>
      </c>
      <c r="F1463" s="257" t="s">
        <v>4534</v>
      </c>
      <c r="G1463" s="257" t="s">
        <v>4535</v>
      </c>
    </row>
    <row r="1464" customHeight="1" spans="4:7">
      <c r="D1464" s="256">
        <v>49008</v>
      </c>
      <c r="E1464" s="257" t="s">
        <v>4517</v>
      </c>
      <c r="F1464" s="257" t="s">
        <v>4536</v>
      </c>
      <c r="G1464" s="257" t="s">
        <v>4537</v>
      </c>
    </row>
    <row r="1465" customHeight="1" spans="4:7">
      <c r="D1465" s="256">
        <v>49008</v>
      </c>
      <c r="E1465" s="257" t="s">
        <v>4517</v>
      </c>
      <c r="F1465" s="257" t="s">
        <v>4538</v>
      </c>
      <c r="G1465" s="257" t="s">
        <v>4539</v>
      </c>
    </row>
    <row r="1466" customHeight="1" spans="4:7">
      <c r="D1466" s="256">
        <v>49008</v>
      </c>
      <c r="E1466" s="257" t="s">
        <v>4517</v>
      </c>
      <c r="F1466" s="257" t="s">
        <v>4540</v>
      </c>
      <c r="G1466" s="257" t="s">
        <v>4541</v>
      </c>
    </row>
    <row r="1467" customHeight="1" spans="4:7">
      <c r="D1467" s="256">
        <v>49008</v>
      </c>
      <c r="E1467" s="257" t="s">
        <v>4517</v>
      </c>
      <c r="F1467" s="257" t="s">
        <v>4542</v>
      </c>
      <c r="G1467" s="257" t="s">
        <v>4289</v>
      </c>
    </row>
    <row r="1468" customHeight="1" spans="4:7">
      <c r="D1468" s="256">
        <v>49008</v>
      </c>
      <c r="E1468" s="257" t="s">
        <v>4517</v>
      </c>
      <c r="F1468" s="257" t="s">
        <v>4543</v>
      </c>
      <c r="G1468" s="257" t="s">
        <v>2772</v>
      </c>
    </row>
    <row r="1469" customHeight="1" spans="4:7">
      <c r="D1469" s="256">
        <v>49008</v>
      </c>
      <c r="E1469" s="257" t="s">
        <v>4517</v>
      </c>
      <c r="F1469" s="257" t="s">
        <v>4544</v>
      </c>
      <c r="G1469" s="257" t="s">
        <v>4545</v>
      </c>
    </row>
    <row r="1470" customHeight="1" spans="4:7">
      <c r="D1470" s="256">
        <v>49008</v>
      </c>
      <c r="E1470" s="257" t="s">
        <v>4517</v>
      </c>
      <c r="F1470" s="257" t="s">
        <v>4546</v>
      </c>
      <c r="G1470" s="257" t="s">
        <v>4547</v>
      </c>
    </row>
    <row r="1471" customHeight="1" spans="4:7">
      <c r="D1471" s="256">
        <v>49008</v>
      </c>
      <c r="E1471" s="257" t="s">
        <v>4517</v>
      </c>
      <c r="F1471" s="257" t="s">
        <v>4548</v>
      </c>
      <c r="G1471" s="257" t="s">
        <v>4549</v>
      </c>
    </row>
    <row r="1472" customHeight="1" spans="4:7">
      <c r="D1472" s="256">
        <v>49008</v>
      </c>
      <c r="E1472" s="257" t="s">
        <v>4517</v>
      </c>
      <c r="F1472" s="257" t="s">
        <v>4550</v>
      </c>
      <c r="G1472" s="257" t="s">
        <v>4551</v>
      </c>
    </row>
    <row r="1473" customHeight="1" spans="4:7">
      <c r="D1473" s="256">
        <v>49008</v>
      </c>
      <c r="E1473" s="257" t="s">
        <v>4517</v>
      </c>
      <c r="F1473" s="257" t="s">
        <v>4552</v>
      </c>
      <c r="G1473" s="257" t="s">
        <v>4553</v>
      </c>
    </row>
    <row r="1474" customHeight="1" spans="4:7">
      <c r="D1474" s="256">
        <v>49008</v>
      </c>
      <c r="E1474" s="257" t="s">
        <v>4517</v>
      </c>
      <c r="F1474" s="257" t="s">
        <v>4554</v>
      </c>
      <c r="G1474" s="257" t="s">
        <v>4555</v>
      </c>
    </row>
    <row r="1475" customHeight="1" spans="4:7">
      <c r="D1475" s="256">
        <v>49008</v>
      </c>
      <c r="E1475" s="257" t="s">
        <v>4517</v>
      </c>
      <c r="F1475" s="257" t="s">
        <v>4556</v>
      </c>
      <c r="G1475" s="257" t="s">
        <v>4557</v>
      </c>
    </row>
    <row r="1476" customHeight="1" spans="4:7">
      <c r="D1476" s="256">
        <v>49008</v>
      </c>
      <c r="E1476" s="257" t="s">
        <v>4517</v>
      </c>
      <c r="F1476" s="257" t="s">
        <v>4558</v>
      </c>
      <c r="G1476" s="257" t="s">
        <v>4559</v>
      </c>
    </row>
    <row r="1477" customHeight="1" spans="4:7">
      <c r="D1477" s="256">
        <v>49008</v>
      </c>
      <c r="E1477" s="257" t="s">
        <v>4517</v>
      </c>
      <c r="F1477" s="257" t="s">
        <v>4560</v>
      </c>
      <c r="G1477" s="257" t="s">
        <v>4561</v>
      </c>
    </row>
    <row r="1478" customHeight="1" spans="4:7">
      <c r="D1478" s="256">
        <v>49008</v>
      </c>
      <c r="E1478" s="257" t="s">
        <v>4517</v>
      </c>
      <c r="F1478" s="257" t="s">
        <v>4562</v>
      </c>
      <c r="G1478" s="257" t="s">
        <v>4563</v>
      </c>
    </row>
    <row r="1479" customHeight="1" spans="4:7">
      <c r="D1479" s="256">
        <v>49008</v>
      </c>
      <c r="E1479" s="257" t="s">
        <v>4517</v>
      </c>
      <c r="F1479" s="257" t="s">
        <v>4564</v>
      </c>
      <c r="G1479" s="257" t="s">
        <v>4565</v>
      </c>
    </row>
    <row r="1480" customHeight="1" spans="4:7">
      <c r="D1480" s="256">
        <v>49008</v>
      </c>
      <c r="E1480" s="257" t="s">
        <v>4517</v>
      </c>
      <c r="F1480" s="257" t="s">
        <v>4566</v>
      </c>
      <c r="G1480" s="257" t="s">
        <v>4567</v>
      </c>
    </row>
    <row r="1481" customHeight="1" spans="4:7">
      <c r="D1481" s="256">
        <v>49008</v>
      </c>
      <c r="E1481" s="257" t="s">
        <v>4517</v>
      </c>
      <c r="F1481" s="257" t="s">
        <v>4568</v>
      </c>
      <c r="G1481" s="257" t="s">
        <v>4569</v>
      </c>
    </row>
    <row r="1482" customHeight="1" spans="4:7">
      <c r="D1482" s="256">
        <v>49008</v>
      </c>
      <c r="E1482" s="257" t="s">
        <v>4517</v>
      </c>
      <c r="F1482" s="257" t="s">
        <v>4570</v>
      </c>
      <c r="G1482" s="257" t="s">
        <v>4571</v>
      </c>
    </row>
    <row r="1483" customHeight="1" spans="4:7">
      <c r="D1483" s="256">
        <v>49008</v>
      </c>
      <c r="E1483" s="257" t="s">
        <v>4517</v>
      </c>
      <c r="F1483" s="257" t="s">
        <v>4572</v>
      </c>
      <c r="G1483" s="257" t="s">
        <v>4573</v>
      </c>
    </row>
    <row r="1484" customHeight="1" spans="4:7">
      <c r="D1484" s="256">
        <v>49008</v>
      </c>
      <c r="E1484" s="257" t="s">
        <v>4517</v>
      </c>
      <c r="F1484" s="257" t="s">
        <v>4574</v>
      </c>
      <c r="G1484" s="257" t="s">
        <v>4575</v>
      </c>
    </row>
    <row r="1485" customHeight="1" spans="4:7">
      <c r="D1485" s="256">
        <v>49008</v>
      </c>
      <c r="E1485" s="257" t="s">
        <v>4517</v>
      </c>
      <c r="F1485" s="257" t="s">
        <v>4576</v>
      </c>
      <c r="G1485" s="257" t="s">
        <v>4577</v>
      </c>
    </row>
    <row r="1486" customHeight="1" spans="4:7">
      <c r="D1486" s="256">
        <v>49008</v>
      </c>
      <c r="E1486" s="257" t="s">
        <v>4517</v>
      </c>
      <c r="F1486" s="257" t="s">
        <v>4578</v>
      </c>
      <c r="G1486" s="257" t="s">
        <v>4579</v>
      </c>
    </row>
    <row r="1487" customHeight="1" spans="4:7">
      <c r="D1487" s="256">
        <v>49008</v>
      </c>
      <c r="E1487" s="257" t="s">
        <v>4517</v>
      </c>
      <c r="F1487" s="257" t="s">
        <v>4580</v>
      </c>
      <c r="G1487" s="257" t="s">
        <v>4581</v>
      </c>
    </row>
    <row r="1488" customHeight="1" spans="4:7">
      <c r="D1488" s="256">
        <v>49008</v>
      </c>
      <c r="E1488" s="257" t="s">
        <v>4517</v>
      </c>
      <c r="F1488" s="257" t="s">
        <v>4582</v>
      </c>
      <c r="G1488" s="257" t="s">
        <v>4583</v>
      </c>
    </row>
    <row r="1489" customHeight="1" spans="4:7">
      <c r="D1489" s="256">
        <v>49008</v>
      </c>
      <c r="E1489" s="257" t="s">
        <v>4517</v>
      </c>
      <c r="F1489" s="257" t="s">
        <v>4584</v>
      </c>
      <c r="G1489" s="257" t="s">
        <v>4585</v>
      </c>
    </row>
    <row r="1490" customHeight="1" spans="4:7">
      <c r="D1490" s="256">
        <v>45005</v>
      </c>
      <c r="E1490" s="257" t="s">
        <v>4586</v>
      </c>
      <c r="F1490" s="257" t="s">
        <v>4587</v>
      </c>
      <c r="G1490" s="257" t="s">
        <v>4588</v>
      </c>
    </row>
    <row r="1491" customHeight="1" spans="4:7">
      <c r="D1491" s="256">
        <v>45005</v>
      </c>
      <c r="E1491" s="257" t="s">
        <v>4586</v>
      </c>
      <c r="F1491" s="257" t="s">
        <v>4589</v>
      </c>
      <c r="G1491" s="257" t="s">
        <v>4590</v>
      </c>
    </row>
    <row r="1492" customHeight="1" spans="4:7">
      <c r="D1492" s="256">
        <v>45005</v>
      </c>
      <c r="E1492" s="257" t="s">
        <v>4586</v>
      </c>
      <c r="F1492" s="257" t="s">
        <v>4591</v>
      </c>
      <c r="G1492" s="257" t="s">
        <v>4592</v>
      </c>
    </row>
    <row r="1493" customHeight="1" spans="4:7">
      <c r="D1493" s="256">
        <v>45005</v>
      </c>
      <c r="E1493" s="257" t="s">
        <v>4586</v>
      </c>
      <c r="F1493" s="257" t="s">
        <v>4593</v>
      </c>
      <c r="G1493" s="257" t="s">
        <v>4594</v>
      </c>
    </row>
    <row r="1494" customHeight="1" spans="4:7">
      <c r="D1494" s="256">
        <v>45005</v>
      </c>
      <c r="E1494" s="257" t="s">
        <v>4586</v>
      </c>
      <c r="F1494" s="257" t="s">
        <v>4595</v>
      </c>
      <c r="G1494" s="257" t="s">
        <v>2488</v>
      </c>
    </row>
    <row r="1495" customHeight="1" spans="4:7">
      <c r="D1495" s="256">
        <v>45005</v>
      </c>
      <c r="E1495" s="257" t="s">
        <v>4586</v>
      </c>
      <c r="F1495" s="257" t="s">
        <v>4596</v>
      </c>
      <c r="G1495" s="257" t="s">
        <v>4597</v>
      </c>
    </row>
    <row r="1496" customHeight="1" spans="4:7">
      <c r="D1496" s="256">
        <v>45005</v>
      </c>
      <c r="E1496" s="257" t="s">
        <v>4586</v>
      </c>
      <c r="F1496" s="257" t="s">
        <v>4598</v>
      </c>
      <c r="G1496" s="257" t="s">
        <v>4599</v>
      </c>
    </row>
    <row r="1497" customHeight="1" spans="4:7">
      <c r="D1497" s="256">
        <v>45005</v>
      </c>
      <c r="E1497" s="257" t="s">
        <v>4586</v>
      </c>
      <c r="F1497" s="257" t="s">
        <v>4600</v>
      </c>
      <c r="G1497" s="257" t="s">
        <v>4601</v>
      </c>
    </row>
    <row r="1498" customHeight="1" spans="4:7">
      <c r="D1498" s="256">
        <v>45005</v>
      </c>
      <c r="E1498" s="257" t="s">
        <v>4586</v>
      </c>
      <c r="F1498" s="257" t="s">
        <v>4602</v>
      </c>
      <c r="G1498" s="257" t="s">
        <v>4603</v>
      </c>
    </row>
    <row r="1499" customHeight="1" spans="4:7">
      <c r="D1499" s="256">
        <v>45005</v>
      </c>
      <c r="E1499" s="257" t="s">
        <v>4586</v>
      </c>
      <c r="F1499" s="257" t="s">
        <v>4604</v>
      </c>
      <c r="G1499" s="257" t="s">
        <v>4605</v>
      </c>
    </row>
    <row r="1500" customHeight="1" spans="4:7">
      <c r="D1500" s="256">
        <v>45005</v>
      </c>
      <c r="E1500" s="257" t="s">
        <v>4586</v>
      </c>
      <c r="F1500" s="257" t="s">
        <v>4606</v>
      </c>
      <c r="G1500" s="257" t="s">
        <v>4607</v>
      </c>
    </row>
    <row r="1501" customHeight="1" spans="4:7">
      <c r="D1501" s="256">
        <v>45005</v>
      </c>
      <c r="E1501" s="257" t="s">
        <v>4586</v>
      </c>
      <c r="F1501" s="257" t="s">
        <v>4608</v>
      </c>
      <c r="G1501" s="257" t="s">
        <v>4609</v>
      </c>
    </row>
    <row r="1502" customHeight="1" spans="4:7">
      <c r="D1502" s="256">
        <v>45005</v>
      </c>
      <c r="E1502" s="257" t="s">
        <v>4586</v>
      </c>
      <c r="F1502" s="257" t="s">
        <v>4610</v>
      </c>
      <c r="G1502" s="257" t="s">
        <v>4611</v>
      </c>
    </row>
    <row r="1503" customHeight="1" spans="4:7">
      <c r="D1503" s="256">
        <v>45005</v>
      </c>
      <c r="E1503" s="257" t="s">
        <v>4586</v>
      </c>
      <c r="F1503" s="257" t="s">
        <v>4612</v>
      </c>
      <c r="G1503" s="257" t="s">
        <v>4613</v>
      </c>
    </row>
    <row r="1504" customHeight="1" spans="4:7">
      <c r="D1504" s="256">
        <v>45005</v>
      </c>
      <c r="E1504" s="257" t="s">
        <v>4586</v>
      </c>
      <c r="F1504" s="257" t="s">
        <v>4614</v>
      </c>
      <c r="G1504" s="257" t="s">
        <v>4615</v>
      </c>
    </row>
    <row r="1505" customHeight="1" spans="4:7">
      <c r="D1505" s="256">
        <v>45005</v>
      </c>
      <c r="E1505" s="257" t="s">
        <v>4586</v>
      </c>
      <c r="F1505" s="257" t="s">
        <v>4616</v>
      </c>
      <c r="G1505" s="257" t="s">
        <v>4617</v>
      </c>
    </row>
    <row r="1506" customHeight="1" spans="4:7">
      <c r="D1506" s="256">
        <v>45005</v>
      </c>
      <c r="E1506" s="257" t="s">
        <v>4586</v>
      </c>
      <c r="F1506" s="257" t="s">
        <v>4618</v>
      </c>
      <c r="G1506" s="257" t="s">
        <v>4619</v>
      </c>
    </row>
    <row r="1507" customHeight="1" spans="4:7">
      <c r="D1507" s="256">
        <v>45005</v>
      </c>
      <c r="E1507" s="257" t="s">
        <v>4586</v>
      </c>
      <c r="F1507" s="257" t="s">
        <v>4620</v>
      </c>
      <c r="G1507" s="257" t="s">
        <v>4621</v>
      </c>
    </row>
    <row r="1508" customHeight="1" spans="4:7">
      <c r="D1508" s="256">
        <v>45005</v>
      </c>
      <c r="E1508" s="257" t="s">
        <v>4586</v>
      </c>
      <c r="F1508" s="257" t="s">
        <v>4622</v>
      </c>
      <c r="G1508" s="257" t="s">
        <v>4623</v>
      </c>
    </row>
    <row r="1509" customHeight="1" spans="4:7">
      <c r="D1509" s="256">
        <v>46011</v>
      </c>
      <c r="E1509" s="257" t="s">
        <v>4624</v>
      </c>
      <c r="F1509" s="257" t="s">
        <v>4625</v>
      </c>
      <c r="G1509" s="257" t="s">
        <v>4626</v>
      </c>
    </row>
    <row r="1510" customHeight="1" spans="4:7">
      <c r="D1510" s="256">
        <v>46011</v>
      </c>
      <c r="E1510" s="257" t="s">
        <v>4624</v>
      </c>
      <c r="F1510" s="257" t="s">
        <v>4627</v>
      </c>
      <c r="G1510" s="257" t="s">
        <v>4628</v>
      </c>
    </row>
    <row r="1511" customHeight="1" spans="4:7">
      <c r="D1511" s="256">
        <v>46011</v>
      </c>
      <c r="E1511" s="257" t="s">
        <v>4624</v>
      </c>
      <c r="F1511" s="257" t="s">
        <v>4629</v>
      </c>
      <c r="G1511" s="257" t="s">
        <v>4630</v>
      </c>
    </row>
    <row r="1512" customHeight="1" spans="4:7">
      <c r="D1512" s="256">
        <v>46011</v>
      </c>
      <c r="E1512" s="257" t="s">
        <v>4624</v>
      </c>
      <c r="F1512" s="257" t="s">
        <v>4631</v>
      </c>
      <c r="G1512" s="257" t="s">
        <v>4632</v>
      </c>
    </row>
    <row r="1513" customHeight="1" spans="4:7">
      <c r="D1513" s="256">
        <v>46011</v>
      </c>
      <c r="E1513" s="257" t="s">
        <v>4624</v>
      </c>
      <c r="F1513" s="257" t="s">
        <v>4633</v>
      </c>
      <c r="G1513" s="257" t="s">
        <v>4634</v>
      </c>
    </row>
    <row r="1514" customHeight="1" spans="4:7">
      <c r="D1514" s="256">
        <v>46011</v>
      </c>
      <c r="E1514" s="257" t="s">
        <v>4624</v>
      </c>
      <c r="F1514" s="257" t="s">
        <v>4635</v>
      </c>
      <c r="G1514" s="257" t="s">
        <v>4636</v>
      </c>
    </row>
    <row r="1515" customHeight="1" spans="4:7">
      <c r="D1515" s="256">
        <v>46011</v>
      </c>
      <c r="E1515" s="257" t="s">
        <v>4624</v>
      </c>
      <c r="F1515" s="257" t="s">
        <v>4637</v>
      </c>
      <c r="G1515" s="257" t="s">
        <v>4638</v>
      </c>
    </row>
    <row r="1516" customHeight="1" spans="4:7">
      <c r="D1516" s="256">
        <v>46011</v>
      </c>
      <c r="E1516" s="257" t="s">
        <v>4624</v>
      </c>
      <c r="F1516" s="257" t="s">
        <v>4639</v>
      </c>
      <c r="G1516" s="257" t="s">
        <v>4640</v>
      </c>
    </row>
    <row r="1517" customHeight="1" spans="4:7">
      <c r="D1517" s="256">
        <v>51017</v>
      </c>
      <c r="E1517" s="257" t="s">
        <v>4641</v>
      </c>
      <c r="F1517" s="257" t="s">
        <v>4642</v>
      </c>
      <c r="G1517" s="257" t="s">
        <v>4643</v>
      </c>
    </row>
    <row r="1518" customHeight="1" spans="4:7">
      <c r="D1518" s="256">
        <v>51017</v>
      </c>
      <c r="E1518" s="257" t="s">
        <v>4641</v>
      </c>
      <c r="F1518" s="257" t="s">
        <v>4644</v>
      </c>
      <c r="G1518" s="257" t="s">
        <v>4125</v>
      </c>
    </row>
    <row r="1519" customHeight="1" spans="4:7">
      <c r="D1519" s="256">
        <v>51017</v>
      </c>
      <c r="E1519" s="257" t="s">
        <v>4641</v>
      </c>
      <c r="F1519" s="257" t="s">
        <v>4645</v>
      </c>
      <c r="G1519" s="257" t="s">
        <v>4646</v>
      </c>
    </row>
    <row r="1520" customHeight="1" spans="4:7">
      <c r="D1520" s="256">
        <v>51017</v>
      </c>
      <c r="E1520" s="257" t="s">
        <v>4641</v>
      </c>
      <c r="F1520" s="257" t="s">
        <v>4647</v>
      </c>
      <c r="G1520" s="257" t="s">
        <v>4648</v>
      </c>
    </row>
    <row r="1521" customHeight="1" spans="4:7">
      <c r="D1521" s="256">
        <v>51017</v>
      </c>
      <c r="E1521" s="257" t="s">
        <v>4641</v>
      </c>
      <c r="F1521" s="257" t="s">
        <v>4649</v>
      </c>
      <c r="G1521" s="257" t="s">
        <v>4650</v>
      </c>
    </row>
    <row r="1522" customHeight="1" spans="4:7">
      <c r="D1522" s="256">
        <v>51017</v>
      </c>
      <c r="E1522" s="257" t="s">
        <v>4641</v>
      </c>
      <c r="F1522" s="257" t="s">
        <v>4651</v>
      </c>
      <c r="G1522" s="257" t="s">
        <v>4652</v>
      </c>
    </row>
    <row r="1523" customHeight="1" spans="4:7">
      <c r="D1523" s="256">
        <v>51017</v>
      </c>
      <c r="E1523" s="257" t="s">
        <v>4641</v>
      </c>
      <c r="F1523" s="257" t="s">
        <v>4653</v>
      </c>
      <c r="G1523" s="257" t="s">
        <v>3517</v>
      </c>
    </row>
    <row r="1524" customHeight="1" spans="4:7">
      <c r="D1524" s="256">
        <v>51017</v>
      </c>
      <c r="E1524" s="257" t="s">
        <v>4641</v>
      </c>
      <c r="F1524" s="257" t="s">
        <v>4654</v>
      </c>
      <c r="G1524" s="257" t="s">
        <v>4655</v>
      </c>
    </row>
    <row r="1525" customHeight="1" spans="4:7">
      <c r="D1525" s="256">
        <v>51017</v>
      </c>
      <c r="E1525" s="257" t="s">
        <v>4641</v>
      </c>
      <c r="F1525" s="257" t="s">
        <v>4656</v>
      </c>
      <c r="G1525" s="257" t="s">
        <v>4657</v>
      </c>
    </row>
    <row r="1526" customHeight="1" spans="4:7">
      <c r="D1526" s="256">
        <v>51017</v>
      </c>
      <c r="E1526" s="257" t="s">
        <v>4641</v>
      </c>
      <c r="F1526" s="257" t="s">
        <v>4658</v>
      </c>
      <c r="G1526" s="257" t="s">
        <v>4659</v>
      </c>
    </row>
    <row r="1527" customHeight="1" spans="4:7">
      <c r="D1527" s="256">
        <v>51017</v>
      </c>
      <c r="E1527" s="257" t="s">
        <v>4641</v>
      </c>
      <c r="F1527" s="257" t="s">
        <v>4660</v>
      </c>
      <c r="G1527" s="257" t="s">
        <v>4661</v>
      </c>
    </row>
    <row r="1528" customHeight="1" spans="4:7">
      <c r="D1528" s="256">
        <v>51017</v>
      </c>
      <c r="E1528" s="257" t="s">
        <v>4641</v>
      </c>
      <c r="F1528" s="257" t="s">
        <v>4662</v>
      </c>
      <c r="G1528" s="257" t="s">
        <v>4663</v>
      </c>
    </row>
    <row r="1529" customHeight="1" spans="4:7">
      <c r="D1529" s="256">
        <v>51017</v>
      </c>
      <c r="E1529" s="257" t="s">
        <v>4641</v>
      </c>
      <c r="F1529" s="257" t="s">
        <v>4664</v>
      </c>
      <c r="G1529" s="257" t="s">
        <v>4665</v>
      </c>
    </row>
    <row r="1530" customHeight="1" spans="4:7">
      <c r="D1530" s="256">
        <v>51017</v>
      </c>
      <c r="E1530" s="257" t="s">
        <v>4641</v>
      </c>
      <c r="F1530" s="257" t="s">
        <v>4666</v>
      </c>
      <c r="G1530" s="257" t="s">
        <v>4667</v>
      </c>
    </row>
    <row r="1531" customHeight="1" spans="4:7">
      <c r="D1531" s="256">
        <v>51017</v>
      </c>
      <c r="E1531" s="257" t="s">
        <v>4641</v>
      </c>
      <c r="F1531" s="257" t="s">
        <v>4668</v>
      </c>
      <c r="G1531" s="257" t="s">
        <v>3794</v>
      </c>
    </row>
    <row r="1532" customHeight="1" spans="4:7">
      <c r="D1532" s="256">
        <v>51017</v>
      </c>
      <c r="E1532" s="257" t="s">
        <v>4641</v>
      </c>
      <c r="F1532" s="257" t="s">
        <v>4669</v>
      </c>
      <c r="G1532" s="257" t="s">
        <v>4670</v>
      </c>
    </row>
    <row r="1533" customHeight="1" spans="4:7">
      <c r="D1533" s="256">
        <v>51017</v>
      </c>
      <c r="E1533" s="257" t="s">
        <v>4641</v>
      </c>
      <c r="F1533" s="257" t="s">
        <v>4671</v>
      </c>
      <c r="G1533" s="257" t="s">
        <v>4672</v>
      </c>
    </row>
    <row r="1534" customHeight="1" spans="4:7">
      <c r="D1534" s="256">
        <v>51017</v>
      </c>
      <c r="E1534" s="257" t="s">
        <v>4641</v>
      </c>
      <c r="F1534" s="257" t="s">
        <v>4673</v>
      </c>
      <c r="G1534" s="257" t="s">
        <v>4674</v>
      </c>
    </row>
    <row r="1535" customHeight="1" spans="4:7">
      <c r="D1535" s="256">
        <v>51017</v>
      </c>
      <c r="E1535" s="257" t="s">
        <v>4641</v>
      </c>
      <c r="F1535" s="257" t="s">
        <v>4675</v>
      </c>
      <c r="G1535" s="257" t="s">
        <v>4676</v>
      </c>
    </row>
    <row r="1536" customHeight="1" spans="4:7">
      <c r="D1536" s="256">
        <v>51017</v>
      </c>
      <c r="E1536" s="257" t="s">
        <v>4641</v>
      </c>
      <c r="F1536" s="257" t="s">
        <v>4677</v>
      </c>
      <c r="G1536" s="257" t="s">
        <v>4678</v>
      </c>
    </row>
    <row r="1537" customHeight="1" spans="4:7">
      <c r="D1537" s="256">
        <v>51017</v>
      </c>
      <c r="E1537" s="257" t="s">
        <v>4641</v>
      </c>
      <c r="F1537" s="257" t="s">
        <v>4679</v>
      </c>
      <c r="G1537" s="257" t="s">
        <v>4680</v>
      </c>
    </row>
    <row r="1538" customHeight="1" spans="4:7">
      <c r="D1538" s="256">
        <v>51017</v>
      </c>
      <c r="E1538" s="257" t="s">
        <v>4641</v>
      </c>
      <c r="F1538" s="257" t="s">
        <v>4681</v>
      </c>
      <c r="G1538" s="257" t="s">
        <v>4682</v>
      </c>
    </row>
    <row r="1539" customHeight="1" spans="4:7">
      <c r="D1539" s="256">
        <v>51017</v>
      </c>
      <c r="E1539" s="257" t="s">
        <v>4641</v>
      </c>
      <c r="F1539" s="257" t="s">
        <v>4683</v>
      </c>
      <c r="G1539" s="257" t="s">
        <v>4684</v>
      </c>
    </row>
    <row r="1540" customHeight="1" spans="4:7">
      <c r="D1540" s="256">
        <v>51017</v>
      </c>
      <c r="E1540" s="257" t="s">
        <v>4641</v>
      </c>
      <c r="F1540" s="257" t="s">
        <v>4685</v>
      </c>
      <c r="G1540" s="257" t="s">
        <v>4686</v>
      </c>
    </row>
    <row r="1541" customHeight="1" spans="4:7">
      <c r="D1541" s="256">
        <v>51017</v>
      </c>
      <c r="E1541" s="257" t="s">
        <v>4641</v>
      </c>
      <c r="F1541" s="257" t="s">
        <v>4687</v>
      </c>
      <c r="G1541" s="257" t="s">
        <v>4688</v>
      </c>
    </row>
    <row r="1542" customHeight="1" spans="4:7">
      <c r="D1542" s="256">
        <v>51017</v>
      </c>
      <c r="E1542" s="257" t="s">
        <v>4641</v>
      </c>
      <c r="F1542" s="257" t="s">
        <v>4689</v>
      </c>
      <c r="G1542" s="257" t="s">
        <v>4690</v>
      </c>
    </row>
    <row r="1543" customHeight="1" spans="4:7">
      <c r="D1543" s="256">
        <v>51017</v>
      </c>
      <c r="E1543" s="257" t="s">
        <v>4641</v>
      </c>
      <c r="F1543" s="257" t="s">
        <v>4691</v>
      </c>
      <c r="G1543" s="257" t="s">
        <v>4692</v>
      </c>
    </row>
    <row r="1544" customHeight="1" spans="4:7">
      <c r="D1544" s="256">
        <v>51017</v>
      </c>
      <c r="E1544" s="257" t="s">
        <v>4641</v>
      </c>
      <c r="F1544" s="257" t="s">
        <v>4693</v>
      </c>
      <c r="G1544" s="257" t="s">
        <v>4694</v>
      </c>
    </row>
    <row r="1545" customHeight="1" spans="4:7">
      <c r="D1545" s="256">
        <v>51017</v>
      </c>
      <c r="E1545" s="257" t="s">
        <v>4641</v>
      </c>
      <c r="F1545" s="257" t="s">
        <v>4695</v>
      </c>
      <c r="G1545" s="257" t="s">
        <v>4696</v>
      </c>
    </row>
    <row r="1546" customHeight="1" spans="4:7">
      <c r="D1546" s="256">
        <v>51017</v>
      </c>
      <c r="E1546" s="257" t="s">
        <v>4641</v>
      </c>
      <c r="F1546" s="257" t="s">
        <v>4697</v>
      </c>
      <c r="G1546" s="257" t="s">
        <v>4698</v>
      </c>
    </row>
    <row r="1547" customHeight="1" spans="4:7">
      <c r="D1547" s="256">
        <v>51017</v>
      </c>
      <c r="E1547" s="257" t="s">
        <v>4641</v>
      </c>
      <c r="F1547" s="257" t="s">
        <v>4699</v>
      </c>
      <c r="G1547" s="257" t="s">
        <v>4700</v>
      </c>
    </row>
    <row r="1548" customHeight="1" spans="4:7">
      <c r="D1548" s="256">
        <v>51017</v>
      </c>
      <c r="E1548" s="257" t="s">
        <v>4641</v>
      </c>
      <c r="F1548" s="257" t="s">
        <v>4701</v>
      </c>
      <c r="G1548" s="257" t="s">
        <v>4702</v>
      </c>
    </row>
    <row r="1549" customHeight="1" spans="4:7">
      <c r="D1549" s="256">
        <v>51017</v>
      </c>
      <c r="E1549" s="257" t="s">
        <v>4641</v>
      </c>
      <c r="F1549" s="257" t="s">
        <v>4703</v>
      </c>
      <c r="G1549" s="257" t="s">
        <v>4704</v>
      </c>
    </row>
    <row r="1550" customHeight="1" spans="4:7">
      <c r="D1550" s="256">
        <v>51017</v>
      </c>
      <c r="E1550" s="257" t="s">
        <v>4641</v>
      </c>
      <c r="F1550" s="257" t="s">
        <v>4705</v>
      </c>
      <c r="G1550" s="257" t="s">
        <v>3032</v>
      </c>
    </row>
    <row r="1551" customHeight="1" spans="4:7">
      <c r="D1551" s="256">
        <v>51017</v>
      </c>
      <c r="E1551" s="257" t="s">
        <v>4641</v>
      </c>
      <c r="F1551" s="257" t="s">
        <v>4706</v>
      </c>
      <c r="G1551" s="257" t="s">
        <v>4707</v>
      </c>
    </row>
    <row r="1552" customHeight="1" spans="4:7">
      <c r="D1552" s="256">
        <v>51017</v>
      </c>
      <c r="E1552" s="257" t="s">
        <v>4641</v>
      </c>
      <c r="F1552" s="257" t="s">
        <v>4708</v>
      </c>
      <c r="G1552" s="257" t="s">
        <v>4709</v>
      </c>
    </row>
    <row r="1553" customHeight="1" spans="4:7">
      <c r="D1553" s="256">
        <v>51017</v>
      </c>
      <c r="E1553" s="257" t="s">
        <v>4641</v>
      </c>
      <c r="F1553" s="257" t="s">
        <v>4710</v>
      </c>
      <c r="G1553" s="257" t="s">
        <v>4711</v>
      </c>
    </row>
    <row r="1554" customHeight="1" spans="4:7">
      <c r="D1554" s="256">
        <v>51017</v>
      </c>
      <c r="E1554" s="257" t="s">
        <v>4641</v>
      </c>
      <c r="F1554" s="257" t="s">
        <v>4712</v>
      </c>
      <c r="G1554" s="257" t="s">
        <v>4713</v>
      </c>
    </row>
    <row r="1555" customHeight="1" spans="4:7">
      <c r="D1555" s="256">
        <v>51017</v>
      </c>
      <c r="E1555" s="257" t="s">
        <v>4641</v>
      </c>
      <c r="F1555" s="257" t="s">
        <v>4714</v>
      </c>
      <c r="G1555" s="257" t="s">
        <v>4715</v>
      </c>
    </row>
    <row r="1556" customHeight="1" spans="4:7">
      <c r="D1556" s="256">
        <v>51017</v>
      </c>
      <c r="E1556" s="257" t="s">
        <v>4641</v>
      </c>
      <c r="F1556" s="257" t="s">
        <v>4716</v>
      </c>
      <c r="G1556" s="257" t="s">
        <v>4717</v>
      </c>
    </row>
    <row r="1557" customHeight="1" spans="4:7">
      <c r="D1557" s="256">
        <v>51017</v>
      </c>
      <c r="E1557" s="257" t="s">
        <v>4641</v>
      </c>
      <c r="F1557" s="257" t="s">
        <v>4718</v>
      </c>
      <c r="G1557" s="257" t="s">
        <v>4719</v>
      </c>
    </row>
    <row r="1558" customHeight="1" spans="4:7">
      <c r="D1558" s="256">
        <v>51017</v>
      </c>
      <c r="E1558" s="257" t="s">
        <v>4641</v>
      </c>
      <c r="F1558" s="257" t="s">
        <v>4720</v>
      </c>
      <c r="G1558" s="257" t="s">
        <v>4721</v>
      </c>
    </row>
    <row r="1559" customHeight="1" spans="4:7">
      <c r="D1559" s="256">
        <v>51017</v>
      </c>
      <c r="E1559" s="257" t="s">
        <v>4641</v>
      </c>
      <c r="F1559" s="257" t="s">
        <v>4722</v>
      </c>
      <c r="G1559" s="257" t="s">
        <v>4723</v>
      </c>
    </row>
    <row r="1560" customHeight="1" spans="4:7">
      <c r="D1560" s="256">
        <v>51017</v>
      </c>
      <c r="E1560" s="257" t="s">
        <v>4641</v>
      </c>
      <c r="F1560" s="257" t="s">
        <v>4724</v>
      </c>
      <c r="G1560" s="257" t="s">
        <v>4725</v>
      </c>
    </row>
    <row r="1561" customHeight="1" spans="4:7">
      <c r="D1561" s="256">
        <v>51017</v>
      </c>
      <c r="E1561" s="257" t="s">
        <v>4641</v>
      </c>
      <c r="F1561" s="257" t="s">
        <v>4726</v>
      </c>
      <c r="G1561" s="257" t="s">
        <v>4727</v>
      </c>
    </row>
    <row r="1562" customHeight="1" spans="4:7">
      <c r="D1562" s="256">
        <v>51017</v>
      </c>
      <c r="E1562" s="257" t="s">
        <v>4641</v>
      </c>
      <c r="F1562" s="257" t="s">
        <v>4728</v>
      </c>
      <c r="G1562" s="257" t="s">
        <v>4729</v>
      </c>
    </row>
    <row r="1563" customHeight="1" spans="4:7">
      <c r="D1563" s="256">
        <v>51017</v>
      </c>
      <c r="E1563" s="257" t="s">
        <v>4641</v>
      </c>
      <c r="F1563" s="257" t="s">
        <v>4730</v>
      </c>
      <c r="G1563" s="257" t="s">
        <v>4731</v>
      </c>
    </row>
    <row r="1564" customHeight="1" spans="4:7">
      <c r="D1564" s="256">
        <v>51017</v>
      </c>
      <c r="E1564" s="257" t="s">
        <v>4641</v>
      </c>
      <c r="F1564" s="257" t="s">
        <v>4732</v>
      </c>
      <c r="G1564" s="257" t="s">
        <v>4733</v>
      </c>
    </row>
    <row r="1565" customHeight="1" spans="4:7">
      <c r="D1565" s="256">
        <v>51017</v>
      </c>
      <c r="E1565" s="257" t="s">
        <v>4641</v>
      </c>
      <c r="F1565" s="257" t="s">
        <v>4734</v>
      </c>
      <c r="G1565" s="257" t="s">
        <v>4735</v>
      </c>
    </row>
    <row r="1566" customHeight="1" spans="4:7">
      <c r="D1566" s="256">
        <v>51017</v>
      </c>
      <c r="E1566" s="257" t="s">
        <v>4641</v>
      </c>
      <c r="F1566" s="257" t="s">
        <v>4736</v>
      </c>
      <c r="G1566" s="257" t="s">
        <v>3936</v>
      </c>
    </row>
    <row r="1567" customHeight="1" spans="4:7">
      <c r="D1567" s="256">
        <v>51017</v>
      </c>
      <c r="E1567" s="257" t="s">
        <v>4641</v>
      </c>
      <c r="F1567" s="257" t="s">
        <v>4737</v>
      </c>
      <c r="G1567" s="257" t="s">
        <v>4738</v>
      </c>
    </row>
    <row r="1568" customHeight="1" spans="4:7">
      <c r="D1568" s="256">
        <v>51017</v>
      </c>
      <c r="E1568" s="257" t="s">
        <v>4641</v>
      </c>
      <c r="F1568" s="257" t="s">
        <v>4739</v>
      </c>
      <c r="G1568" s="257" t="s">
        <v>4740</v>
      </c>
    </row>
    <row r="1569" customHeight="1" spans="4:7">
      <c r="D1569" s="256">
        <v>51017</v>
      </c>
      <c r="E1569" s="257" t="s">
        <v>4641</v>
      </c>
      <c r="F1569" s="257" t="s">
        <v>4741</v>
      </c>
      <c r="G1569" s="257" t="s">
        <v>4742</v>
      </c>
    </row>
    <row r="1570" customHeight="1" spans="4:7">
      <c r="D1570" s="256">
        <v>51017</v>
      </c>
      <c r="E1570" s="257" t="s">
        <v>4641</v>
      </c>
      <c r="F1570" s="257" t="s">
        <v>4743</v>
      </c>
      <c r="G1570" s="257" t="s">
        <v>4744</v>
      </c>
    </row>
    <row r="1571" customHeight="1" spans="4:7">
      <c r="D1571" s="256">
        <v>51017</v>
      </c>
      <c r="E1571" s="257" t="s">
        <v>4641</v>
      </c>
      <c r="F1571" s="257" t="s">
        <v>4745</v>
      </c>
      <c r="G1571" s="257" t="s">
        <v>4746</v>
      </c>
    </row>
    <row r="1572" customHeight="1" spans="4:7">
      <c r="D1572" s="256">
        <v>51017</v>
      </c>
      <c r="E1572" s="257" t="s">
        <v>4641</v>
      </c>
      <c r="F1572" s="257" t="s">
        <v>4747</v>
      </c>
      <c r="G1572" s="257" t="s">
        <v>4748</v>
      </c>
    </row>
    <row r="1573" customHeight="1" spans="4:7">
      <c r="D1573" s="256">
        <v>51017</v>
      </c>
      <c r="E1573" s="257" t="s">
        <v>4641</v>
      </c>
      <c r="F1573" s="257" t="s">
        <v>4749</v>
      </c>
      <c r="G1573" s="257" t="s">
        <v>4750</v>
      </c>
    </row>
    <row r="1574" customHeight="1" spans="4:7">
      <c r="D1574" s="256">
        <v>51017</v>
      </c>
      <c r="E1574" s="257" t="s">
        <v>4641</v>
      </c>
      <c r="F1574" s="257" t="s">
        <v>4751</v>
      </c>
      <c r="G1574" s="257" t="s">
        <v>4166</v>
      </c>
    </row>
    <row r="1575" customHeight="1" spans="4:7">
      <c r="D1575" s="256">
        <v>51017</v>
      </c>
      <c r="E1575" s="257" t="s">
        <v>4641</v>
      </c>
      <c r="F1575" s="257" t="s">
        <v>4752</v>
      </c>
      <c r="G1575" s="257" t="s">
        <v>4753</v>
      </c>
    </row>
    <row r="1576" customHeight="1" spans="4:7">
      <c r="D1576" s="256">
        <v>51017</v>
      </c>
      <c r="E1576" s="257" t="s">
        <v>4641</v>
      </c>
      <c r="F1576" s="257" t="s">
        <v>4754</v>
      </c>
      <c r="G1576" s="257" t="s">
        <v>4755</v>
      </c>
    </row>
    <row r="1577" customHeight="1" spans="4:7">
      <c r="D1577" s="256">
        <v>51017</v>
      </c>
      <c r="E1577" s="257" t="s">
        <v>4641</v>
      </c>
      <c r="F1577" s="257" t="s">
        <v>4756</v>
      </c>
      <c r="G1577" s="257" t="s">
        <v>4757</v>
      </c>
    </row>
    <row r="1578" customHeight="1" spans="4:7">
      <c r="D1578" s="256">
        <v>51017</v>
      </c>
      <c r="E1578" s="257" t="s">
        <v>4641</v>
      </c>
      <c r="F1578" s="257" t="s">
        <v>4758</v>
      </c>
      <c r="G1578" s="257" t="s">
        <v>4759</v>
      </c>
    </row>
    <row r="1579" customHeight="1" spans="4:7">
      <c r="D1579" s="256">
        <v>51017</v>
      </c>
      <c r="E1579" s="257" t="s">
        <v>4641</v>
      </c>
      <c r="F1579" s="257" t="s">
        <v>4760</v>
      </c>
      <c r="G1579" s="257" t="s">
        <v>4761</v>
      </c>
    </row>
    <row r="1580" customHeight="1" spans="4:7">
      <c r="D1580" s="256">
        <v>51017</v>
      </c>
      <c r="E1580" s="257" t="s">
        <v>4641</v>
      </c>
      <c r="F1580" s="257" t="s">
        <v>4762</v>
      </c>
      <c r="G1580" s="257" t="s">
        <v>4763</v>
      </c>
    </row>
    <row r="1581" customHeight="1" spans="4:7">
      <c r="D1581" s="256">
        <v>51017</v>
      </c>
      <c r="E1581" s="257" t="s">
        <v>4641</v>
      </c>
      <c r="F1581" s="257" t="s">
        <v>4764</v>
      </c>
      <c r="G1581" s="257" t="s">
        <v>4765</v>
      </c>
    </row>
    <row r="1582" customHeight="1" spans="4:7">
      <c r="D1582" s="256">
        <v>51017</v>
      </c>
      <c r="E1582" s="257" t="s">
        <v>4641</v>
      </c>
      <c r="F1582" s="257" t="s">
        <v>4766</v>
      </c>
      <c r="G1582" s="257" t="s">
        <v>2786</v>
      </c>
    </row>
    <row r="1583" customHeight="1" spans="4:7">
      <c r="D1583" s="256">
        <v>51017</v>
      </c>
      <c r="E1583" s="257" t="s">
        <v>4641</v>
      </c>
      <c r="F1583" s="257" t="s">
        <v>4767</v>
      </c>
      <c r="G1583" s="257" t="s">
        <v>4768</v>
      </c>
    </row>
    <row r="1584" customHeight="1" spans="4:7">
      <c r="D1584" s="256">
        <v>51017</v>
      </c>
      <c r="E1584" s="257" t="s">
        <v>4641</v>
      </c>
      <c r="F1584" s="257" t="s">
        <v>4769</v>
      </c>
      <c r="G1584" s="257" t="s">
        <v>4770</v>
      </c>
    </row>
    <row r="1585" customHeight="1" spans="4:7">
      <c r="D1585" s="256">
        <v>51017</v>
      </c>
      <c r="E1585" s="257" t="s">
        <v>4641</v>
      </c>
      <c r="F1585" s="257" t="s">
        <v>4771</v>
      </c>
      <c r="G1585" s="257" t="s">
        <v>4772</v>
      </c>
    </row>
    <row r="1586" customHeight="1" spans="4:7">
      <c r="D1586" s="256">
        <v>51017</v>
      </c>
      <c r="E1586" s="257" t="s">
        <v>4641</v>
      </c>
      <c r="F1586" s="257" t="s">
        <v>4773</v>
      </c>
      <c r="G1586" s="257" t="s">
        <v>4774</v>
      </c>
    </row>
    <row r="1587" customHeight="1" spans="4:7">
      <c r="D1587" s="256">
        <v>51017</v>
      </c>
      <c r="E1587" s="257" t="s">
        <v>4641</v>
      </c>
      <c r="F1587" s="257" t="s">
        <v>4775</v>
      </c>
      <c r="G1587" s="257" t="s">
        <v>4776</v>
      </c>
    </row>
    <row r="1588" customHeight="1" spans="4:7">
      <c r="D1588" s="256">
        <v>51017</v>
      </c>
      <c r="E1588" s="257" t="s">
        <v>4641</v>
      </c>
      <c r="F1588" s="257" t="s">
        <v>4777</v>
      </c>
      <c r="G1588" s="257" t="s">
        <v>4778</v>
      </c>
    </row>
    <row r="1589" customHeight="1" spans="4:7">
      <c r="D1589" s="256">
        <v>51017</v>
      </c>
      <c r="E1589" s="257" t="s">
        <v>4641</v>
      </c>
      <c r="F1589" s="257" t="s">
        <v>4779</v>
      </c>
      <c r="G1589" s="257" t="s">
        <v>4780</v>
      </c>
    </row>
    <row r="1590" customHeight="1" spans="4:7">
      <c r="D1590" s="256">
        <v>51017</v>
      </c>
      <c r="E1590" s="257" t="s">
        <v>4641</v>
      </c>
      <c r="F1590" s="257" t="s">
        <v>4781</v>
      </c>
      <c r="G1590" s="257" t="s">
        <v>4782</v>
      </c>
    </row>
    <row r="1591" customHeight="1" spans="4:7">
      <c r="D1591" s="256">
        <v>51017</v>
      </c>
      <c r="E1591" s="257" t="s">
        <v>4641</v>
      </c>
      <c r="F1591" s="257" t="s">
        <v>4783</v>
      </c>
      <c r="G1591" s="257" t="s">
        <v>4784</v>
      </c>
    </row>
    <row r="1592" customHeight="1" spans="4:7">
      <c r="D1592" s="256">
        <v>51017</v>
      </c>
      <c r="E1592" s="257" t="s">
        <v>4641</v>
      </c>
      <c r="F1592" s="257" t="s">
        <v>4785</v>
      </c>
      <c r="G1592" s="257" t="s">
        <v>4786</v>
      </c>
    </row>
    <row r="1593" customHeight="1" spans="4:7">
      <c r="D1593" s="256">
        <v>51017</v>
      </c>
      <c r="E1593" s="257" t="s">
        <v>4641</v>
      </c>
      <c r="F1593" s="257" t="s">
        <v>4787</v>
      </c>
      <c r="G1593" s="257" t="s">
        <v>2852</v>
      </c>
    </row>
    <row r="1594" customHeight="1" spans="4:7">
      <c r="D1594" s="256">
        <v>51017</v>
      </c>
      <c r="E1594" s="257" t="s">
        <v>4641</v>
      </c>
      <c r="F1594" s="257" t="s">
        <v>4788</v>
      </c>
      <c r="G1594" s="257" t="s">
        <v>4789</v>
      </c>
    </row>
    <row r="1595" customHeight="1" spans="4:7">
      <c r="D1595" s="256">
        <v>50013</v>
      </c>
      <c r="E1595" s="257" t="s">
        <v>4790</v>
      </c>
      <c r="F1595" s="257" t="s">
        <v>4791</v>
      </c>
      <c r="G1595" s="257" t="s">
        <v>4792</v>
      </c>
    </row>
    <row r="1596" customHeight="1" spans="4:7">
      <c r="D1596" s="256">
        <v>50013</v>
      </c>
      <c r="E1596" s="257" t="s">
        <v>4790</v>
      </c>
      <c r="F1596" s="257" t="s">
        <v>4793</v>
      </c>
      <c r="G1596" s="257" t="s">
        <v>4794</v>
      </c>
    </row>
    <row r="1597" customHeight="1" spans="4:7">
      <c r="D1597" s="256">
        <v>50013</v>
      </c>
      <c r="E1597" s="257" t="s">
        <v>4790</v>
      </c>
      <c r="F1597" s="257" t="s">
        <v>4795</v>
      </c>
      <c r="G1597" s="257" t="s">
        <v>4796</v>
      </c>
    </row>
    <row r="1598" customHeight="1" spans="4:7">
      <c r="D1598" s="256">
        <v>50013</v>
      </c>
      <c r="E1598" s="257" t="s">
        <v>4790</v>
      </c>
      <c r="F1598" s="257" t="s">
        <v>4797</v>
      </c>
      <c r="G1598" s="257" t="s">
        <v>4798</v>
      </c>
    </row>
    <row r="1599" customHeight="1" spans="4:7">
      <c r="D1599" s="256">
        <v>50013</v>
      </c>
      <c r="E1599" s="257" t="s">
        <v>4790</v>
      </c>
      <c r="F1599" s="257" t="s">
        <v>4799</v>
      </c>
      <c r="G1599" s="257" t="s">
        <v>4800</v>
      </c>
    </row>
    <row r="1600" customHeight="1" spans="4:7">
      <c r="D1600" s="256">
        <v>50013</v>
      </c>
      <c r="E1600" s="257" t="s">
        <v>4790</v>
      </c>
      <c r="F1600" s="257" t="s">
        <v>4801</v>
      </c>
      <c r="G1600" s="257" t="s">
        <v>4802</v>
      </c>
    </row>
    <row r="1601" customHeight="1" spans="4:7">
      <c r="D1601" s="256">
        <v>50013</v>
      </c>
      <c r="E1601" s="257" t="s">
        <v>4790</v>
      </c>
      <c r="F1601" s="257" t="s">
        <v>4803</v>
      </c>
      <c r="G1601" s="257" t="s">
        <v>4804</v>
      </c>
    </row>
    <row r="1602" customHeight="1" spans="4:7">
      <c r="D1602" s="256">
        <v>50013</v>
      </c>
      <c r="E1602" s="257" t="s">
        <v>4790</v>
      </c>
      <c r="F1602" s="257" t="s">
        <v>4805</v>
      </c>
      <c r="G1602" s="257" t="s">
        <v>2827</v>
      </c>
    </row>
    <row r="1603" customHeight="1" spans="4:7">
      <c r="D1603" s="256">
        <v>50013</v>
      </c>
      <c r="E1603" s="257" t="s">
        <v>4790</v>
      </c>
      <c r="F1603" s="257" t="s">
        <v>4806</v>
      </c>
      <c r="G1603" s="257" t="s">
        <v>4807</v>
      </c>
    </row>
    <row r="1604" customHeight="1" spans="4:7">
      <c r="D1604" s="256">
        <v>50013</v>
      </c>
      <c r="E1604" s="257" t="s">
        <v>4790</v>
      </c>
      <c r="F1604" s="257" t="s">
        <v>4808</v>
      </c>
      <c r="G1604" s="257" t="s">
        <v>4809</v>
      </c>
    </row>
    <row r="1605" customHeight="1" spans="4:7">
      <c r="D1605" s="256">
        <v>50013</v>
      </c>
      <c r="E1605" s="257" t="s">
        <v>4790</v>
      </c>
      <c r="F1605" s="257" t="s">
        <v>4810</v>
      </c>
      <c r="G1605" s="257" t="s">
        <v>4811</v>
      </c>
    </row>
    <row r="1606" customHeight="1" spans="4:7">
      <c r="D1606" s="256">
        <v>50013</v>
      </c>
      <c r="E1606" s="257" t="s">
        <v>4790</v>
      </c>
      <c r="F1606" s="257" t="s">
        <v>4812</v>
      </c>
      <c r="G1606" s="257" t="s">
        <v>4813</v>
      </c>
    </row>
    <row r="1607" customHeight="1" spans="4:7">
      <c r="D1607" s="256">
        <v>50013</v>
      </c>
      <c r="E1607" s="257" t="s">
        <v>4790</v>
      </c>
      <c r="F1607" s="257" t="s">
        <v>4814</v>
      </c>
      <c r="G1607" s="257" t="s">
        <v>4815</v>
      </c>
    </row>
    <row r="1608" customHeight="1" spans="4:7">
      <c r="D1608" s="256">
        <v>47004</v>
      </c>
      <c r="E1608" s="257" t="s">
        <v>4816</v>
      </c>
      <c r="F1608" s="257" t="s">
        <v>4817</v>
      </c>
      <c r="G1608" s="257" t="s">
        <v>4818</v>
      </c>
    </row>
    <row r="1609" customHeight="1" spans="4:7">
      <c r="D1609" s="256">
        <v>47004</v>
      </c>
      <c r="E1609" s="257" t="s">
        <v>4816</v>
      </c>
      <c r="F1609" s="257" t="s">
        <v>4819</v>
      </c>
      <c r="G1609" s="257" t="s">
        <v>4820</v>
      </c>
    </row>
    <row r="1610" customHeight="1" spans="4:7">
      <c r="D1610" s="256">
        <v>47004</v>
      </c>
      <c r="E1610" s="257" t="s">
        <v>4816</v>
      </c>
      <c r="F1610" s="257" t="s">
        <v>4821</v>
      </c>
      <c r="G1610" s="257" t="s">
        <v>4822</v>
      </c>
    </row>
    <row r="1611" customHeight="1" spans="4:7">
      <c r="D1611" s="256">
        <v>47004</v>
      </c>
      <c r="E1611" s="257" t="s">
        <v>4816</v>
      </c>
      <c r="F1611" s="257" t="s">
        <v>4823</v>
      </c>
      <c r="G1611" s="257" t="s">
        <v>4824</v>
      </c>
    </row>
    <row r="1612" customHeight="1" spans="4:7">
      <c r="D1612" s="256">
        <v>47004</v>
      </c>
      <c r="E1612" s="257" t="s">
        <v>4816</v>
      </c>
      <c r="F1612" s="257" t="s">
        <v>4825</v>
      </c>
      <c r="G1612" s="257" t="s">
        <v>4826</v>
      </c>
    </row>
    <row r="1613" customHeight="1" spans="4:7">
      <c r="D1613" s="256">
        <v>47004</v>
      </c>
      <c r="E1613" s="257" t="s">
        <v>4816</v>
      </c>
      <c r="F1613" s="257" t="s">
        <v>4827</v>
      </c>
      <c r="G1613" s="257" t="s">
        <v>4828</v>
      </c>
    </row>
    <row r="1614" customHeight="1" spans="4:7">
      <c r="D1614" s="256">
        <v>47004</v>
      </c>
      <c r="E1614" s="257" t="s">
        <v>4816</v>
      </c>
      <c r="F1614" s="257" t="s">
        <v>4829</v>
      </c>
      <c r="G1614" s="257" t="s">
        <v>4830</v>
      </c>
    </row>
    <row r="1615" customHeight="1" spans="4:7">
      <c r="D1615" s="256">
        <v>47004</v>
      </c>
      <c r="E1615" s="257" t="s">
        <v>4816</v>
      </c>
      <c r="F1615" s="257" t="s">
        <v>4831</v>
      </c>
      <c r="G1615" s="257" t="s">
        <v>4832</v>
      </c>
    </row>
    <row r="1616" customHeight="1" spans="4:7">
      <c r="D1616" s="256">
        <v>47004</v>
      </c>
      <c r="E1616" s="257" t="s">
        <v>4816</v>
      </c>
      <c r="F1616" s="257" t="s">
        <v>4833</v>
      </c>
      <c r="G1616" s="257" t="s">
        <v>4834</v>
      </c>
    </row>
    <row r="1617" customHeight="1" spans="4:7">
      <c r="D1617" s="256">
        <v>47004</v>
      </c>
      <c r="E1617" s="257" t="s">
        <v>4816</v>
      </c>
      <c r="F1617" s="257" t="s">
        <v>4835</v>
      </c>
      <c r="G1617" s="257" t="s">
        <v>4836</v>
      </c>
    </row>
    <row r="1618" customHeight="1" spans="4:7">
      <c r="D1618" s="256">
        <v>48013</v>
      </c>
      <c r="E1618" s="257" t="s">
        <v>4837</v>
      </c>
      <c r="F1618" s="257" t="s">
        <v>4838</v>
      </c>
      <c r="G1618" s="257" t="s">
        <v>4839</v>
      </c>
    </row>
    <row r="1619" customHeight="1" spans="4:7">
      <c r="D1619" s="256">
        <v>48013</v>
      </c>
      <c r="E1619" s="257" t="s">
        <v>4837</v>
      </c>
      <c r="F1619" s="257" t="s">
        <v>4840</v>
      </c>
      <c r="G1619" s="257" t="s">
        <v>4841</v>
      </c>
    </row>
    <row r="1620" customHeight="1" spans="4:7">
      <c r="D1620" s="256">
        <v>48013</v>
      </c>
      <c r="E1620" s="257" t="s">
        <v>4837</v>
      </c>
      <c r="F1620" s="257" t="s">
        <v>4842</v>
      </c>
      <c r="G1620" s="257" t="s">
        <v>4843</v>
      </c>
    </row>
    <row r="1621" customHeight="1" spans="4:7">
      <c r="D1621" s="256">
        <v>48013</v>
      </c>
      <c r="E1621" s="257" t="s">
        <v>4837</v>
      </c>
      <c r="F1621" s="257" t="s">
        <v>4844</v>
      </c>
      <c r="G1621" s="257" t="s">
        <v>4845</v>
      </c>
    </row>
    <row r="1622" customHeight="1" spans="4:7">
      <c r="D1622" s="256">
        <v>48013</v>
      </c>
      <c r="E1622" s="257" t="s">
        <v>4837</v>
      </c>
      <c r="F1622" s="257" t="s">
        <v>4846</v>
      </c>
      <c r="G1622" s="257" t="s">
        <v>4847</v>
      </c>
    </row>
    <row r="1623" customHeight="1" spans="4:7">
      <c r="D1623" s="256">
        <v>48013</v>
      </c>
      <c r="E1623" s="257" t="s">
        <v>4837</v>
      </c>
      <c r="F1623" s="257" t="s">
        <v>4848</v>
      </c>
      <c r="G1623" s="257" t="s">
        <v>4849</v>
      </c>
    </row>
    <row r="1624" customHeight="1" spans="4:7">
      <c r="D1624" s="256">
        <v>48013</v>
      </c>
      <c r="E1624" s="257" t="s">
        <v>4837</v>
      </c>
      <c r="F1624" s="257" t="s">
        <v>4850</v>
      </c>
      <c r="G1624" s="257" t="s">
        <v>4851</v>
      </c>
    </row>
    <row r="1625" customHeight="1" spans="4:7">
      <c r="D1625" s="256">
        <v>48013</v>
      </c>
      <c r="E1625" s="257" t="s">
        <v>4837</v>
      </c>
      <c r="F1625" s="257" t="s">
        <v>4852</v>
      </c>
      <c r="G1625" s="257" t="s">
        <v>4853</v>
      </c>
    </row>
    <row r="1626" customHeight="1" spans="4:7">
      <c r="D1626" s="256">
        <v>48013</v>
      </c>
      <c r="E1626" s="257" t="s">
        <v>4837</v>
      </c>
      <c r="F1626" s="257" t="s">
        <v>4854</v>
      </c>
      <c r="G1626" s="257" t="s">
        <v>4855</v>
      </c>
    </row>
    <row r="1627" customHeight="1" spans="4:7">
      <c r="D1627" s="256">
        <v>48014</v>
      </c>
      <c r="E1627" s="257" t="s">
        <v>4856</v>
      </c>
      <c r="F1627" s="257" t="s">
        <v>4857</v>
      </c>
      <c r="G1627" s="257" t="s">
        <v>4858</v>
      </c>
    </row>
    <row r="1628" customHeight="1" spans="4:7">
      <c r="D1628" s="256">
        <v>48014</v>
      </c>
      <c r="E1628" s="257" t="s">
        <v>4856</v>
      </c>
      <c r="F1628" s="257" t="s">
        <v>4859</v>
      </c>
      <c r="G1628" s="257" t="s">
        <v>4860</v>
      </c>
    </row>
    <row r="1629" customHeight="1" spans="4:7">
      <c r="D1629" s="256">
        <v>48014</v>
      </c>
      <c r="E1629" s="257" t="s">
        <v>4856</v>
      </c>
      <c r="F1629" s="257" t="s">
        <v>4861</v>
      </c>
      <c r="G1629" s="257" t="s">
        <v>4862</v>
      </c>
    </row>
    <row r="1630" customHeight="1" spans="4:7">
      <c r="D1630" s="256">
        <v>48014</v>
      </c>
      <c r="E1630" s="257" t="s">
        <v>4856</v>
      </c>
      <c r="F1630" s="257" t="s">
        <v>4863</v>
      </c>
      <c r="G1630" s="257" t="s">
        <v>4864</v>
      </c>
    </row>
    <row r="1631" customHeight="1" spans="4:7">
      <c r="D1631" s="256">
        <v>48014</v>
      </c>
      <c r="E1631" s="257" t="s">
        <v>4856</v>
      </c>
      <c r="F1631" s="257" t="s">
        <v>4865</v>
      </c>
      <c r="G1631" s="257" t="s">
        <v>4866</v>
      </c>
    </row>
    <row r="1632" customHeight="1" spans="4:7">
      <c r="D1632" s="256">
        <v>48014</v>
      </c>
      <c r="E1632" s="257" t="s">
        <v>4856</v>
      </c>
      <c r="F1632" s="257" t="s">
        <v>4867</v>
      </c>
      <c r="G1632" s="257" t="s">
        <v>4868</v>
      </c>
    </row>
    <row r="1633" customHeight="1" spans="4:7">
      <c r="D1633" s="256">
        <v>48014</v>
      </c>
      <c r="E1633" s="257" t="s">
        <v>4856</v>
      </c>
      <c r="F1633" s="257" t="s">
        <v>4869</v>
      </c>
      <c r="G1633" s="257" t="s">
        <v>4870</v>
      </c>
    </row>
    <row r="1634" customHeight="1" spans="4:7">
      <c r="D1634" s="256">
        <v>48014</v>
      </c>
      <c r="E1634" s="257" t="s">
        <v>4856</v>
      </c>
      <c r="F1634" s="257" t="s">
        <v>4871</v>
      </c>
      <c r="G1634" s="257" t="s">
        <v>3175</v>
      </c>
    </row>
    <row r="1635" customHeight="1" spans="4:7">
      <c r="D1635" s="256">
        <v>48014</v>
      </c>
      <c r="E1635" s="257" t="s">
        <v>4856</v>
      </c>
      <c r="F1635" s="257" t="s">
        <v>4872</v>
      </c>
      <c r="G1635" s="257" t="s">
        <v>4873</v>
      </c>
    </row>
    <row r="1636" customHeight="1" spans="4:7">
      <c r="D1636" s="256">
        <v>48014</v>
      </c>
      <c r="E1636" s="257" t="s">
        <v>4856</v>
      </c>
      <c r="F1636" s="257" t="s">
        <v>4874</v>
      </c>
      <c r="G1636" s="257" t="s">
        <v>4875</v>
      </c>
    </row>
    <row r="1637" customHeight="1" spans="4:7">
      <c r="D1637" s="256">
        <v>48014</v>
      </c>
      <c r="E1637" s="257" t="s">
        <v>4856</v>
      </c>
      <c r="F1637" s="257" t="s">
        <v>4876</v>
      </c>
      <c r="G1637" s="257" t="s">
        <v>3353</v>
      </c>
    </row>
    <row r="1638" customHeight="1" spans="4:7">
      <c r="D1638" s="256">
        <v>48014</v>
      </c>
      <c r="E1638" s="257" t="s">
        <v>4856</v>
      </c>
      <c r="F1638" s="257" t="s">
        <v>4877</v>
      </c>
      <c r="G1638" s="257" t="s">
        <v>4202</v>
      </c>
    </row>
    <row r="1639" customHeight="1" spans="4:7">
      <c r="D1639" s="256">
        <v>48014</v>
      </c>
      <c r="E1639" s="257" t="s">
        <v>4856</v>
      </c>
      <c r="F1639" s="257" t="s">
        <v>4878</v>
      </c>
      <c r="G1639" s="257" t="s">
        <v>4879</v>
      </c>
    </row>
    <row r="1640" customHeight="1" spans="4:7">
      <c r="D1640" s="256">
        <v>48014</v>
      </c>
      <c r="E1640" s="257" t="s">
        <v>4856</v>
      </c>
      <c r="F1640" s="257" t="s">
        <v>4880</v>
      </c>
      <c r="G1640" s="257" t="s">
        <v>4881</v>
      </c>
    </row>
    <row r="1641" customHeight="1" spans="4:7">
      <c r="D1641" s="256">
        <v>48014</v>
      </c>
      <c r="E1641" s="257" t="s">
        <v>4856</v>
      </c>
      <c r="F1641" s="257" t="s">
        <v>4882</v>
      </c>
      <c r="G1641" s="257" t="s">
        <v>4883</v>
      </c>
    </row>
    <row r="1642" customHeight="1" spans="4:7">
      <c r="D1642" s="256">
        <v>48014</v>
      </c>
      <c r="E1642" s="257" t="s">
        <v>4856</v>
      </c>
      <c r="F1642" s="257" t="s">
        <v>4884</v>
      </c>
      <c r="G1642" s="257" t="s">
        <v>4885</v>
      </c>
    </row>
    <row r="1643" customHeight="1" spans="4:7">
      <c r="D1643" s="256">
        <v>48014</v>
      </c>
      <c r="E1643" s="257" t="s">
        <v>4856</v>
      </c>
      <c r="F1643" s="257" t="s">
        <v>4886</v>
      </c>
      <c r="G1643" s="257" t="s">
        <v>1684</v>
      </c>
    </row>
    <row r="1644" customHeight="1" spans="4:7">
      <c r="D1644" s="256">
        <v>48014</v>
      </c>
      <c r="E1644" s="257" t="s">
        <v>4856</v>
      </c>
      <c r="F1644" s="257" t="s">
        <v>4887</v>
      </c>
      <c r="G1644" s="257" t="s">
        <v>4888</v>
      </c>
    </row>
    <row r="1645" customHeight="1" spans="4:7">
      <c r="D1645" s="256">
        <v>48014</v>
      </c>
      <c r="E1645" s="257" t="s">
        <v>4856</v>
      </c>
      <c r="F1645" s="257" t="s">
        <v>4889</v>
      </c>
      <c r="G1645" s="257" t="s">
        <v>4890</v>
      </c>
    </row>
    <row r="1646" customHeight="1" spans="4:7">
      <c r="D1646" s="256">
        <v>48014</v>
      </c>
      <c r="E1646" s="257" t="s">
        <v>4856</v>
      </c>
      <c r="F1646" s="257" t="s">
        <v>4891</v>
      </c>
      <c r="G1646" s="257" t="s">
        <v>4892</v>
      </c>
    </row>
    <row r="1647" customHeight="1" spans="4:7">
      <c r="D1647" s="256">
        <v>48014</v>
      </c>
      <c r="E1647" s="257" t="s">
        <v>4856</v>
      </c>
      <c r="F1647" s="257" t="s">
        <v>4893</v>
      </c>
      <c r="G1647" s="257" t="s">
        <v>4894</v>
      </c>
    </row>
    <row r="1648" customHeight="1" spans="4:7">
      <c r="D1648" s="256">
        <v>48014</v>
      </c>
      <c r="E1648" s="257" t="s">
        <v>4856</v>
      </c>
      <c r="F1648" s="257" t="s">
        <v>4895</v>
      </c>
      <c r="G1648" s="257" t="s">
        <v>2599</v>
      </c>
    </row>
    <row r="1649" customHeight="1" spans="4:7">
      <c r="D1649" s="256">
        <v>48014</v>
      </c>
      <c r="E1649" s="257" t="s">
        <v>4856</v>
      </c>
      <c r="F1649" s="257" t="s">
        <v>4896</v>
      </c>
      <c r="G1649" s="257" t="s">
        <v>4897</v>
      </c>
    </row>
    <row r="1650" customHeight="1" spans="4:7">
      <c r="D1650" s="256">
        <v>48014</v>
      </c>
      <c r="E1650" s="257" t="s">
        <v>4856</v>
      </c>
      <c r="F1650" s="257" t="s">
        <v>4898</v>
      </c>
      <c r="G1650" s="257" t="s">
        <v>4899</v>
      </c>
    </row>
    <row r="1651" customHeight="1" spans="4:7">
      <c r="D1651" s="256">
        <v>48014</v>
      </c>
      <c r="E1651" s="257" t="s">
        <v>4856</v>
      </c>
      <c r="F1651" s="257" t="s">
        <v>4900</v>
      </c>
      <c r="G1651" s="257" t="s">
        <v>4901</v>
      </c>
    </row>
    <row r="1652" customHeight="1" spans="4:7">
      <c r="D1652" s="256">
        <v>48014</v>
      </c>
      <c r="E1652" s="257" t="s">
        <v>4856</v>
      </c>
      <c r="F1652" s="257" t="s">
        <v>4902</v>
      </c>
      <c r="G1652" s="257" t="s">
        <v>4903</v>
      </c>
    </row>
    <row r="1653" customHeight="1" spans="4:7">
      <c r="D1653" s="256">
        <v>48014</v>
      </c>
      <c r="E1653" s="257" t="s">
        <v>4856</v>
      </c>
      <c r="F1653" s="257" t="s">
        <v>4904</v>
      </c>
      <c r="G1653" s="257" t="s">
        <v>4905</v>
      </c>
    </row>
    <row r="1654" customHeight="1" spans="4:7">
      <c r="D1654" s="256">
        <v>48014</v>
      </c>
      <c r="E1654" s="257" t="s">
        <v>4856</v>
      </c>
      <c r="F1654" s="257" t="s">
        <v>4906</v>
      </c>
      <c r="G1654" s="257" t="s">
        <v>4907</v>
      </c>
    </row>
    <row r="1655" customHeight="1" spans="4:7">
      <c r="D1655" s="256">
        <v>48014</v>
      </c>
      <c r="E1655" s="257" t="s">
        <v>4856</v>
      </c>
      <c r="F1655" s="257" t="s">
        <v>4908</v>
      </c>
      <c r="G1655" s="257" t="s">
        <v>4097</v>
      </c>
    </row>
    <row r="1656" customHeight="1" spans="4:7">
      <c r="D1656" s="256">
        <v>48014</v>
      </c>
      <c r="E1656" s="257" t="s">
        <v>4856</v>
      </c>
      <c r="F1656" s="257" t="s">
        <v>4909</v>
      </c>
      <c r="G1656" s="257" t="s">
        <v>4910</v>
      </c>
    </row>
    <row r="1657" customHeight="1" spans="4:7">
      <c r="D1657" s="256">
        <v>46012</v>
      </c>
      <c r="E1657" s="257" t="s">
        <v>4911</v>
      </c>
      <c r="F1657" s="257" t="s">
        <v>4912</v>
      </c>
      <c r="G1657" s="257" t="s">
        <v>3517</v>
      </c>
    </row>
    <row r="1658" customHeight="1" spans="4:7">
      <c r="D1658" s="256">
        <v>46012</v>
      </c>
      <c r="E1658" s="257" t="s">
        <v>4911</v>
      </c>
      <c r="F1658" s="257" t="s">
        <v>4913</v>
      </c>
      <c r="G1658" s="257" t="s">
        <v>4914</v>
      </c>
    </row>
    <row r="1659" customHeight="1" spans="4:7">
      <c r="D1659" s="256">
        <v>46012</v>
      </c>
      <c r="E1659" s="257" t="s">
        <v>4911</v>
      </c>
      <c r="F1659" s="257" t="s">
        <v>4915</v>
      </c>
      <c r="G1659" s="257" t="s">
        <v>4916</v>
      </c>
    </row>
    <row r="1660" customHeight="1" spans="4:7">
      <c r="D1660" s="256">
        <v>46012</v>
      </c>
      <c r="E1660" s="257" t="s">
        <v>4911</v>
      </c>
      <c r="F1660" s="257" t="s">
        <v>4917</v>
      </c>
      <c r="G1660" s="257" t="s">
        <v>4918</v>
      </c>
    </row>
    <row r="1661" customHeight="1" spans="4:7">
      <c r="D1661" s="256">
        <v>46012</v>
      </c>
      <c r="E1661" s="257" t="s">
        <v>4911</v>
      </c>
      <c r="F1661" s="257" t="s">
        <v>4919</v>
      </c>
      <c r="G1661" s="257" t="s">
        <v>4920</v>
      </c>
    </row>
    <row r="1662" customHeight="1" spans="4:7">
      <c r="D1662" s="256">
        <v>46012</v>
      </c>
      <c r="E1662" s="257" t="s">
        <v>4911</v>
      </c>
      <c r="F1662" s="257" t="s">
        <v>4921</v>
      </c>
      <c r="G1662" s="257" t="s">
        <v>4922</v>
      </c>
    </row>
    <row r="1663" customHeight="1" spans="4:7">
      <c r="D1663" s="256">
        <v>50014</v>
      </c>
      <c r="E1663" s="257" t="s">
        <v>4923</v>
      </c>
      <c r="F1663" s="257" t="s">
        <v>4924</v>
      </c>
      <c r="G1663" s="257" t="s">
        <v>4925</v>
      </c>
    </row>
    <row r="1664" customHeight="1" spans="4:7">
      <c r="D1664" s="256">
        <v>50014</v>
      </c>
      <c r="E1664" s="257" t="s">
        <v>4923</v>
      </c>
      <c r="F1664" s="257" t="s">
        <v>4926</v>
      </c>
      <c r="G1664" s="257" t="s">
        <v>4927</v>
      </c>
    </row>
    <row r="1665" customHeight="1" spans="4:7">
      <c r="D1665" s="256">
        <v>50014</v>
      </c>
      <c r="E1665" s="257" t="s">
        <v>4923</v>
      </c>
      <c r="F1665" s="257" t="s">
        <v>4928</v>
      </c>
      <c r="G1665" s="257" t="s">
        <v>1790</v>
      </c>
    </row>
    <row r="1666" customHeight="1" spans="4:7">
      <c r="D1666" s="256">
        <v>50014</v>
      </c>
      <c r="E1666" s="257" t="s">
        <v>4923</v>
      </c>
      <c r="F1666" s="257" t="s">
        <v>4929</v>
      </c>
      <c r="G1666" s="257" t="s">
        <v>4930</v>
      </c>
    </row>
    <row r="1667" customHeight="1" spans="4:7">
      <c r="D1667" s="256">
        <v>50014</v>
      </c>
      <c r="E1667" s="257" t="s">
        <v>4923</v>
      </c>
      <c r="F1667" s="257" t="s">
        <v>4931</v>
      </c>
      <c r="G1667" s="257" t="s">
        <v>4932</v>
      </c>
    </row>
    <row r="1668" customHeight="1" spans="4:7">
      <c r="D1668" s="256">
        <v>50014</v>
      </c>
      <c r="E1668" s="257" t="s">
        <v>4923</v>
      </c>
      <c r="F1668" s="257" t="s">
        <v>4933</v>
      </c>
      <c r="G1668" s="257" t="s">
        <v>4934</v>
      </c>
    </row>
    <row r="1669" customHeight="1" spans="4:7">
      <c r="D1669" s="256">
        <v>50014</v>
      </c>
      <c r="E1669" s="257" t="s">
        <v>4923</v>
      </c>
      <c r="F1669" s="257" t="s">
        <v>4935</v>
      </c>
      <c r="G1669" s="257" t="s">
        <v>4936</v>
      </c>
    </row>
    <row r="1670" customHeight="1" spans="4:7">
      <c r="D1670" s="256">
        <v>50014</v>
      </c>
      <c r="E1670" s="257" t="s">
        <v>4923</v>
      </c>
      <c r="F1670" s="257" t="s">
        <v>4937</v>
      </c>
      <c r="G1670" s="257" t="s">
        <v>4938</v>
      </c>
    </row>
    <row r="1671" customHeight="1" spans="4:7">
      <c r="D1671" s="256">
        <v>50014</v>
      </c>
      <c r="E1671" s="257" t="s">
        <v>4923</v>
      </c>
      <c r="F1671" s="257" t="s">
        <v>4939</v>
      </c>
      <c r="G1671" s="257" t="s">
        <v>4940</v>
      </c>
    </row>
    <row r="1672" customHeight="1" spans="4:7">
      <c r="D1672" s="256">
        <v>50014</v>
      </c>
      <c r="E1672" s="257" t="s">
        <v>4923</v>
      </c>
      <c r="F1672" s="257" t="s">
        <v>4941</v>
      </c>
      <c r="G1672" s="257" t="s">
        <v>4942</v>
      </c>
    </row>
    <row r="1673" customHeight="1" spans="4:7">
      <c r="D1673" s="256">
        <v>50014</v>
      </c>
      <c r="E1673" s="257" t="s">
        <v>4923</v>
      </c>
      <c r="F1673" s="257" t="s">
        <v>4943</v>
      </c>
      <c r="G1673" s="257" t="s">
        <v>4944</v>
      </c>
    </row>
    <row r="1674" customHeight="1" spans="4:7">
      <c r="D1674" s="256">
        <v>50014</v>
      </c>
      <c r="E1674" s="257" t="s">
        <v>4923</v>
      </c>
      <c r="F1674" s="257" t="s">
        <v>4945</v>
      </c>
      <c r="G1674" s="257" t="s">
        <v>4946</v>
      </c>
    </row>
    <row r="1675" customHeight="1" spans="4:7">
      <c r="D1675" s="256">
        <v>50014</v>
      </c>
      <c r="E1675" s="257" t="s">
        <v>4923</v>
      </c>
      <c r="F1675" s="257" t="s">
        <v>4947</v>
      </c>
      <c r="G1675" s="257" t="s">
        <v>4948</v>
      </c>
    </row>
    <row r="1676" customHeight="1" spans="4:7">
      <c r="D1676" s="256">
        <v>50014</v>
      </c>
      <c r="E1676" s="257" t="s">
        <v>4923</v>
      </c>
      <c r="F1676" s="257" t="s">
        <v>4949</v>
      </c>
      <c r="G1676" s="257" t="s">
        <v>4950</v>
      </c>
    </row>
    <row r="1677" customHeight="1" spans="4:7">
      <c r="D1677" s="256">
        <v>50014</v>
      </c>
      <c r="E1677" s="257" t="s">
        <v>4923</v>
      </c>
      <c r="F1677" s="257" t="s">
        <v>4951</v>
      </c>
      <c r="G1677" s="257" t="s">
        <v>4952</v>
      </c>
    </row>
    <row r="1678" customHeight="1" spans="4:7">
      <c r="D1678" s="256">
        <v>50014</v>
      </c>
      <c r="E1678" s="257" t="s">
        <v>4923</v>
      </c>
      <c r="F1678" s="257" t="s">
        <v>4953</v>
      </c>
      <c r="G1678" s="257" t="s">
        <v>4954</v>
      </c>
    </row>
    <row r="1679" customHeight="1" spans="4:7">
      <c r="D1679" s="256">
        <v>48015</v>
      </c>
      <c r="E1679" s="257" t="s">
        <v>4955</v>
      </c>
      <c r="F1679" s="257" t="s">
        <v>4956</v>
      </c>
      <c r="G1679" s="257" t="s">
        <v>4957</v>
      </c>
    </row>
    <row r="1680" customHeight="1" spans="4:7">
      <c r="D1680" s="256">
        <v>48015</v>
      </c>
      <c r="E1680" s="257" t="s">
        <v>4955</v>
      </c>
      <c r="F1680" s="257" t="s">
        <v>4958</v>
      </c>
      <c r="G1680" s="257" t="s">
        <v>4959</v>
      </c>
    </row>
    <row r="1681" customHeight="1" spans="4:7">
      <c r="D1681" s="256">
        <v>48015</v>
      </c>
      <c r="E1681" s="257" t="s">
        <v>4955</v>
      </c>
      <c r="F1681" s="257" t="s">
        <v>4960</v>
      </c>
      <c r="G1681" s="257" t="s">
        <v>4961</v>
      </c>
    </row>
    <row r="1682" customHeight="1" spans="4:7">
      <c r="D1682" s="256">
        <v>48015</v>
      </c>
      <c r="E1682" s="257" t="s">
        <v>4955</v>
      </c>
      <c r="F1682" s="257" t="s">
        <v>4962</v>
      </c>
      <c r="G1682" s="257" t="s">
        <v>4963</v>
      </c>
    </row>
    <row r="1683" customHeight="1" spans="4:7">
      <c r="D1683" s="256">
        <v>48015</v>
      </c>
      <c r="E1683" s="257" t="s">
        <v>4955</v>
      </c>
      <c r="F1683" s="257" t="s">
        <v>4964</v>
      </c>
      <c r="G1683" s="257" t="s">
        <v>4965</v>
      </c>
    </row>
    <row r="1684" customHeight="1" spans="4:7">
      <c r="D1684" s="256">
        <v>48015</v>
      </c>
      <c r="E1684" s="257" t="s">
        <v>4955</v>
      </c>
      <c r="F1684" s="257" t="s">
        <v>4966</v>
      </c>
      <c r="G1684" s="257" t="s">
        <v>4967</v>
      </c>
    </row>
    <row r="1685" customHeight="1" spans="4:7">
      <c r="D1685" s="256">
        <v>48015</v>
      </c>
      <c r="E1685" s="257" t="s">
        <v>4955</v>
      </c>
      <c r="F1685" s="257" t="s">
        <v>4968</v>
      </c>
      <c r="G1685" s="257" t="s">
        <v>4969</v>
      </c>
    </row>
    <row r="1686" customHeight="1" spans="4:7">
      <c r="D1686" s="256">
        <v>48015</v>
      </c>
      <c r="E1686" s="257" t="s">
        <v>4955</v>
      </c>
      <c r="F1686" s="257" t="s">
        <v>4970</v>
      </c>
      <c r="G1686" s="257" t="s">
        <v>4971</v>
      </c>
    </row>
    <row r="1687" customHeight="1" spans="4:7">
      <c r="D1687" s="256">
        <v>48015</v>
      </c>
      <c r="E1687" s="257" t="s">
        <v>4955</v>
      </c>
      <c r="F1687" s="257" t="s">
        <v>4972</v>
      </c>
      <c r="G1687" s="257" t="s">
        <v>4973</v>
      </c>
    </row>
    <row r="1688" customHeight="1" spans="4:7">
      <c r="D1688" s="256">
        <v>48015</v>
      </c>
      <c r="E1688" s="257" t="s">
        <v>4955</v>
      </c>
      <c r="F1688" s="257" t="s">
        <v>4974</v>
      </c>
      <c r="G1688" s="257" t="s">
        <v>4975</v>
      </c>
    </row>
    <row r="1689" customHeight="1" spans="4:7">
      <c r="D1689" s="256">
        <v>48015</v>
      </c>
      <c r="E1689" s="257" t="s">
        <v>4955</v>
      </c>
      <c r="F1689" s="257" t="s">
        <v>4976</v>
      </c>
      <c r="G1689" s="257" t="s">
        <v>4977</v>
      </c>
    </row>
    <row r="1690" customHeight="1" spans="4:7">
      <c r="D1690" s="256">
        <v>48015</v>
      </c>
      <c r="E1690" s="257" t="s">
        <v>4955</v>
      </c>
      <c r="F1690" s="257" t="s">
        <v>4978</v>
      </c>
      <c r="G1690" s="257" t="s">
        <v>4979</v>
      </c>
    </row>
    <row r="1691" customHeight="1" spans="4:7">
      <c r="D1691" s="256">
        <v>48015</v>
      </c>
      <c r="E1691" s="257" t="s">
        <v>4955</v>
      </c>
      <c r="F1691" s="257" t="s">
        <v>4980</v>
      </c>
      <c r="G1691" s="257" t="s">
        <v>4981</v>
      </c>
    </row>
    <row r="1692" customHeight="1" spans="4:7">
      <c r="D1692" s="256">
        <v>48015</v>
      </c>
      <c r="E1692" s="257" t="s">
        <v>4955</v>
      </c>
      <c r="F1692" s="257" t="s">
        <v>4982</v>
      </c>
      <c r="G1692" s="257" t="s">
        <v>4983</v>
      </c>
    </row>
    <row r="1693" customHeight="1" spans="4:7">
      <c r="D1693" s="256">
        <v>48015</v>
      </c>
      <c r="E1693" s="257" t="s">
        <v>4955</v>
      </c>
      <c r="F1693" s="257" t="s">
        <v>4984</v>
      </c>
      <c r="G1693" s="257" t="s">
        <v>4985</v>
      </c>
    </row>
    <row r="1694" customHeight="1" spans="4:7">
      <c r="D1694" s="256">
        <v>48015</v>
      </c>
      <c r="E1694" s="257" t="s">
        <v>4955</v>
      </c>
      <c r="F1694" s="257" t="s">
        <v>4986</v>
      </c>
      <c r="G1694" s="257" t="s">
        <v>4987</v>
      </c>
    </row>
    <row r="1695" customHeight="1" spans="4:7">
      <c r="D1695" s="256">
        <v>48015</v>
      </c>
      <c r="E1695" s="257" t="s">
        <v>4955</v>
      </c>
      <c r="F1695" s="257" t="s">
        <v>4988</v>
      </c>
      <c r="G1695" s="257" t="s">
        <v>4989</v>
      </c>
    </row>
    <row r="1696" customHeight="1" spans="4:7">
      <c r="D1696" s="256">
        <v>48015</v>
      </c>
      <c r="E1696" s="257" t="s">
        <v>4955</v>
      </c>
      <c r="F1696" s="257" t="s">
        <v>4990</v>
      </c>
      <c r="G1696" s="257" t="s">
        <v>4168</v>
      </c>
    </row>
    <row r="1697" customHeight="1" spans="4:7">
      <c r="D1697" s="256">
        <v>48015</v>
      </c>
      <c r="E1697" s="257" t="s">
        <v>4955</v>
      </c>
      <c r="F1697" s="257" t="s">
        <v>4991</v>
      </c>
      <c r="G1697" s="257" t="s">
        <v>4992</v>
      </c>
    </row>
    <row r="1698" customHeight="1" spans="4:7">
      <c r="D1698" s="256">
        <v>48015</v>
      </c>
      <c r="E1698" s="257" t="s">
        <v>4955</v>
      </c>
      <c r="F1698" s="257" t="s">
        <v>4993</v>
      </c>
      <c r="G1698" s="257" t="s">
        <v>4994</v>
      </c>
    </row>
    <row r="1699" customHeight="1" spans="4:7">
      <c r="D1699" s="256">
        <v>48015</v>
      </c>
      <c r="E1699" s="257" t="s">
        <v>4955</v>
      </c>
      <c r="F1699" s="257" t="s">
        <v>4995</v>
      </c>
      <c r="G1699" s="257" t="s">
        <v>4996</v>
      </c>
    </row>
    <row r="1700" customHeight="1" spans="4:7">
      <c r="D1700" s="256">
        <v>48015</v>
      </c>
      <c r="E1700" s="257" t="s">
        <v>4955</v>
      </c>
      <c r="F1700" s="257" t="s">
        <v>4997</v>
      </c>
      <c r="G1700" s="257" t="s">
        <v>4998</v>
      </c>
    </row>
    <row r="1701" customHeight="1" spans="4:7">
      <c r="D1701" s="256">
        <v>48015</v>
      </c>
      <c r="E1701" s="257" t="s">
        <v>4955</v>
      </c>
      <c r="F1701" s="257" t="s">
        <v>4999</v>
      </c>
      <c r="G1701" s="257" t="s">
        <v>5000</v>
      </c>
    </row>
    <row r="1702" customHeight="1" spans="4:7">
      <c r="D1702" s="256">
        <v>48016</v>
      </c>
      <c r="E1702" s="257" t="s">
        <v>5001</v>
      </c>
      <c r="F1702" s="257" t="s">
        <v>5002</v>
      </c>
      <c r="G1702" s="257" t="s">
        <v>4519</v>
      </c>
    </row>
    <row r="1703" customHeight="1" spans="4:7">
      <c r="D1703" s="256">
        <v>48016</v>
      </c>
      <c r="E1703" s="257" t="s">
        <v>5001</v>
      </c>
      <c r="F1703" s="257" t="s">
        <v>5003</v>
      </c>
      <c r="G1703" s="257" t="s">
        <v>5004</v>
      </c>
    </row>
    <row r="1704" customHeight="1" spans="4:7">
      <c r="D1704" s="256">
        <v>48016</v>
      </c>
      <c r="E1704" s="257" t="s">
        <v>5001</v>
      </c>
      <c r="F1704" s="257" t="s">
        <v>5005</v>
      </c>
      <c r="G1704" s="257" t="s">
        <v>5006</v>
      </c>
    </row>
    <row r="1705" customHeight="1" spans="4:7">
      <c r="D1705" s="256">
        <v>48016</v>
      </c>
      <c r="E1705" s="257" t="s">
        <v>5001</v>
      </c>
      <c r="F1705" s="257" t="s">
        <v>5007</v>
      </c>
      <c r="G1705" s="257" t="s">
        <v>5008</v>
      </c>
    </row>
    <row r="1706" customHeight="1" spans="4:7">
      <c r="D1706" s="256">
        <v>48016</v>
      </c>
      <c r="E1706" s="257" t="s">
        <v>5001</v>
      </c>
      <c r="F1706" s="257" t="s">
        <v>5009</v>
      </c>
      <c r="G1706" s="257" t="s">
        <v>5010</v>
      </c>
    </row>
    <row r="1707" customHeight="1" spans="4:7">
      <c r="D1707" s="256">
        <v>48016</v>
      </c>
      <c r="E1707" s="257" t="s">
        <v>5001</v>
      </c>
      <c r="F1707" s="257" t="s">
        <v>5011</v>
      </c>
      <c r="G1707" s="257" t="s">
        <v>5012</v>
      </c>
    </row>
    <row r="1708" customHeight="1" spans="4:7">
      <c r="D1708" s="256">
        <v>48016</v>
      </c>
      <c r="E1708" s="257" t="s">
        <v>5001</v>
      </c>
      <c r="F1708" s="257" t="s">
        <v>5013</v>
      </c>
      <c r="G1708" s="257" t="s">
        <v>5014</v>
      </c>
    </row>
    <row r="1709" customHeight="1" spans="4:7">
      <c r="D1709" s="256">
        <v>48016</v>
      </c>
      <c r="E1709" s="257" t="s">
        <v>5001</v>
      </c>
      <c r="F1709" s="257" t="s">
        <v>5015</v>
      </c>
      <c r="G1709" s="257" t="s">
        <v>5016</v>
      </c>
    </row>
    <row r="1710" customHeight="1" spans="4:7">
      <c r="D1710" s="256">
        <v>48016</v>
      </c>
      <c r="E1710" s="257" t="s">
        <v>5001</v>
      </c>
      <c r="F1710" s="257" t="s">
        <v>5017</v>
      </c>
      <c r="G1710" s="257" t="s">
        <v>5018</v>
      </c>
    </row>
    <row r="1711" customHeight="1" spans="4:7">
      <c r="D1711" s="256">
        <v>48016</v>
      </c>
      <c r="E1711" s="257" t="s">
        <v>5001</v>
      </c>
      <c r="F1711" s="257" t="s">
        <v>5019</v>
      </c>
      <c r="G1711" s="257" t="s">
        <v>4260</v>
      </c>
    </row>
    <row r="1712" customHeight="1" spans="4:7">
      <c r="D1712" s="256">
        <v>48016</v>
      </c>
      <c r="E1712" s="257" t="s">
        <v>5001</v>
      </c>
      <c r="F1712" s="257" t="s">
        <v>5020</v>
      </c>
      <c r="G1712" s="257" t="s">
        <v>4262</v>
      </c>
    </row>
    <row r="1713" customHeight="1" spans="4:7">
      <c r="D1713" s="256">
        <v>48016</v>
      </c>
      <c r="E1713" s="257" t="s">
        <v>5001</v>
      </c>
      <c r="F1713" s="257" t="s">
        <v>5021</v>
      </c>
      <c r="G1713" s="257" t="s">
        <v>5022</v>
      </c>
    </row>
    <row r="1714" customHeight="1" spans="4:7">
      <c r="D1714" s="256">
        <v>48016</v>
      </c>
      <c r="E1714" s="257" t="s">
        <v>5001</v>
      </c>
      <c r="F1714" s="257" t="s">
        <v>5023</v>
      </c>
      <c r="G1714" s="257" t="s">
        <v>5024</v>
      </c>
    </row>
    <row r="1715" customHeight="1" spans="4:7">
      <c r="D1715" s="256">
        <v>48016</v>
      </c>
      <c r="E1715" s="257" t="s">
        <v>5001</v>
      </c>
      <c r="F1715" s="257" t="s">
        <v>5025</v>
      </c>
      <c r="G1715" s="257" t="s">
        <v>5026</v>
      </c>
    </row>
    <row r="1716" customHeight="1" spans="4:7">
      <c r="D1716" s="256">
        <v>48016</v>
      </c>
      <c r="E1716" s="257" t="s">
        <v>5001</v>
      </c>
      <c r="F1716" s="257" t="s">
        <v>5027</v>
      </c>
      <c r="G1716" s="257" t="s">
        <v>5028</v>
      </c>
    </row>
    <row r="1717" customHeight="1" spans="4:7">
      <c r="D1717" s="256">
        <v>48016</v>
      </c>
      <c r="E1717" s="257" t="s">
        <v>5001</v>
      </c>
      <c r="F1717" s="257" t="s">
        <v>5029</v>
      </c>
      <c r="G1717" s="257" t="s">
        <v>5030</v>
      </c>
    </row>
    <row r="1718" customHeight="1" spans="4:7">
      <c r="D1718" s="256">
        <v>48016</v>
      </c>
      <c r="E1718" s="257" t="s">
        <v>5001</v>
      </c>
      <c r="F1718" s="257" t="s">
        <v>5031</v>
      </c>
      <c r="G1718" s="257" t="s">
        <v>5032</v>
      </c>
    </row>
    <row r="1719" customHeight="1" spans="4:7">
      <c r="D1719" s="256">
        <v>48016</v>
      </c>
      <c r="E1719" s="257" t="s">
        <v>5001</v>
      </c>
      <c r="F1719" s="257" t="s">
        <v>5033</v>
      </c>
      <c r="G1719" s="257" t="s">
        <v>3574</v>
      </c>
    </row>
    <row r="1720" customHeight="1" spans="4:7">
      <c r="D1720" s="256">
        <v>48016</v>
      </c>
      <c r="E1720" s="257" t="s">
        <v>5001</v>
      </c>
      <c r="F1720" s="257" t="s">
        <v>5034</v>
      </c>
      <c r="G1720" s="257" t="s">
        <v>5035</v>
      </c>
    </row>
    <row r="1721" customHeight="1" spans="4:7">
      <c r="D1721" s="256">
        <v>48016</v>
      </c>
      <c r="E1721" s="257" t="s">
        <v>5001</v>
      </c>
      <c r="F1721" s="257" t="s">
        <v>5036</v>
      </c>
      <c r="G1721" s="257" t="s">
        <v>5037</v>
      </c>
    </row>
    <row r="1722" customHeight="1" spans="4:7">
      <c r="D1722" s="256">
        <v>48016</v>
      </c>
      <c r="E1722" s="257" t="s">
        <v>5001</v>
      </c>
      <c r="F1722" s="257" t="s">
        <v>5038</v>
      </c>
      <c r="G1722" s="257" t="s">
        <v>5039</v>
      </c>
    </row>
    <row r="1723" customHeight="1" spans="4:7">
      <c r="D1723" s="256">
        <v>48016</v>
      </c>
      <c r="E1723" s="257" t="s">
        <v>5001</v>
      </c>
      <c r="F1723" s="257" t="s">
        <v>5040</v>
      </c>
      <c r="G1723" s="257" t="s">
        <v>5041</v>
      </c>
    </row>
    <row r="1724" customHeight="1" spans="4:7">
      <c r="D1724" s="256">
        <v>45006</v>
      </c>
      <c r="E1724" s="257" t="s">
        <v>5042</v>
      </c>
      <c r="F1724" s="257" t="s">
        <v>5043</v>
      </c>
      <c r="G1724" s="257" t="s">
        <v>5044</v>
      </c>
    </row>
    <row r="1725" customHeight="1" spans="4:7">
      <c r="D1725" s="256">
        <v>45006</v>
      </c>
      <c r="E1725" s="257" t="s">
        <v>5042</v>
      </c>
      <c r="F1725" s="257" t="s">
        <v>5045</v>
      </c>
      <c r="G1725" s="257" t="s">
        <v>5046</v>
      </c>
    </row>
    <row r="1726" customHeight="1" spans="4:7">
      <c r="D1726" s="256">
        <v>45006</v>
      </c>
      <c r="E1726" s="257" t="s">
        <v>5042</v>
      </c>
      <c r="F1726" s="257" t="s">
        <v>5047</v>
      </c>
      <c r="G1726" s="257" t="s">
        <v>2201</v>
      </c>
    </row>
    <row r="1727" customHeight="1" spans="4:7">
      <c r="D1727" s="256">
        <v>45006</v>
      </c>
      <c r="E1727" s="257" t="s">
        <v>5042</v>
      </c>
      <c r="F1727" s="257" t="s">
        <v>5048</v>
      </c>
      <c r="G1727" s="257" t="s">
        <v>5049</v>
      </c>
    </row>
    <row r="1728" customHeight="1" spans="4:7">
      <c r="D1728" s="256">
        <v>45006</v>
      </c>
      <c r="E1728" s="257" t="s">
        <v>5042</v>
      </c>
      <c r="F1728" s="257" t="s">
        <v>5050</v>
      </c>
      <c r="G1728" s="257" t="s">
        <v>5051</v>
      </c>
    </row>
    <row r="1729" customHeight="1" spans="4:7">
      <c r="D1729" s="256">
        <v>45006</v>
      </c>
      <c r="E1729" s="257" t="s">
        <v>5042</v>
      </c>
      <c r="F1729" s="257" t="s">
        <v>5052</v>
      </c>
      <c r="G1729" s="257" t="s">
        <v>5053</v>
      </c>
    </row>
    <row r="1730" customHeight="1" spans="4:7">
      <c r="D1730" s="256">
        <v>45006</v>
      </c>
      <c r="E1730" s="257" t="s">
        <v>5042</v>
      </c>
      <c r="F1730" s="257" t="s">
        <v>5054</v>
      </c>
      <c r="G1730" s="257" t="s">
        <v>5055</v>
      </c>
    </row>
    <row r="1731" customHeight="1" spans="4:7">
      <c r="D1731" s="256">
        <v>45006</v>
      </c>
      <c r="E1731" s="257" t="s">
        <v>5042</v>
      </c>
      <c r="F1731" s="257" t="s">
        <v>5056</v>
      </c>
      <c r="G1731" s="257" t="s">
        <v>5057</v>
      </c>
    </row>
    <row r="1732" customHeight="1" spans="4:7">
      <c r="D1732" s="256">
        <v>45006</v>
      </c>
      <c r="E1732" s="257" t="s">
        <v>5042</v>
      </c>
      <c r="F1732" s="257" t="s">
        <v>5058</v>
      </c>
      <c r="G1732" s="257" t="s">
        <v>5059</v>
      </c>
    </row>
    <row r="1733" customHeight="1" spans="4:7">
      <c r="D1733" s="256">
        <v>45006</v>
      </c>
      <c r="E1733" s="257" t="s">
        <v>5042</v>
      </c>
      <c r="F1733" s="257" t="s">
        <v>5060</v>
      </c>
      <c r="G1733" s="257" t="s">
        <v>5061</v>
      </c>
    </row>
    <row r="1734" customHeight="1" spans="4:7">
      <c r="D1734" s="256">
        <v>45006</v>
      </c>
      <c r="E1734" s="257" t="s">
        <v>5042</v>
      </c>
      <c r="F1734" s="257" t="s">
        <v>5062</v>
      </c>
      <c r="G1734" s="257" t="s">
        <v>5063</v>
      </c>
    </row>
    <row r="1735" customHeight="1" spans="4:7">
      <c r="D1735" s="256">
        <v>45006</v>
      </c>
      <c r="E1735" s="257" t="s">
        <v>5042</v>
      </c>
      <c r="F1735" s="257" t="s">
        <v>5064</v>
      </c>
      <c r="G1735" s="257" t="s">
        <v>5065</v>
      </c>
    </row>
    <row r="1736" customHeight="1" spans="4:7">
      <c r="D1736" s="256">
        <v>45006</v>
      </c>
      <c r="E1736" s="257" t="s">
        <v>5042</v>
      </c>
      <c r="F1736" s="257" t="s">
        <v>5066</v>
      </c>
      <c r="G1736" s="257" t="s">
        <v>5067</v>
      </c>
    </row>
    <row r="1737" customHeight="1" spans="4:7">
      <c r="D1737" s="256">
        <v>45006</v>
      </c>
      <c r="E1737" s="257" t="s">
        <v>5042</v>
      </c>
      <c r="F1737" s="257" t="s">
        <v>5068</v>
      </c>
      <c r="G1737" s="257" t="s">
        <v>5069</v>
      </c>
    </row>
    <row r="1738" customHeight="1" spans="4:7">
      <c r="D1738" s="256">
        <v>45006</v>
      </c>
      <c r="E1738" s="257" t="s">
        <v>5042</v>
      </c>
      <c r="F1738" s="257" t="s">
        <v>5070</v>
      </c>
      <c r="G1738" s="257" t="s">
        <v>5071</v>
      </c>
    </row>
    <row r="1739" customHeight="1" spans="4:7">
      <c r="D1739" s="256">
        <v>45006</v>
      </c>
      <c r="E1739" s="257" t="s">
        <v>5042</v>
      </c>
      <c r="F1739" s="257" t="s">
        <v>5072</v>
      </c>
      <c r="G1739" s="257" t="s">
        <v>5073</v>
      </c>
    </row>
    <row r="1740" customHeight="1" spans="4:7">
      <c r="D1740" s="256">
        <v>45006</v>
      </c>
      <c r="E1740" s="257" t="s">
        <v>5042</v>
      </c>
      <c r="F1740" s="257" t="s">
        <v>5074</v>
      </c>
      <c r="G1740" s="257" t="s">
        <v>2437</v>
      </c>
    </row>
    <row r="1741" customHeight="1" spans="4:7">
      <c r="D1741" s="256">
        <v>45006</v>
      </c>
      <c r="E1741" s="257" t="s">
        <v>5042</v>
      </c>
      <c r="F1741" s="257" t="s">
        <v>5075</v>
      </c>
      <c r="G1741" s="257" t="s">
        <v>5076</v>
      </c>
    </row>
    <row r="1742" customHeight="1" spans="4:7">
      <c r="D1742" s="256">
        <v>45006</v>
      </c>
      <c r="E1742" s="257" t="s">
        <v>5042</v>
      </c>
      <c r="F1742" s="257" t="s">
        <v>5077</v>
      </c>
      <c r="G1742" s="257" t="s">
        <v>5078</v>
      </c>
    </row>
    <row r="1743" customHeight="1" spans="4:7">
      <c r="D1743" s="256">
        <v>48017</v>
      </c>
      <c r="E1743" s="257" t="s">
        <v>5079</v>
      </c>
      <c r="F1743" s="257" t="s">
        <v>5080</v>
      </c>
      <c r="G1743" s="257" t="s">
        <v>5081</v>
      </c>
    </row>
    <row r="1744" customHeight="1" spans="4:7">
      <c r="D1744" s="256">
        <v>48017</v>
      </c>
      <c r="E1744" s="257" t="s">
        <v>5079</v>
      </c>
      <c r="F1744" s="257" t="s">
        <v>5082</v>
      </c>
      <c r="G1744" s="257" t="s">
        <v>5083</v>
      </c>
    </row>
    <row r="1745" customHeight="1" spans="4:7">
      <c r="D1745" s="256">
        <v>48017</v>
      </c>
      <c r="E1745" s="257" t="s">
        <v>5079</v>
      </c>
      <c r="F1745" s="257" t="s">
        <v>5084</v>
      </c>
      <c r="G1745" s="257" t="s">
        <v>5085</v>
      </c>
    </row>
    <row r="1746" customHeight="1" spans="4:7">
      <c r="D1746" s="256">
        <v>48017</v>
      </c>
      <c r="E1746" s="257" t="s">
        <v>5079</v>
      </c>
      <c r="F1746" s="257" t="s">
        <v>5086</v>
      </c>
      <c r="G1746" s="257" t="s">
        <v>5087</v>
      </c>
    </row>
    <row r="1747" customHeight="1" spans="4:7">
      <c r="D1747" s="256">
        <v>48017</v>
      </c>
      <c r="E1747" s="257" t="s">
        <v>5079</v>
      </c>
      <c r="F1747" s="257" t="s">
        <v>5088</v>
      </c>
      <c r="G1747" s="257" t="s">
        <v>5089</v>
      </c>
    </row>
    <row r="1748" customHeight="1" spans="4:7">
      <c r="D1748" s="256">
        <v>48017</v>
      </c>
      <c r="E1748" s="257" t="s">
        <v>5079</v>
      </c>
      <c r="F1748" s="257" t="s">
        <v>5090</v>
      </c>
      <c r="G1748" s="257" t="s">
        <v>5091</v>
      </c>
    </row>
    <row r="1749" customHeight="1" spans="4:7">
      <c r="D1749" s="256">
        <v>48017</v>
      </c>
      <c r="E1749" s="257" t="s">
        <v>5079</v>
      </c>
      <c r="F1749" s="257" t="s">
        <v>5092</v>
      </c>
      <c r="G1749" s="257" t="s">
        <v>5093</v>
      </c>
    </row>
    <row r="1750" customHeight="1" spans="4:7">
      <c r="D1750" s="256">
        <v>48017</v>
      </c>
      <c r="E1750" s="257" t="s">
        <v>5079</v>
      </c>
      <c r="F1750" s="257" t="s">
        <v>5094</v>
      </c>
      <c r="G1750" s="257" t="s">
        <v>5095</v>
      </c>
    </row>
    <row r="1751" customHeight="1" spans="4:7">
      <c r="D1751" s="256">
        <v>48017</v>
      </c>
      <c r="E1751" s="257" t="s">
        <v>5079</v>
      </c>
      <c r="F1751" s="257" t="s">
        <v>5096</v>
      </c>
      <c r="G1751" s="257" t="s">
        <v>5097</v>
      </c>
    </row>
    <row r="1752" customHeight="1" spans="4:7">
      <c r="D1752" s="256">
        <v>48017</v>
      </c>
      <c r="E1752" s="257" t="s">
        <v>5079</v>
      </c>
      <c r="F1752" s="257" t="s">
        <v>5098</v>
      </c>
      <c r="G1752" s="257" t="s">
        <v>5099</v>
      </c>
    </row>
    <row r="1753" customHeight="1" spans="4:7">
      <c r="D1753" s="256">
        <v>48017</v>
      </c>
      <c r="E1753" s="257" t="s">
        <v>5079</v>
      </c>
      <c r="F1753" s="257" t="s">
        <v>5100</v>
      </c>
      <c r="G1753" s="257" t="s">
        <v>5101</v>
      </c>
    </row>
    <row r="1754" customHeight="1" spans="4:7">
      <c r="D1754" s="256">
        <v>48017</v>
      </c>
      <c r="E1754" s="257" t="s">
        <v>5079</v>
      </c>
      <c r="F1754" s="257" t="s">
        <v>5102</v>
      </c>
      <c r="G1754" s="257" t="s">
        <v>5103</v>
      </c>
    </row>
    <row r="1755" customHeight="1" spans="4:7">
      <c r="D1755" s="256">
        <v>48018</v>
      </c>
      <c r="E1755" s="257" t="s">
        <v>5104</v>
      </c>
      <c r="F1755" s="257" t="s">
        <v>5105</v>
      </c>
      <c r="G1755" s="257" t="s">
        <v>5106</v>
      </c>
    </row>
    <row r="1756" customHeight="1" spans="4:7">
      <c r="D1756" s="256">
        <v>48018</v>
      </c>
      <c r="E1756" s="257" t="s">
        <v>5104</v>
      </c>
      <c r="F1756" s="257" t="s">
        <v>5107</v>
      </c>
      <c r="G1756" s="257" t="s">
        <v>5108</v>
      </c>
    </row>
    <row r="1757" customHeight="1" spans="4:7">
      <c r="D1757" s="256">
        <v>48018</v>
      </c>
      <c r="E1757" s="257" t="s">
        <v>5104</v>
      </c>
      <c r="F1757" s="257" t="s">
        <v>5109</v>
      </c>
      <c r="G1757" s="257" t="s">
        <v>5110</v>
      </c>
    </row>
    <row r="1758" customHeight="1" spans="4:7">
      <c r="D1758" s="256">
        <v>48018</v>
      </c>
      <c r="E1758" s="257" t="s">
        <v>5104</v>
      </c>
      <c r="F1758" s="257" t="s">
        <v>5111</v>
      </c>
      <c r="G1758" s="257" t="s">
        <v>3597</v>
      </c>
    </row>
    <row r="1759" customHeight="1" spans="4:7">
      <c r="D1759" s="256">
        <v>48018</v>
      </c>
      <c r="E1759" s="257" t="s">
        <v>5104</v>
      </c>
      <c r="F1759" s="257" t="s">
        <v>5112</v>
      </c>
      <c r="G1759" s="257" t="s">
        <v>5113</v>
      </c>
    </row>
    <row r="1760" customHeight="1" spans="4:7">
      <c r="D1760" s="256">
        <v>48018</v>
      </c>
      <c r="E1760" s="257" t="s">
        <v>5104</v>
      </c>
      <c r="F1760" s="257" t="s">
        <v>5114</v>
      </c>
      <c r="G1760" s="257" t="s">
        <v>2409</v>
      </c>
    </row>
    <row r="1761" customHeight="1" spans="4:7">
      <c r="D1761" s="256">
        <v>48018</v>
      </c>
      <c r="E1761" s="257" t="s">
        <v>5104</v>
      </c>
      <c r="F1761" s="257" t="s">
        <v>5115</v>
      </c>
      <c r="G1761" s="257" t="s">
        <v>5116</v>
      </c>
    </row>
    <row r="1762" customHeight="1" spans="4:7">
      <c r="D1762" s="256">
        <v>48018</v>
      </c>
      <c r="E1762" s="257" t="s">
        <v>5104</v>
      </c>
      <c r="F1762" s="257" t="s">
        <v>5117</v>
      </c>
      <c r="G1762" s="257" t="s">
        <v>5118</v>
      </c>
    </row>
    <row r="1763" customHeight="1" spans="4:7">
      <c r="D1763" s="256">
        <v>48018</v>
      </c>
      <c r="E1763" s="257" t="s">
        <v>5104</v>
      </c>
      <c r="F1763" s="257" t="s">
        <v>5119</v>
      </c>
      <c r="G1763" s="257" t="s">
        <v>5120</v>
      </c>
    </row>
    <row r="1764" customHeight="1" spans="4:7">
      <c r="D1764" s="256">
        <v>48018</v>
      </c>
      <c r="E1764" s="257" t="s">
        <v>5104</v>
      </c>
      <c r="F1764" s="257" t="s">
        <v>5121</v>
      </c>
      <c r="G1764" s="257" t="s">
        <v>5122</v>
      </c>
    </row>
    <row r="1765" customHeight="1" spans="4:7">
      <c r="D1765" s="256">
        <v>48018</v>
      </c>
      <c r="E1765" s="257" t="s">
        <v>5104</v>
      </c>
      <c r="F1765" s="257" t="s">
        <v>5123</v>
      </c>
      <c r="G1765" s="257" t="s">
        <v>2560</v>
      </c>
    </row>
    <row r="1766" customHeight="1" spans="4:7">
      <c r="D1766" s="256">
        <v>48018</v>
      </c>
      <c r="E1766" s="257" t="s">
        <v>5104</v>
      </c>
      <c r="F1766" s="257" t="s">
        <v>5124</v>
      </c>
      <c r="G1766" s="257" t="s">
        <v>5125</v>
      </c>
    </row>
    <row r="1767" customHeight="1" spans="4:7">
      <c r="D1767" s="256">
        <v>48018</v>
      </c>
      <c r="E1767" s="257" t="s">
        <v>5104</v>
      </c>
      <c r="F1767" s="257" t="s">
        <v>5126</v>
      </c>
      <c r="G1767" s="257" t="s">
        <v>5127</v>
      </c>
    </row>
    <row r="1768" customHeight="1" spans="4:7">
      <c r="D1768" s="256">
        <v>48018</v>
      </c>
      <c r="E1768" s="257" t="s">
        <v>5104</v>
      </c>
      <c r="F1768" s="257" t="s">
        <v>5128</v>
      </c>
      <c r="G1768" s="257" t="s">
        <v>5129</v>
      </c>
    </row>
    <row r="1769" customHeight="1" spans="4:7">
      <c r="D1769" s="256">
        <v>48018</v>
      </c>
      <c r="E1769" s="257" t="s">
        <v>5104</v>
      </c>
      <c r="F1769" s="257" t="s">
        <v>5130</v>
      </c>
      <c r="G1769" s="257" t="s">
        <v>5131</v>
      </c>
    </row>
    <row r="1770" customHeight="1" spans="4:7">
      <c r="D1770" s="256">
        <v>48018</v>
      </c>
      <c r="E1770" s="257" t="s">
        <v>5104</v>
      </c>
      <c r="F1770" s="257" t="s">
        <v>5132</v>
      </c>
      <c r="G1770" s="257" t="s">
        <v>5133</v>
      </c>
    </row>
    <row r="1771" customHeight="1" spans="4:7">
      <c r="D1771" s="256">
        <v>48018</v>
      </c>
      <c r="E1771" s="257" t="s">
        <v>5104</v>
      </c>
      <c r="F1771" s="257" t="s">
        <v>5134</v>
      </c>
      <c r="G1771" s="257" t="s">
        <v>5135</v>
      </c>
    </row>
    <row r="1772" customHeight="1" spans="4:7">
      <c r="D1772" s="256">
        <v>48018</v>
      </c>
      <c r="E1772" s="257" t="s">
        <v>5104</v>
      </c>
      <c r="F1772" s="257" t="s">
        <v>5136</v>
      </c>
      <c r="G1772" s="257" t="s">
        <v>1939</v>
      </c>
    </row>
    <row r="1773" customHeight="1" spans="4:7">
      <c r="D1773" s="256">
        <v>48018</v>
      </c>
      <c r="E1773" s="257" t="s">
        <v>5104</v>
      </c>
      <c r="F1773" s="257" t="s">
        <v>5137</v>
      </c>
      <c r="G1773" s="257" t="s">
        <v>5138</v>
      </c>
    </row>
    <row r="1774" customHeight="1" spans="4:7">
      <c r="D1774" s="256">
        <v>48018</v>
      </c>
      <c r="E1774" s="257" t="s">
        <v>5104</v>
      </c>
      <c r="F1774" s="257" t="s">
        <v>5139</v>
      </c>
      <c r="G1774" s="257" t="s">
        <v>5140</v>
      </c>
    </row>
    <row r="1775" customHeight="1" spans="4:7">
      <c r="D1775" s="256">
        <v>48018</v>
      </c>
      <c r="E1775" s="257" t="s">
        <v>5104</v>
      </c>
      <c r="F1775" s="257" t="s">
        <v>5141</v>
      </c>
      <c r="G1775" s="257" t="s">
        <v>5142</v>
      </c>
    </row>
    <row r="1776" customHeight="1" spans="4:7">
      <c r="D1776" s="256">
        <v>48018</v>
      </c>
      <c r="E1776" s="257" t="s">
        <v>5104</v>
      </c>
      <c r="F1776" s="257" t="s">
        <v>5143</v>
      </c>
      <c r="G1776" s="257" t="s">
        <v>5144</v>
      </c>
    </row>
    <row r="1777" customHeight="1" spans="4:7">
      <c r="D1777" s="256">
        <v>48018</v>
      </c>
      <c r="E1777" s="257" t="s">
        <v>5104</v>
      </c>
      <c r="F1777" s="257" t="s">
        <v>5145</v>
      </c>
      <c r="G1777" s="257" t="s">
        <v>5146</v>
      </c>
    </row>
    <row r="1778" customHeight="1" spans="4:7">
      <c r="D1778" s="256">
        <v>48018</v>
      </c>
      <c r="E1778" s="257" t="s">
        <v>5104</v>
      </c>
      <c r="F1778" s="257" t="s">
        <v>5147</v>
      </c>
      <c r="G1778" s="257" t="s">
        <v>5148</v>
      </c>
    </row>
    <row r="1779" customHeight="1" spans="4:7">
      <c r="D1779" s="256">
        <v>48018</v>
      </c>
      <c r="E1779" s="257" t="s">
        <v>5104</v>
      </c>
      <c r="F1779" s="257" t="s">
        <v>5149</v>
      </c>
      <c r="G1779" s="257" t="s">
        <v>5150</v>
      </c>
    </row>
    <row r="1780" customHeight="1" spans="4:7">
      <c r="D1780" s="256">
        <v>48018</v>
      </c>
      <c r="E1780" s="257" t="s">
        <v>5104</v>
      </c>
      <c r="F1780" s="257" t="s">
        <v>5151</v>
      </c>
      <c r="G1780" s="257" t="s">
        <v>5152</v>
      </c>
    </row>
    <row r="1781" customHeight="1" spans="4:7">
      <c r="D1781" s="256">
        <v>48018</v>
      </c>
      <c r="E1781" s="257" t="s">
        <v>5104</v>
      </c>
      <c r="F1781" s="257" t="s">
        <v>5153</v>
      </c>
      <c r="G1781" s="257" t="s">
        <v>5154</v>
      </c>
    </row>
    <row r="1782" customHeight="1" spans="4:7">
      <c r="D1782" s="256">
        <v>48018</v>
      </c>
      <c r="E1782" s="257" t="s">
        <v>5104</v>
      </c>
      <c r="F1782" s="257" t="s">
        <v>5155</v>
      </c>
      <c r="G1782" s="257" t="s">
        <v>5156</v>
      </c>
    </row>
    <row r="1783" customHeight="1" spans="4:7">
      <c r="D1783" s="256">
        <v>48018</v>
      </c>
      <c r="E1783" s="257" t="s">
        <v>5104</v>
      </c>
      <c r="F1783" s="257" t="s">
        <v>5157</v>
      </c>
      <c r="G1783" s="257" t="s">
        <v>5158</v>
      </c>
    </row>
    <row r="1784" customHeight="1" spans="4:7">
      <c r="D1784" s="256">
        <v>48018</v>
      </c>
      <c r="E1784" s="257" t="s">
        <v>5104</v>
      </c>
      <c r="F1784" s="257" t="s">
        <v>5159</v>
      </c>
      <c r="G1784" s="257" t="s">
        <v>5160</v>
      </c>
    </row>
    <row r="1785" customHeight="1" spans="4:7">
      <c r="D1785" s="256">
        <v>48018</v>
      </c>
      <c r="E1785" s="257" t="s">
        <v>5104</v>
      </c>
      <c r="F1785" s="257" t="s">
        <v>5161</v>
      </c>
      <c r="G1785" s="257" t="s">
        <v>4024</v>
      </c>
    </row>
    <row r="1786" customHeight="1" spans="4:7">
      <c r="D1786" s="256">
        <v>48018</v>
      </c>
      <c r="E1786" s="257" t="s">
        <v>5104</v>
      </c>
      <c r="F1786" s="257" t="s">
        <v>5162</v>
      </c>
      <c r="G1786" s="257" t="s">
        <v>2700</v>
      </c>
    </row>
    <row r="1787" customHeight="1" spans="4:7">
      <c r="D1787" s="256">
        <v>48018</v>
      </c>
      <c r="E1787" s="257" t="s">
        <v>5104</v>
      </c>
      <c r="F1787" s="257" t="s">
        <v>5163</v>
      </c>
      <c r="G1787" s="257" t="s">
        <v>5164</v>
      </c>
    </row>
    <row r="1788" customHeight="1" spans="4:7">
      <c r="D1788" s="256">
        <v>48018</v>
      </c>
      <c r="E1788" s="257" t="s">
        <v>5104</v>
      </c>
      <c r="F1788" s="257" t="s">
        <v>5165</v>
      </c>
      <c r="G1788" s="257" t="s">
        <v>5166</v>
      </c>
    </row>
    <row r="1789" customHeight="1" spans="4:7">
      <c r="D1789" s="256">
        <v>48018</v>
      </c>
      <c r="E1789" s="257" t="s">
        <v>5104</v>
      </c>
      <c r="F1789" s="257" t="s">
        <v>5167</v>
      </c>
      <c r="G1789" s="257" t="s">
        <v>5168</v>
      </c>
    </row>
    <row r="1790" customHeight="1" spans="4:7">
      <c r="D1790" s="256">
        <v>45007</v>
      </c>
      <c r="E1790" s="257" t="s">
        <v>5169</v>
      </c>
      <c r="F1790" s="257" t="s">
        <v>5170</v>
      </c>
      <c r="G1790" s="257" t="s">
        <v>5171</v>
      </c>
    </row>
    <row r="1791" customHeight="1" spans="4:7">
      <c r="D1791" s="256">
        <v>45007</v>
      </c>
      <c r="E1791" s="257" t="s">
        <v>5169</v>
      </c>
      <c r="F1791" s="257" t="s">
        <v>5172</v>
      </c>
      <c r="G1791" s="257" t="s">
        <v>5173</v>
      </c>
    </row>
    <row r="1792" customHeight="1" spans="4:7">
      <c r="D1792" s="256">
        <v>45007</v>
      </c>
      <c r="E1792" s="257" t="s">
        <v>5169</v>
      </c>
      <c r="F1792" s="257" t="s">
        <v>5174</v>
      </c>
      <c r="G1792" s="257" t="s">
        <v>5175</v>
      </c>
    </row>
    <row r="1793" customHeight="1" spans="4:7">
      <c r="D1793" s="256">
        <v>45007</v>
      </c>
      <c r="E1793" s="257" t="s">
        <v>5169</v>
      </c>
      <c r="F1793" s="257" t="s">
        <v>5176</v>
      </c>
      <c r="G1793" s="257" t="s">
        <v>5177</v>
      </c>
    </row>
    <row r="1794" customHeight="1" spans="4:7">
      <c r="D1794" s="256">
        <v>45007</v>
      </c>
      <c r="E1794" s="257" t="s">
        <v>5169</v>
      </c>
      <c r="F1794" s="257" t="s">
        <v>5178</v>
      </c>
      <c r="G1794" s="257" t="s">
        <v>5179</v>
      </c>
    </row>
    <row r="1795" customHeight="1" spans="4:7">
      <c r="D1795" s="256">
        <v>45007</v>
      </c>
      <c r="E1795" s="257" t="s">
        <v>5169</v>
      </c>
      <c r="F1795" s="257" t="s">
        <v>5180</v>
      </c>
      <c r="G1795" s="257" t="s">
        <v>1830</v>
      </c>
    </row>
    <row r="1796" customHeight="1" spans="4:7">
      <c r="D1796" s="256">
        <v>45007</v>
      </c>
      <c r="E1796" s="257" t="s">
        <v>5169</v>
      </c>
      <c r="F1796" s="257" t="s">
        <v>5181</v>
      </c>
      <c r="G1796" s="257" t="s">
        <v>5182</v>
      </c>
    </row>
    <row r="1797" customHeight="1" spans="4:7">
      <c r="D1797" s="256">
        <v>45007</v>
      </c>
      <c r="E1797" s="257" t="s">
        <v>5169</v>
      </c>
      <c r="F1797" s="257" t="s">
        <v>5183</v>
      </c>
      <c r="G1797" s="257" t="s">
        <v>5184</v>
      </c>
    </row>
    <row r="1798" customHeight="1" spans="4:7">
      <c r="D1798" s="256">
        <v>45007</v>
      </c>
      <c r="E1798" s="257" t="s">
        <v>5169</v>
      </c>
      <c r="F1798" s="257" t="s">
        <v>5185</v>
      </c>
      <c r="G1798" s="257" t="s">
        <v>5186</v>
      </c>
    </row>
    <row r="1799" customHeight="1" spans="4:7">
      <c r="D1799" s="256">
        <v>45007</v>
      </c>
      <c r="E1799" s="257" t="s">
        <v>5169</v>
      </c>
      <c r="F1799" s="257" t="s">
        <v>5187</v>
      </c>
      <c r="G1799" s="257" t="s">
        <v>5188</v>
      </c>
    </row>
    <row r="1800" customHeight="1" spans="4:7">
      <c r="D1800" s="256">
        <v>45007</v>
      </c>
      <c r="E1800" s="257" t="s">
        <v>5169</v>
      </c>
      <c r="F1800" s="257" t="s">
        <v>5189</v>
      </c>
      <c r="G1800" s="257" t="s">
        <v>5190</v>
      </c>
    </row>
    <row r="1801" customHeight="1" spans="4:7">
      <c r="D1801" s="256">
        <v>45007</v>
      </c>
      <c r="E1801" s="257" t="s">
        <v>5169</v>
      </c>
      <c r="F1801" s="257" t="s">
        <v>5191</v>
      </c>
      <c r="G1801" s="257" t="s">
        <v>3786</v>
      </c>
    </row>
    <row r="1802" customHeight="1" spans="4:7">
      <c r="D1802" s="256">
        <v>45007</v>
      </c>
      <c r="E1802" s="257" t="s">
        <v>5169</v>
      </c>
      <c r="F1802" s="257" t="s">
        <v>5192</v>
      </c>
      <c r="G1802" s="257" t="s">
        <v>5193</v>
      </c>
    </row>
    <row r="1803" customHeight="1" spans="4:7">
      <c r="D1803" s="256">
        <v>45007</v>
      </c>
      <c r="E1803" s="257" t="s">
        <v>5169</v>
      </c>
      <c r="F1803" s="257" t="s">
        <v>5194</v>
      </c>
      <c r="G1803" s="257" t="s">
        <v>4106</v>
      </c>
    </row>
    <row r="1804" customHeight="1" spans="4:7">
      <c r="D1804" s="256">
        <v>45007</v>
      </c>
      <c r="E1804" s="257" t="s">
        <v>5169</v>
      </c>
      <c r="F1804" s="257" t="s">
        <v>5195</v>
      </c>
      <c r="G1804" s="257" t="s">
        <v>5196</v>
      </c>
    </row>
    <row r="1805" customHeight="1" spans="4:7">
      <c r="D1805" s="256">
        <v>45007</v>
      </c>
      <c r="E1805" s="257" t="s">
        <v>5169</v>
      </c>
      <c r="F1805" s="257" t="s">
        <v>5197</v>
      </c>
      <c r="G1805" s="257" t="s">
        <v>5198</v>
      </c>
    </row>
    <row r="1806" customHeight="1" spans="4:7">
      <c r="D1806" s="256">
        <v>45007</v>
      </c>
      <c r="E1806" s="257" t="s">
        <v>5169</v>
      </c>
      <c r="F1806" s="257" t="s">
        <v>5199</v>
      </c>
      <c r="G1806" s="257" t="s">
        <v>5200</v>
      </c>
    </row>
    <row r="1807" customHeight="1" spans="4:7">
      <c r="D1807" s="256">
        <v>45007</v>
      </c>
      <c r="E1807" s="257" t="s">
        <v>5169</v>
      </c>
      <c r="F1807" s="257" t="s">
        <v>5201</v>
      </c>
      <c r="G1807" s="257" t="s">
        <v>5202</v>
      </c>
    </row>
    <row r="1808" customHeight="1" spans="4:7">
      <c r="D1808" s="256">
        <v>45007</v>
      </c>
      <c r="E1808" s="257" t="s">
        <v>5169</v>
      </c>
      <c r="F1808" s="257" t="s">
        <v>5203</v>
      </c>
      <c r="G1808" s="257" t="s">
        <v>5204</v>
      </c>
    </row>
    <row r="1809" customHeight="1" spans="4:7">
      <c r="D1809" s="256">
        <v>45007</v>
      </c>
      <c r="E1809" s="257" t="s">
        <v>5169</v>
      </c>
      <c r="F1809" s="257" t="s">
        <v>5205</v>
      </c>
      <c r="G1809" s="257" t="s">
        <v>5206</v>
      </c>
    </row>
    <row r="1810" customHeight="1" spans="4:7">
      <c r="D1810" s="256">
        <v>45007</v>
      </c>
      <c r="E1810" s="257" t="s">
        <v>5169</v>
      </c>
      <c r="F1810" s="257" t="s">
        <v>5207</v>
      </c>
      <c r="G1810" s="257" t="s">
        <v>5208</v>
      </c>
    </row>
    <row r="1811" customHeight="1" spans="4:7">
      <c r="D1811" s="256">
        <v>45007</v>
      </c>
      <c r="E1811" s="257" t="s">
        <v>5169</v>
      </c>
      <c r="F1811" s="257" t="s">
        <v>5209</v>
      </c>
      <c r="G1811" s="257" t="s">
        <v>5210</v>
      </c>
    </row>
    <row r="1812" customHeight="1" spans="4:7">
      <c r="D1812" s="256">
        <v>45007</v>
      </c>
      <c r="E1812" s="257" t="s">
        <v>5169</v>
      </c>
      <c r="F1812" s="257" t="s">
        <v>5211</v>
      </c>
      <c r="G1812" s="257" t="s">
        <v>5212</v>
      </c>
    </row>
    <row r="1813" customHeight="1" spans="4:7">
      <c r="D1813" s="256">
        <v>45007</v>
      </c>
      <c r="E1813" s="257" t="s">
        <v>5169</v>
      </c>
      <c r="F1813" s="257" t="s">
        <v>5213</v>
      </c>
      <c r="G1813" s="257" t="s">
        <v>5214</v>
      </c>
    </row>
    <row r="1814" customHeight="1" spans="4:7">
      <c r="D1814" s="256">
        <v>45007</v>
      </c>
      <c r="E1814" s="257" t="s">
        <v>5169</v>
      </c>
      <c r="F1814" s="257" t="s">
        <v>5215</v>
      </c>
      <c r="G1814" s="257" t="s">
        <v>5216</v>
      </c>
    </row>
    <row r="1815" customHeight="1" spans="4:7">
      <c r="D1815" s="256">
        <v>45007</v>
      </c>
      <c r="E1815" s="257" t="s">
        <v>5169</v>
      </c>
      <c r="F1815" s="257" t="s">
        <v>5217</v>
      </c>
      <c r="G1815" s="257" t="s">
        <v>5218</v>
      </c>
    </row>
    <row r="1816" customHeight="1" spans="4:7">
      <c r="D1816" s="256">
        <v>45007</v>
      </c>
      <c r="E1816" s="257" t="s">
        <v>5169</v>
      </c>
      <c r="F1816" s="257" t="s">
        <v>5219</v>
      </c>
      <c r="G1816" s="257" t="s">
        <v>5220</v>
      </c>
    </row>
    <row r="1817" customHeight="1" spans="4:7">
      <c r="D1817" s="256">
        <v>45007</v>
      </c>
      <c r="E1817" s="257" t="s">
        <v>5169</v>
      </c>
      <c r="F1817" s="257" t="s">
        <v>5221</v>
      </c>
      <c r="G1817" s="257" t="s">
        <v>5222</v>
      </c>
    </row>
    <row r="1818" customHeight="1" spans="4:7">
      <c r="D1818" s="256">
        <v>45007</v>
      </c>
      <c r="E1818" s="257" t="s">
        <v>5169</v>
      </c>
      <c r="F1818" s="257" t="s">
        <v>5223</v>
      </c>
      <c r="G1818" s="257" t="s">
        <v>5224</v>
      </c>
    </row>
    <row r="1819" customHeight="1" spans="4:7">
      <c r="D1819" s="256">
        <v>45007</v>
      </c>
      <c r="E1819" s="257" t="s">
        <v>5169</v>
      </c>
      <c r="F1819" s="257" t="s">
        <v>5225</v>
      </c>
      <c r="G1819" s="257" t="s">
        <v>5226</v>
      </c>
    </row>
    <row r="1820" customHeight="1" spans="4:7">
      <c r="D1820" s="256">
        <v>45007</v>
      </c>
      <c r="E1820" s="257" t="s">
        <v>5169</v>
      </c>
      <c r="F1820" s="257" t="s">
        <v>5227</v>
      </c>
      <c r="G1820" s="257" t="s">
        <v>5228</v>
      </c>
    </row>
    <row r="1821" customHeight="1" spans="4:7">
      <c r="D1821" s="256">
        <v>45007</v>
      </c>
      <c r="E1821" s="257" t="s">
        <v>5169</v>
      </c>
      <c r="F1821" s="257" t="s">
        <v>5229</v>
      </c>
      <c r="G1821" s="257" t="s">
        <v>5230</v>
      </c>
    </row>
    <row r="1822" customHeight="1" spans="4:7">
      <c r="D1822" s="256">
        <v>45007</v>
      </c>
      <c r="E1822" s="257" t="s">
        <v>5169</v>
      </c>
      <c r="F1822" s="257" t="s">
        <v>5231</v>
      </c>
      <c r="G1822" s="257" t="s">
        <v>5232</v>
      </c>
    </row>
    <row r="1823" customHeight="1" spans="4:7">
      <c r="D1823" s="256">
        <v>45007</v>
      </c>
      <c r="E1823" s="257" t="s">
        <v>5169</v>
      </c>
      <c r="F1823" s="257" t="s">
        <v>5233</v>
      </c>
      <c r="G1823" s="257" t="s">
        <v>5234</v>
      </c>
    </row>
    <row r="1824" customHeight="1" spans="4:7">
      <c r="D1824" s="256">
        <v>45007</v>
      </c>
      <c r="E1824" s="257" t="s">
        <v>5169</v>
      </c>
      <c r="F1824" s="257" t="s">
        <v>5235</v>
      </c>
      <c r="G1824" s="257" t="s">
        <v>5236</v>
      </c>
    </row>
    <row r="1825" customHeight="1" spans="4:7">
      <c r="D1825" s="256">
        <v>45007</v>
      </c>
      <c r="E1825" s="257" t="s">
        <v>5169</v>
      </c>
      <c r="F1825" s="257" t="s">
        <v>5237</v>
      </c>
      <c r="G1825" s="257" t="s">
        <v>5238</v>
      </c>
    </row>
    <row r="1826" customHeight="1" spans="4:7">
      <c r="D1826" s="256">
        <v>45007</v>
      </c>
      <c r="E1826" s="257" t="s">
        <v>5169</v>
      </c>
      <c r="F1826" s="257" t="s">
        <v>5239</v>
      </c>
      <c r="G1826" s="257" t="s">
        <v>5240</v>
      </c>
    </row>
    <row r="1827" customHeight="1" spans="4:7">
      <c r="D1827" s="256">
        <v>45007</v>
      </c>
      <c r="E1827" s="257" t="s">
        <v>5169</v>
      </c>
      <c r="F1827" s="257" t="s">
        <v>5241</v>
      </c>
      <c r="G1827" s="257" t="s">
        <v>5242</v>
      </c>
    </row>
    <row r="1828" customHeight="1" spans="4:7">
      <c r="D1828" s="256">
        <v>45007</v>
      </c>
      <c r="E1828" s="257" t="s">
        <v>5169</v>
      </c>
      <c r="F1828" s="257" t="s">
        <v>5243</v>
      </c>
      <c r="G1828" s="257" t="s">
        <v>5244</v>
      </c>
    </row>
    <row r="1829" customHeight="1" spans="4:7">
      <c r="D1829" s="256">
        <v>45007</v>
      </c>
      <c r="E1829" s="257" t="s">
        <v>5169</v>
      </c>
      <c r="F1829" s="257" t="s">
        <v>5245</v>
      </c>
      <c r="G1829" s="257" t="s">
        <v>5246</v>
      </c>
    </row>
    <row r="1830" customHeight="1" spans="4:7">
      <c r="D1830" s="256">
        <v>45007</v>
      </c>
      <c r="E1830" s="257" t="s">
        <v>5169</v>
      </c>
      <c r="F1830" s="257" t="s">
        <v>5247</v>
      </c>
      <c r="G1830" s="257" t="s">
        <v>5248</v>
      </c>
    </row>
    <row r="1831" customHeight="1" spans="4:7">
      <c r="D1831" s="256">
        <v>45007</v>
      </c>
      <c r="E1831" s="257" t="s">
        <v>5169</v>
      </c>
      <c r="F1831" s="257" t="s">
        <v>5249</v>
      </c>
      <c r="G1831" s="257" t="s">
        <v>5250</v>
      </c>
    </row>
    <row r="1832" customHeight="1" spans="4:7">
      <c r="D1832" s="256">
        <v>45007</v>
      </c>
      <c r="E1832" s="257" t="s">
        <v>5169</v>
      </c>
      <c r="F1832" s="257" t="s">
        <v>5251</v>
      </c>
      <c r="G1832" s="257" t="s">
        <v>5252</v>
      </c>
    </row>
    <row r="1833" customHeight="1" spans="4:7">
      <c r="D1833" s="256">
        <v>45007</v>
      </c>
      <c r="E1833" s="257" t="s">
        <v>5169</v>
      </c>
      <c r="F1833" s="257" t="s">
        <v>5253</v>
      </c>
      <c r="G1833" s="257" t="s">
        <v>5254</v>
      </c>
    </row>
    <row r="1834" customHeight="1" spans="4:7">
      <c r="D1834" s="256">
        <v>45007</v>
      </c>
      <c r="E1834" s="257" t="s">
        <v>5169</v>
      </c>
      <c r="F1834" s="257" t="s">
        <v>5255</v>
      </c>
      <c r="G1834" s="257" t="s">
        <v>5256</v>
      </c>
    </row>
    <row r="1835" customHeight="1" spans="4:7">
      <c r="D1835" s="256">
        <v>45007</v>
      </c>
      <c r="E1835" s="257" t="s">
        <v>5169</v>
      </c>
      <c r="F1835" s="257" t="s">
        <v>5257</v>
      </c>
      <c r="G1835" s="257" t="s">
        <v>5258</v>
      </c>
    </row>
    <row r="1836" customHeight="1" spans="4:7">
      <c r="D1836" s="256">
        <v>45007</v>
      </c>
      <c r="E1836" s="257" t="s">
        <v>5169</v>
      </c>
      <c r="F1836" s="257" t="s">
        <v>5259</v>
      </c>
      <c r="G1836" s="257" t="s">
        <v>5260</v>
      </c>
    </row>
    <row r="1837" customHeight="1" spans="4:7">
      <c r="D1837" s="256">
        <v>45007</v>
      </c>
      <c r="E1837" s="257" t="s">
        <v>5169</v>
      </c>
      <c r="F1837" s="257" t="s">
        <v>5261</v>
      </c>
      <c r="G1837" s="257" t="s">
        <v>5262</v>
      </c>
    </row>
    <row r="1838" customHeight="1" spans="4:7">
      <c r="D1838" s="256">
        <v>45007</v>
      </c>
      <c r="E1838" s="257" t="s">
        <v>5169</v>
      </c>
      <c r="F1838" s="257" t="s">
        <v>5263</v>
      </c>
      <c r="G1838" s="257" t="s">
        <v>5264</v>
      </c>
    </row>
    <row r="1839" customHeight="1" spans="4:7">
      <c r="D1839" s="256">
        <v>45007</v>
      </c>
      <c r="E1839" s="257" t="s">
        <v>5169</v>
      </c>
      <c r="F1839" s="257" t="s">
        <v>5265</v>
      </c>
      <c r="G1839" s="257" t="s">
        <v>5266</v>
      </c>
    </row>
    <row r="1840" customHeight="1" spans="4:7">
      <c r="D1840" s="256">
        <v>45007</v>
      </c>
      <c r="E1840" s="257" t="s">
        <v>5169</v>
      </c>
      <c r="F1840" s="257" t="s">
        <v>5267</v>
      </c>
      <c r="G1840" s="257" t="s">
        <v>5268</v>
      </c>
    </row>
    <row r="1841" customHeight="1" spans="4:7">
      <c r="D1841" s="256">
        <v>45007</v>
      </c>
      <c r="E1841" s="257" t="s">
        <v>5169</v>
      </c>
      <c r="F1841" s="257" t="s">
        <v>5269</v>
      </c>
      <c r="G1841" s="257" t="s">
        <v>5270</v>
      </c>
    </row>
    <row r="1842" customHeight="1" spans="4:7">
      <c r="D1842" s="256">
        <v>45007</v>
      </c>
      <c r="E1842" s="257" t="s">
        <v>5169</v>
      </c>
      <c r="F1842" s="257" t="s">
        <v>5271</v>
      </c>
      <c r="G1842" s="257" t="s">
        <v>5272</v>
      </c>
    </row>
    <row r="1843" customHeight="1" spans="4:7">
      <c r="D1843" s="256">
        <v>45007</v>
      </c>
      <c r="E1843" s="257" t="s">
        <v>5169</v>
      </c>
      <c r="F1843" s="257" t="s">
        <v>5273</v>
      </c>
      <c r="G1843" s="257" t="s">
        <v>5274</v>
      </c>
    </row>
    <row r="1844" customHeight="1" spans="4:7">
      <c r="D1844" s="256">
        <v>45007</v>
      </c>
      <c r="E1844" s="257" t="s">
        <v>5169</v>
      </c>
      <c r="F1844" s="257" t="s">
        <v>5275</v>
      </c>
      <c r="G1844" s="257" t="s">
        <v>5276</v>
      </c>
    </row>
    <row r="1845" customHeight="1" spans="4:7">
      <c r="D1845" s="256">
        <v>45007</v>
      </c>
      <c r="E1845" s="257" t="s">
        <v>5169</v>
      </c>
      <c r="F1845" s="257" t="s">
        <v>5277</v>
      </c>
      <c r="G1845" s="257" t="s">
        <v>5278</v>
      </c>
    </row>
    <row r="1846" customHeight="1" spans="4:7">
      <c r="D1846" s="256">
        <v>45007</v>
      </c>
      <c r="E1846" s="257" t="s">
        <v>5169</v>
      </c>
      <c r="F1846" s="257" t="s">
        <v>5279</v>
      </c>
      <c r="G1846" s="257" t="s">
        <v>5280</v>
      </c>
    </row>
    <row r="1847" customHeight="1" spans="4:7">
      <c r="D1847" s="256">
        <v>45007</v>
      </c>
      <c r="E1847" s="257" t="s">
        <v>5169</v>
      </c>
      <c r="F1847" s="257" t="s">
        <v>5281</v>
      </c>
      <c r="G1847" s="257" t="s">
        <v>5282</v>
      </c>
    </row>
    <row r="1848" customHeight="1" spans="4:7">
      <c r="D1848" s="256">
        <v>45007</v>
      </c>
      <c r="E1848" s="257" t="s">
        <v>5169</v>
      </c>
      <c r="F1848" s="257" t="s">
        <v>5283</v>
      </c>
      <c r="G1848" s="257" t="s">
        <v>5284</v>
      </c>
    </row>
    <row r="1849" customHeight="1" spans="4:7">
      <c r="D1849" s="256">
        <v>45007</v>
      </c>
      <c r="E1849" s="257" t="s">
        <v>5169</v>
      </c>
      <c r="F1849" s="257" t="s">
        <v>5285</v>
      </c>
      <c r="G1849" s="257" t="s">
        <v>5286</v>
      </c>
    </row>
    <row r="1850" customHeight="1" spans="4:7">
      <c r="D1850" s="256">
        <v>45007</v>
      </c>
      <c r="E1850" s="257" t="s">
        <v>5169</v>
      </c>
      <c r="F1850" s="257" t="s">
        <v>5287</v>
      </c>
      <c r="G1850" s="257" t="s">
        <v>5288</v>
      </c>
    </row>
    <row r="1851" customHeight="1" spans="4:7">
      <c r="D1851" s="256">
        <v>45007</v>
      </c>
      <c r="E1851" s="257" t="s">
        <v>5169</v>
      </c>
      <c r="F1851" s="257" t="s">
        <v>5289</v>
      </c>
      <c r="G1851" s="257" t="s">
        <v>5290</v>
      </c>
    </row>
    <row r="1852" customHeight="1" spans="4:7">
      <c r="D1852" s="256">
        <v>45007</v>
      </c>
      <c r="E1852" s="257" t="s">
        <v>5169</v>
      </c>
      <c r="F1852" s="257" t="s">
        <v>5291</v>
      </c>
      <c r="G1852" s="257" t="s">
        <v>5292</v>
      </c>
    </row>
    <row r="1853" customHeight="1" spans="4:7">
      <c r="D1853" s="256">
        <v>45007</v>
      </c>
      <c r="E1853" s="257" t="s">
        <v>5169</v>
      </c>
      <c r="F1853" s="257" t="s">
        <v>5293</v>
      </c>
      <c r="G1853" s="257" t="s">
        <v>5294</v>
      </c>
    </row>
    <row r="1854" customHeight="1" spans="4:7">
      <c r="D1854" s="256">
        <v>45007</v>
      </c>
      <c r="E1854" s="257" t="s">
        <v>5169</v>
      </c>
      <c r="F1854" s="257" t="s">
        <v>5295</v>
      </c>
      <c r="G1854" s="257" t="s">
        <v>5296</v>
      </c>
    </row>
    <row r="1855" customHeight="1" spans="4:7">
      <c r="D1855" s="256">
        <v>45007</v>
      </c>
      <c r="E1855" s="257" t="s">
        <v>5169</v>
      </c>
      <c r="F1855" s="257" t="s">
        <v>5297</v>
      </c>
      <c r="G1855" s="257" t="s">
        <v>5298</v>
      </c>
    </row>
    <row r="1856" customHeight="1" spans="4:7">
      <c r="D1856" s="256">
        <v>45007</v>
      </c>
      <c r="E1856" s="257" t="s">
        <v>5169</v>
      </c>
      <c r="F1856" s="257" t="s">
        <v>5299</v>
      </c>
      <c r="G1856" s="257" t="s">
        <v>5300</v>
      </c>
    </row>
    <row r="1857" customHeight="1" spans="4:7">
      <c r="D1857" s="256">
        <v>45007</v>
      </c>
      <c r="E1857" s="257" t="s">
        <v>5169</v>
      </c>
      <c r="F1857" s="257" t="s">
        <v>5301</v>
      </c>
      <c r="G1857" s="257" t="s">
        <v>5302</v>
      </c>
    </row>
    <row r="1858" customHeight="1" spans="4:7">
      <c r="D1858" s="256">
        <v>45007</v>
      </c>
      <c r="E1858" s="257" t="s">
        <v>5169</v>
      </c>
      <c r="F1858" s="257" t="s">
        <v>5303</v>
      </c>
      <c r="G1858" s="257" t="s">
        <v>5304</v>
      </c>
    </row>
    <row r="1859" customHeight="1" spans="4:7">
      <c r="D1859" s="256">
        <v>45007</v>
      </c>
      <c r="E1859" s="257" t="s">
        <v>5169</v>
      </c>
      <c r="F1859" s="257" t="s">
        <v>5305</v>
      </c>
      <c r="G1859" s="257" t="s">
        <v>3777</v>
      </c>
    </row>
    <row r="1860" customHeight="1" spans="4:7">
      <c r="D1860" s="256">
        <v>45007</v>
      </c>
      <c r="E1860" s="257" t="s">
        <v>5169</v>
      </c>
      <c r="F1860" s="257" t="s">
        <v>5306</v>
      </c>
      <c r="G1860" s="257" t="s">
        <v>5307</v>
      </c>
    </row>
    <row r="1861" customHeight="1" spans="4:7">
      <c r="D1861" s="256">
        <v>45007</v>
      </c>
      <c r="E1861" s="257" t="s">
        <v>5169</v>
      </c>
      <c r="F1861" s="257" t="s">
        <v>5308</v>
      </c>
      <c r="G1861" s="257" t="s">
        <v>5309</v>
      </c>
    </row>
    <row r="1862" customHeight="1" spans="4:7">
      <c r="D1862" s="256">
        <v>45007</v>
      </c>
      <c r="E1862" s="257" t="s">
        <v>5169</v>
      </c>
      <c r="F1862" s="257" t="s">
        <v>5310</v>
      </c>
      <c r="G1862" s="257" t="s">
        <v>5311</v>
      </c>
    </row>
    <row r="1863" customHeight="1" spans="4:7">
      <c r="D1863" s="256">
        <v>45007</v>
      </c>
      <c r="E1863" s="257" t="s">
        <v>5169</v>
      </c>
      <c r="F1863" s="257" t="s">
        <v>5312</v>
      </c>
      <c r="G1863" s="257" t="s">
        <v>5313</v>
      </c>
    </row>
    <row r="1864" customHeight="1" spans="4:7">
      <c r="D1864" s="256">
        <v>45007</v>
      </c>
      <c r="E1864" s="257" t="s">
        <v>5169</v>
      </c>
      <c r="F1864" s="257" t="s">
        <v>5314</v>
      </c>
      <c r="G1864" s="257" t="s">
        <v>5315</v>
      </c>
    </row>
    <row r="1865" customHeight="1" spans="4:7">
      <c r="D1865" s="256">
        <v>45007</v>
      </c>
      <c r="E1865" s="257" t="s">
        <v>5169</v>
      </c>
      <c r="F1865" s="257" t="s">
        <v>5316</v>
      </c>
      <c r="G1865" s="257" t="s">
        <v>5317</v>
      </c>
    </row>
    <row r="1866" customHeight="1" spans="4:7">
      <c r="D1866" s="256">
        <v>45007</v>
      </c>
      <c r="E1866" s="257" t="s">
        <v>5169</v>
      </c>
      <c r="F1866" s="257" t="s">
        <v>5318</v>
      </c>
      <c r="G1866" s="257" t="s">
        <v>5319</v>
      </c>
    </row>
    <row r="1867" customHeight="1" spans="4:7">
      <c r="D1867" s="256">
        <v>45007</v>
      </c>
      <c r="E1867" s="257" t="s">
        <v>5169</v>
      </c>
      <c r="F1867" s="257" t="s">
        <v>5320</v>
      </c>
      <c r="G1867" s="257" t="s">
        <v>5321</v>
      </c>
    </row>
    <row r="1868" customHeight="1" spans="4:7">
      <c r="D1868" s="256">
        <v>45007</v>
      </c>
      <c r="E1868" s="257" t="s">
        <v>5169</v>
      </c>
      <c r="F1868" s="257" t="s">
        <v>5322</v>
      </c>
      <c r="G1868" s="257" t="s">
        <v>5323</v>
      </c>
    </row>
    <row r="1869" customHeight="1" spans="4:7">
      <c r="D1869" s="256">
        <v>45007</v>
      </c>
      <c r="E1869" s="257" t="s">
        <v>5169</v>
      </c>
      <c r="F1869" s="257" t="s">
        <v>5324</v>
      </c>
      <c r="G1869" s="257" t="s">
        <v>5325</v>
      </c>
    </row>
    <row r="1870" customHeight="1" spans="4:7">
      <c r="D1870" s="256">
        <v>45007</v>
      </c>
      <c r="E1870" s="257" t="s">
        <v>5169</v>
      </c>
      <c r="F1870" s="257" t="s">
        <v>5326</v>
      </c>
      <c r="G1870" s="257" t="s">
        <v>5327</v>
      </c>
    </row>
    <row r="1871" customHeight="1" spans="4:7">
      <c r="D1871" s="256">
        <v>45007</v>
      </c>
      <c r="E1871" s="257" t="s">
        <v>5169</v>
      </c>
      <c r="F1871" s="257" t="s">
        <v>5328</v>
      </c>
      <c r="G1871" s="257" t="s">
        <v>5329</v>
      </c>
    </row>
    <row r="1872" customHeight="1" spans="4:7">
      <c r="D1872" s="256">
        <v>45007</v>
      </c>
      <c r="E1872" s="257" t="s">
        <v>5169</v>
      </c>
      <c r="F1872" s="257" t="s">
        <v>5330</v>
      </c>
      <c r="G1872" s="257" t="s">
        <v>5331</v>
      </c>
    </row>
    <row r="1873" customHeight="1" spans="4:7">
      <c r="D1873" s="256">
        <v>51018</v>
      </c>
      <c r="E1873" s="257" t="s">
        <v>5332</v>
      </c>
      <c r="F1873" s="257" t="s">
        <v>5333</v>
      </c>
      <c r="G1873" s="257" t="s">
        <v>5334</v>
      </c>
    </row>
    <row r="1874" customHeight="1" spans="4:7">
      <c r="D1874" s="256">
        <v>51018</v>
      </c>
      <c r="E1874" s="257" t="s">
        <v>5332</v>
      </c>
      <c r="F1874" s="257" t="s">
        <v>5335</v>
      </c>
      <c r="G1874" s="257" t="s">
        <v>5336</v>
      </c>
    </row>
    <row r="1875" customHeight="1" spans="4:7">
      <c r="D1875" s="256">
        <v>51018</v>
      </c>
      <c r="E1875" s="257" t="s">
        <v>5332</v>
      </c>
      <c r="F1875" s="257" t="s">
        <v>5337</v>
      </c>
      <c r="G1875" s="257" t="s">
        <v>5338</v>
      </c>
    </row>
    <row r="1876" customHeight="1" spans="4:7">
      <c r="D1876" s="256">
        <v>51018</v>
      </c>
      <c r="E1876" s="257" t="s">
        <v>5332</v>
      </c>
      <c r="F1876" s="257" t="s">
        <v>5339</v>
      </c>
      <c r="G1876" s="257" t="s">
        <v>5340</v>
      </c>
    </row>
    <row r="1877" customHeight="1" spans="4:7">
      <c r="D1877" s="256">
        <v>51018</v>
      </c>
      <c r="E1877" s="257" t="s">
        <v>5332</v>
      </c>
      <c r="F1877" s="257" t="s">
        <v>5341</v>
      </c>
      <c r="G1877" s="257" t="s">
        <v>5342</v>
      </c>
    </row>
    <row r="1878" customHeight="1" spans="4:7">
      <c r="D1878" s="256">
        <v>51018</v>
      </c>
      <c r="E1878" s="257" t="s">
        <v>5332</v>
      </c>
      <c r="F1878" s="257" t="s">
        <v>5343</v>
      </c>
      <c r="G1878" s="257" t="s">
        <v>5344</v>
      </c>
    </row>
    <row r="1879" customHeight="1" spans="4:7">
      <c r="D1879" s="256">
        <v>51018</v>
      </c>
      <c r="E1879" s="257" t="s">
        <v>5332</v>
      </c>
      <c r="F1879" s="257" t="s">
        <v>5345</v>
      </c>
      <c r="G1879" s="257" t="s">
        <v>5346</v>
      </c>
    </row>
    <row r="1880" customHeight="1" spans="4:7">
      <c r="D1880" s="256">
        <v>51018</v>
      </c>
      <c r="E1880" s="257" t="s">
        <v>5332</v>
      </c>
      <c r="F1880" s="257" t="s">
        <v>5347</v>
      </c>
      <c r="G1880" s="257" t="s">
        <v>5348</v>
      </c>
    </row>
    <row r="1881" customHeight="1" spans="4:7">
      <c r="D1881" s="256">
        <v>51018</v>
      </c>
      <c r="E1881" s="257" t="s">
        <v>5332</v>
      </c>
      <c r="F1881" s="257" t="s">
        <v>5349</v>
      </c>
      <c r="G1881" s="257" t="s">
        <v>5350</v>
      </c>
    </row>
    <row r="1882" customHeight="1" spans="4:7">
      <c r="D1882" s="256">
        <v>51018</v>
      </c>
      <c r="E1882" s="257" t="s">
        <v>5332</v>
      </c>
      <c r="F1882" s="257" t="s">
        <v>5351</v>
      </c>
      <c r="G1882" s="257" t="s">
        <v>5352</v>
      </c>
    </row>
    <row r="1883" customHeight="1" spans="4:7">
      <c r="D1883" s="256">
        <v>51018</v>
      </c>
      <c r="E1883" s="257" t="s">
        <v>5332</v>
      </c>
      <c r="F1883" s="257" t="s">
        <v>5353</v>
      </c>
      <c r="G1883" s="257" t="s">
        <v>5354</v>
      </c>
    </row>
    <row r="1884" customHeight="1" spans="4:7">
      <c r="D1884" s="256">
        <v>51018</v>
      </c>
      <c r="E1884" s="257" t="s">
        <v>5332</v>
      </c>
      <c r="F1884" s="257" t="s">
        <v>5355</v>
      </c>
      <c r="G1884" s="257" t="s">
        <v>5356</v>
      </c>
    </row>
    <row r="1885" customHeight="1" spans="4:7">
      <c r="D1885" s="256">
        <v>51018</v>
      </c>
      <c r="E1885" s="257" t="s">
        <v>5332</v>
      </c>
      <c r="F1885" s="257" t="s">
        <v>5357</v>
      </c>
      <c r="G1885" s="257" t="s">
        <v>5358</v>
      </c>
    </row>
    <row r="1886" customHeight="1" spans="4:7">
      <c r="D1886" s="256">
        <v>51018</v>
      </c>
      <c r="E1886" s="257" t="s">
        <v>5332</v>
      </c>
      <c r="F1886" s="257" t="s">
        <v>5359</v>
      </c>
      <c r="G1886" s="257" t="s">
        <v>5360</v>
      </c>
    </row>
    <row r="1887" customHeight="1" spans="4:7">
      <c r="D1887" s="256">
        <v>53009</v>
      </c>
      <c r="E1887" s="257" t="s">
        <v>5361</v>
      </c>
      <c r="F1887" s="257" t="s">
        <v>5362</v>
      </c>
      <c r="G1887" s="257" t="s">
        <v>5363</v>
      </c>
    </row>
    <row r="1888" customHeight="1" spans="4:7">
      <c r="D1888" s="256">
        <v>53009</v>
      </c>
      <c r="E1888" s="257" t="s">
        <v>5361</v>
      </c>
      <c r="F1888" s="257" t="s">
        <v>5364</v>
      </c>
      <c r="G1888" s="257" t="s">
        <v>5365</v>
      </c>
    </row>
    <row r="1889" customHeight="1" spans="4:7">
      <c r="D1889" s="256">
        <v>53009</v>
      </c>
      <c r="E1889" s="257" t="s">
        <v>5361</v>
      </c>
      <c r="F1889" s="257" t="s">
        <v>5366</v>
      </c>
      <c r="G1889" s="257" t="s">
        <v>5367</v>
      </c>
    </row>
    <row r="1890" customHeight="1" spans="4:7">
      <c r="D1890" s="256">
        <v>46013</v>
      </c>
      <c r="E1890" s="257" t="s">
        <v>5368</v>
      </c>
      <c r="F1890" s="257" t="s">
        <v>5369</v>
      </c>
      <c r="G1890" s="257" t="s">
        <v>5370</v>
      </c>
    </row>
    <row r="1891" customHeight="1" spans="4:7">
      <c r="D1891" s="256">
        <v>46013</v>
      </c>
      <c r="E1891" s="257" t="s">
        <v>5368</v>
      </c>
      <c r="F1891" s="257" t="s">
        <v>5371</v>
      </c>
      <c r="G1891" s="257" t="s">
        <v>5372</v>
      </c>
    </row>
    <row r="1892" customHeight="1" spans="4:7">
      <c r="D1892" s="256">
        <v>46014</v>
      </c>
      <c r="E1892" s="257" t="s">
        <v>5373</v>
      </c>
      <c r="F1892" s="257" t="s">
        <v>5374</v>
      </c>
      <c r="G1892" s="257" t="s">
        <v>5375</v>
      </c>
    </row>
    <row r="1893" customHeight="1" spans="4:7">
      <c r="D1893" s="256">
        <v>46014</v>
      </c>
      <c r="E1893" s="257" t="s">
        <v>5373</v>
      </c>
      <c r="F1893" s="257" t="s">
        <v>5376</v>
      </c>
      <c r="G1893" s="257" t="s">
        <v>5377</v>
      </c>
    </row>
    <row r="1894" customHeight="1" spans="4:7">
      <c r="D1894" s="256">
        <v>46014</v>
      </c>
      <c r="E1894" s="257" t="s">
        <v>5373</v>
      </c>
      <c r="F1894" s="257" t="s">
        <v>5378</v>
      </c>
      <c r="G1894" s="257" t="s">
        <v>5379</v>
      </c>
    </row>
    <row r="1895" customHeight="1" spans="4:7">
      <c r="D1895" s="256">
        <v>46014</v>
      </c>
      <c r="E1895" s="257" t="s">
        <v>5373</v>
      </c>
      <c r="F1895" s="257" t="s">
        <v>5380</v>
      </c>
      <c r="G1895" s="257" t="s">
        <v>5381</v>
      </c>
    </row>
    <row r="1896" customHeight="1" spans="4:7">
      <c r="D1896" s="256">
        <v>46014</v>
      </c>
      <c r="E1896" s="257" t="s">
        <v>5373</v>
      </c>
      <c r="F1896" s="257" t="s">
        <v>5382</v>
      </c>
      <c r="G1896" s="257" t="s">
        <v>5383</v>
      </c>
    </row>
    <row r="1897" customHeight="1" spans="4:7">
      <c r="D1897" s="256">
        <v>46014</v>
      </c>
      <c r="E1897" s="257" t="s">
        <v>5373</v>
      </c>
      <c r="F1897" s="257" t="s">
        <v>5384</v>
      </c>
      <c r="G1897" s="257" t="s">
        <v>5385</v>
      </c>
    </row>
    <row r="1898" customHeight="1" spans="4:7">
      <c r="D1898" s="256">
        <v>45008</v>
      </c>
      <c r="E1898" s="257" t="s">
        <v>5386</v>
      </c>
      <c r="F1898" s="257" t="s">
        <v>5387</v>
      </c>
      <c r="G1898" s="257" t="s">
        <v>5388</v>
      </c>
    </row>
    <row r="1899" customHeight="1" spans="4:7">
      <c r="D1899" s="256">
        <v>45008</v>
      </c>
      <c r="E1899" s="257" t="s">
        <v>5386</v>
      </c>
      <c r="F1899" s="257" t="s">
        <v>5389</v>
      </c>
      <c r="G1899" s="257" t="s">
        <v>5390</v>
      </c>
    </row>
    <row r="1900" customHeight="1" spans="4:7">
      <c r="D1900" s="256">
        <v>45008</v>
      </c>
      <c r="E1900" s="257" t="s">
        <v>5386</v>
      </c>
      <c r="F1900" s="257" t="s">
        <v>5391</v>
      </c>
      <c r="G1900" s="257" t="s">
        <v>5392</v>
      </c>
    </row>
    <row r="1901" customHeight="1" spans="4:7">
      <c r="D1901" s="256">
        <v>45008</v>
      </c>
      <c r="E1901" s="257" t="s">
        <v>5386</v>
      </c>
      <c r="F1901" s="257" t="s">
        <v>5393</v>
      </c>
      <c r="G1901" s="257" t="s">
        <v>5394</v>
      </c>
    </row>
    <row r="1902" customHeight="1" spans="4:7">
      <c r="D1902" s="256">
        <v>45008</v>
      </c>
      <c r="E1902" s="257" t="s">
        <v>5386</v>
      </c>
      <c r="F1902" s="257" t="s">
        <v>5395</v>
      </c>
      <c r="G1902" s="257" t="s">
        <v>5396</v>
      </c>
    </row>
    <row r="1903" customHeight="1" spans="4:7">
      <c r="D1903" s="256">
        <v>45008</v>
      </c>
      <c r="E1903" s="257" t="s">
        <v>5386</v>
      </c>
      <c r="F1903" s="257" t="s">
        <v>5397</v>
      </c>
      <c r="G1903" s="257" t="s">
        <v>5398</v>
      </c>
    </row>
    <row r="1904" customHeight="1" spans="4:7">
      <c r="D1904" s="256">
        <v>45008</v>
      </c>
      <c r="E1904" s="257" t="s">
        <v>5386</v>
      </c>
      <c r="F1904" s="257" t="s">
        <v>5399</v>
      </c>
      <c r="G1904" s="257" t="s">
        <v>5400</v>
      </c>
    </row>
    <row r="1905" customHeight="1" spans="4:7">
      <c r="D1905" s="256">
        <v>45008</v>
      </c>
      <c r="E1905" s="257" t="s">
        <v>5386</v>
      </c>
      <c r="F1905" s="257" t="s">
        <v>5401</v>
      </c>
      <c r="G1905" s="257" t="s">
        <v>2495</v>
      </c>
    </row>
    <row r="1906" customHeight="1" spans="4:7">
      <c r="D1906" s="256">
        <v>45008</v>
      </c>
      <c r="E1906" s="257" t="s">
        <v>5386</v>
      </c>
      <c r="F1906" s="257" t="s">
        <v>5402</v>
      </c>
      <c r="G1906" s="257" t="s">
        <v>5403</v>
      </c>
    </row>
    <row r="1907" customHeight="1" spans="4:7">
      <c r="D1907" s="256">
        <v>45008</v>
      </c>
      <c r="E1907" s="257" t="s">
        <v>5386</v>
      </c>
      <c r="F1907" s="257" t="s">
        <v>5404</v>
      </c>
      <c r="G1907" s="257" t="s">
        <v>5405</v>
      </c>
    </row>
    <row r="1908" customHeight="1" spans="4:7">
      <c r="D1908" s="256">
        <v>45008</v>
      </c>
      <c r="E1908" s="257" t="s">
        <v>5386</v>
      </c>
      <c r="F1908" s="257" t="s">
        <v>5406</v>
      </c>
      <c r="G1908" s="257" t="s">
        <v>5407</v>
      </c>
    </row>
    <row r="1909" customHeight="1" spans="4:7">
      <c r="D1909" s="256">
        <v>45008</v>
      </c>
      <c r="E1909" s="257" t="s">
        <v>5386</v>
      </c>
      <c r="F1909" s="257" t="s">
        <v>5408</v>
      </c>
      <c r="G1909" s="257" t="s">
        <v>5409</v>
      </c>
    </row>
    <row r="1910" customHeight="1" spans="4:7">
      <c r="D1910" s="256">
        <v>45008</v>
      </c>
      <c r="E1910" s="257" t="s">
        <v>5386</v>
      </c>
      <c r="F1910" s="257" t="s">
        <v>5410</v>
      </c>
      <c r="G1910" s="257" t="s">
        <v>5411</v>
      </c>
    </row>
    <row r="1911" customHeight="1" spans="4:7">
      <c r="D1911" s="256">
        <v>45008</v>
      </c>
      <c r="E1911" s="257" t="s">
        <v>5386</v>
      </c>
      <c r="F1911" s="257" t="s">
        <v>5412</v>
      </c>
      <c r="G1911" s="257" t="s">
        <v>5413</v>
      </c>
    </row>
    <row r="1912" customHeight="1" spans="4:7">
      <c r="D1912" s="256">
        <v>45008</v>
      </c>
      <c r="E1912" s="257" t="s">
        <v>5386</v>
      </c>
      <c r="F1912" s="257" t="s">
        <v>5414</v>
      </c>
      <c r="G1912" s="257" t="s">
        <v>5415</v>
      </c>
    </row>
    <row r="1913" customHeight="1" spans="4:7">
      <c r="D1913" s="256">
        <v>45008</v>
      </c>
      <c r="E1913" s="257" t="s">
        <v>5386</v>
      </c>
      <c r="F1913" s="257" t="s">
        <v>5416</v>
      </c>
      <c r="G1913" s="257" t="s">
        <v>5417</v>
      </c>
    </row>
    <row r="1914" customHeight="1" spans="4:7">
      <c r="D1914" s="256">
        <v>45008</v>
      </c>
      <c r="E1914" s="257" t="s">
        <v>5386</v>
      </c>
      <c r="F1914" s="257" t="s">
        <v>5418</v>
      </c>
      <c r="G1914" s="257" t="s">
        <v>5419</v>
      </c>
    </row>
    <row r="1915" customHeight="1" spans="4:7">
      <c r="D1915" s="256">
        <v>45008</v>
      </c>
      <c r="E1915" s="257" t="s">
        <v>5386</v>
      </c>
      <c r="F1915" s="257" t="s">
        <v>5420</v>
      </c>
      <c r="G1915" s="257" t="s">
        <v>5421</v>
      </c>
    </row>
    <row r="1916" customHeight="1" spans="4:7">
      <c r="D1916" s="256">
        <v>45008</v>
      </c>
      <c r="E1916" s="257" t="s">
        <v>5386</v>
      </c>
      <c r="F1916" s="257" t="s">
        <v>5422</v>
      </c>
      <c r="G1916" s="257" t="s">
        <v>5423</v>
      </c>
    </row>
    <row r="1917" customHeight="1" spans="4:7">
      <c r="D1917" s="256">
        <v>45008</v>
      </c>
      <c r="E1917" s="257" t="s">
        <v>5386</v>
      </c>
      <c r="F1917" s="257" t="s">
        <v>5424</v>
      </c>
      <c r="G1917" s="257" t="s">
        <v>5425</v>
      </c>
    </row>
    <row r="1918" customHeight="1" spans="4:7">
      <c r="D1918" s="256">
        <v>45008</v>
      </c>
      <c r="E1918" s="257" t="s">
        <v>5386</v>
      </c>
      <c r="F1918" s="257" t="s">
        <v>5426</v>
      </c>
      <c r="G1918" s="257" t="s">
        <v>5427</v>
      </c>
    </row>
    <row r="1919" customHeight="1" spans="4:7">
      <c r="D1919" s="256">
        <v>45008</v>
      </c>
      <c r="E1919" s="257" t="s">
        <v>5386</v>
      </c>
      <c r="F1919" s="257" t="s">
        <v>5428</v>
      </c>
      <c r="G1919" s="257" t="s">
        <v>5429</v>
      </c>
    </row>
    <row r="1920" customHeight="1" spans="4:7">
      <c r="D1920" s="256">
        <v>48019</v>
      </c>
      <c r="E1920" s="257" t="s">
        <v>5430</v>
      </c>
      <c r="F1920" s="257" t="s">
        <v>5431</v>
      </c>
      <c r="G1920" s="257" t="s">
        <v>5432</v>
      </c>
    </row>
    <row r="1921" customHeight="1" spans="4:7">
      <c r="D1921" s="256">
        <v>48019</v>
      </c>
      <c r="E1921" s="257" t="s">
        <v>5430</v>
      </c>
      <c r="F1921" s="257" t="s">
        <v>5433</v>
      </c>
      <c r="G1921" s="257" t="s">
        <v>1370</v>
      </c>
    </row>
    <row r="1922" customHeight="1" spans="4:7">
      <c r="D1922" s="256">
        <v>48019</v>
      </c>
      <c r="E1922" s="257" t="s">
        <v>5430</v>
      </c>
      <c r="F1922" s="257" t="s">
        <v>5434</v>
      </c>
      <c r="G1922" s="257" t="s">
        <v>5435</v>
      </c>
    </row>
    <row r="1923" customHeight="1" spans="4:7">
      <c r="D1923" s="256">
        <v>48019</v>
      </c>
      <c r="E1923" s="257" t="s">
        <v>5430</v>
      </c>
      <c r="F1923" s="257" t="s">
        <v>5436</v>
      </c>
      <c r="G1923" s="257" t="s">
        <v>5437</v>
      </c>
    </row>
    <row r="1924" customHeight="1" spans="4:7">
      <c r="D1924" s="256">
        <v>48019</v>
      </c>
      <c r="E1924" s="257" t="s">
        <v>5430</v>
      </c>
      <c r="F1924" s="257" t="s">
        <v>5438</v>
      </c>
      <c r="G1924" s="257" t="s">
        <v>3667</v>
      </c>
    </row>
    <row r="1925" customHeight="1" spans="4:7">
      <c r="D1925" s="256">
        <v>48019</v>
      </c>
      <c r="E1925" s="257" t="s">
        <v>5430</v>
      </c>
      <c r="F1925" s="257" t="s">
        <v>5439</v>
      </c>
      <c r="G1925" s="257" t="s">
        <v>5440</v>
      </c>
    </row>
    <row r="1926" customHeight="1" spans="4:7">
      <c r="D1926" s="256">
        <v>48019</v>
      </c>
      <c r="E1926" s="257" t="s">
        <v>5430</v>
      </c>
      <c r="F1926" s="257" t="s">
        <v>5441</v>
      </c>
      <c r="G1926" s="257" t="s">
        <v>5442</v>
      </c>
    </row>
    <row r="1927" customHeight="1" spans="4:7">
      <c r="D1927" s="256">
        <v>48019</v>
      </c>
      <c r="E1927" s="257" t="s">
        <v>5430</v>
      </c>
      <c r="F1927" s="257" t="s">
        <v>5443</v>
      </c>
      <c r="G1927" s="257" t="s">
        <v>5444</v>
      </c>
    </row>
    <row r="1928" customHeight="1" spans="4:7">
      <c r="D1928" s="256">
        <v>48019</v>
      </c>
      <c r="E1928" s="257" t="s">
        <v>5430</v>
      </c>
      <c r="F1928" s="257" t="s">
        <v>5445</v>
      </c>
      <c r="G1928" s="257" t="s">
        <v>5446</v>
      </c>
    </row>
    <row r="1929" customHeight="1" spans="4:7">
      <c r="D1929" s="256">
        <v>48019</v>
      </c>
      <c r="E1929" s="257" t="s">
        <v>5430</v>
      </c>
      <c r="F1929" s="257" t="s">
        <v>5447</v>
      </c>
      <c r="G1929" s="257" t="s">
        <v>5448</v>
      </c>
    </row>
    <row r="1930" customHeight="1" spans="4:7">
      <c r="D1930" s="256">
        <v>48019</v>
      </c>
      <c r="E1930" s="257" t="s">
        <v>5430</v>
      </c>
      <c r="F1930" s="257" t="s">
        <v>5449</v>
      </c>
      <c r="G1930" s="257" t="s">
        <v>5450</v>
      </c>
    </row>
    <row r="1931" customHeight="1" spans="4:7">
      <c r="D1931" s="256">
        <v>48019</v>
      </c>
      <c r="E1931" s="257" t="s">
        <v>5430</v>
      </c>
      <c r="F1931" s="257" t="s">
        <v>5451</v>
      </c>
      <c r="G1931" s="257" t="s">
        <v>3694</v>
      </c>
    </row>
    <row r="1932" customHeight="1" spans="4:7">
      <c r="D1932" s="256">
        <v>48019</v>
      </c>
      <c r="E1932" s="257" t="s">
        <v>5430</v>
      </c>
      <c r="F1932" s="257" t="s">
        <v>5452</v>
      </c>
      <c r="G1932" s="257" t="s">
        <v>5453</v>
      </c>
    </row>
    <row r="1933" customHeight="1" spans="4:7">
      <c r="D1933" s="256">
        <v>48019</v>
      </c>
      <c r="E1933" s="257" t="s">
        <v>5430</v>
      </c>
      <c r="F1933" s="257" t="s">
        <v>5454</v>
      </c>
      <c r="G1933" s="257" t="s">
        <v>1394</v>
      </c>
    </row>
    <row r="1934" customHeight="1" spans="4:7">
      <c r="D1934" s="256">
        <v>48019</v>
      </c>
      <c r="E1934" s="257" t="s">
        <v>5430</v>
      </c>
      <c r="F1934" s="257" t="s">
        <v>5455</v>
      </c>
      <c r="G1934" s="257" t="s">
        <v>5456</v>
      </c>
    </row>
    <row r="1935" customHeight="1" spans="4:7">
      <c r="D1935" s="256">
        <v>48019</v>
      </c>
      <c r="E1935" s="257" t="s">
        <v>5430</v>
      </c>
      <c r="F1935" s="257" t="s">
        <v>5457</v>
      </c>
      <c r="G1935" s="257" t="s">
        <v>5458</v>
      </c>
    </row>
    <row r="1936" customHeight="1" spans="4:7">
      <c r="D1936" s="256">
        <v>48019</v>
      </c>
      <c r="E1936" s="257" t="s">
        <v>5430</v>
      </c>
      <c r="F1936" s="257" t="s">
        <v>5459</v>
      </c>
      <c r="G1936" s="257" t="s">
        <v>4072</v>
      </c>
    </row>
    <row r="1937" customHeight="1" spans="4:7">
      <c r="D1937" s="256">
        <v>48019</v>
      </c>
      <c r="E1937" s="257" t="s">
        <v>5430</v>
      </c>
      <c r="F1937" s="257" t="s">
        <v>5460</v>
      </c>
      <c r="G1937" s="257" t="s">
        <v>5461</v>
      </c>
    </row>
    <row r="1938" customHeight="1" spans="4:7">
      <c r="D1938" s="256">
        <v>48019</v>
      </c>
      <c r="E1938" s="257" t="s">
        <v>5430</v>
      </c>
      <c r="F1938" s="257" t="s">
        <v>5462</v>
      </c>
      <c r="G1938" s="257" t="s">
        <v>5463</v>
      </c>
    </row>
    <row r="1939" customHeight="1" spans="4:7">
      <c r="D1939" s="256">
        <v>48019</v>
      </c>
      <c r="E1939" s="257" t="s">
        <v>5430</v>
      </c>
      <c r="F1939" s="257" t="s">
        <v>5464</v>
      </c>
      <c r="G1939" s="257" t="s">
        <v>5465</v>
      </c>
    </row>
    <row r="1940" customHeight="1" spans="4:7">
      <c r="D1940" s="256">
        <v>48019</v>
      </c>
      <c r="E1940" s="257" t="s">
        <v>5430</v>
      </c>
      <c r="F1940" s="257" t="s">
        <v>5466</v>
      </c>
      <c r="G1940" s="257" t="s">
        <v>5467</v>
      </c>
    </row>
    <row r="1941" customHeight="1" spans="4:7">
      <c r="D1941" s="256">
        <v>48019</v>
      </c>
      <c r="E1941" s="257" t="s">
        <v>5430</v>
      </c>
      <c r="F1941" s="257" t="s">
        <v>5468</v>
      </c>
      <c r="G1941" s="257" t="s">
        <v>5469</v>
      </c>
    </row>
    <row r="1942" customHeight="1" spans="4:7">
      <c r="D1942" s="256">
        <v>48019</v>
      </c>
      <c r="E1942" s="257" t="s">
        <v>5430</v>
      </c>
      <c r="F1942" s="257" t="s">
        <v>5470</v>
      </c>
      <c r="G1942" s="257" t="s">
        <v>5471</v>
      </c>
    </row>
    <row r="1943" customHeight="1" spans="4:7">
      <c r="D1943" s="256">
        <v>48019</v>
      </c>
      <c r="E1943" s="257" t="s">
        <v>5430</v>
      </c>
      <c r="F1943" s="257" t="s">
        <v>5472</v>
      </c>
      <c r="G1943" s="257" t="s">
        <v>5473</v>
      </c>
    </row>
    <row r="1944" customHeight="1" spans="4:7">
      <c r="D1944" s="256">
        <v>48019</v>
      </c>
      <c r="E1944" s="257" t="s">
        <v>5430</v>
      </c>
      <c r="F1944" s="257" t="s">
        <v>5474</v>
      </c>
      <c r="G1944" s="257" t="s">
        <v>5475</v>
      </c>
    </row>
    <row r="1945" customHeight="1" spans="4:7">
      <c r="D1945" s="256">
        <v>48019</v>
      </c>
      <c r="E1945" s="257" t="s">
        <v>5430</v>
      </c>
      <c r="F1945" s="257" t="s">
        <v>5476</v>
      </c>
      <c r="G1945" s="257" t="s">
        <v>5477</v>
      </c>
    </row>
    <row r="1946" customHeight="1" spans="4:7">
      <c r="D1946" s="256">
        <v>48019</v>
      </c>
      <c r="E1946" s="257" t="s">
        <v>5430</v>
      </c>
      <c r="F1946" s="257" t="s">
        <v>5478</v>
      </c>
      <c r="G1946" s="257" t="s">
        <v>5479</v>
      </c>
    </row>
    <row r="1947" customHeight="1" spans="4:7">
      <c r="D1947" s="256">
        <v>48019</v>
      </c>
      <c r="E1947" s="257" t="s">
        <v>5430</v>
      </c>
      <c r="F1947" s="257" t="s">
        <v>5480</v>
      </c>
      <c r="G1947" s="257" t="s">
        <v>5481</v>
      </c>
    </row>
    <row r="1948" customHeight="1" spans="4:7">
      <c r="D1948" s="256">
        <v>48019</v>
      </c>
      <c r="E1948" s="257" t="s">
        <v>5430</v>
      </c>
      <c r="F1948" s="257" t="s">
        <v>5482</v>
      </c>
      <c r="G1948" s="257" t="s">
        <v>5483</v>
      </c>
    </row>
    <row r="1949" customHeight="1" spans="4:7">
      <c r="D1949" s="256">
        <v>48019</v>
      </c>
      <c r="E1949" s="257" t="s">
        <v>5430</v>
      </c>
      <c r="F1949" s="257" t="s">
        <v>5484</v>
      </c>
      <c r="G1949" s="257" t="s">
        <v>5485</v>
      </c>
    </row>
    <row r="1950" customHeight="1" spans="4:7">
      <c r="D1950" s="256">
        <v>48019</v>
      </c>
      <c r="E1950" s="257" t="s">
        <v>5430</v>
      </c>
      <c r="F1950" s="257" t="s">
        <v>5486</v>
      </c>
      <c r="G1950" s="257" t="s">
        <v>5487</v>
      </c>
    </row>
    <row r="1951" customHeight="1" spans="4:7">
      <c r="D1951" s="256">
        <v>48019</v>
      </c>
      <c r="E1951" s="257" t="s">
        <v>5430</v>
      </c>
      <c r="F1951" s="257" t="s">
        <v>5488</v>
      </c>
      <c r="G1951" s="257" t="s">
        <v>5489</v>
      </c>
    </row>
    <row r="1952" customHeight="1" spans="4:7">
      <c r="D1952" s="256">
        <v>48019</v>
      </c>
      <c r="E1952" s="257" t="s">
        <v>5430</v>
      </c>
      <c r="F1952" s="257" t="s">
        <v>5490</v>
      </c>
      <c r="G1952" s="257" t="s">
        <v>5491</v>
      </c>
    </row>
    <row r="1953" customHeight="1" spans="4:7">
      <c r="D1953" s="256">
        <v>48019</v>
      </c>
      <c r="E1953" s="257" t="s">
        <v>5430</v>
      </c>
      <c r="F1953" s="257" t="s">
        <v>5492</v>
      </c>
      <c r="G1953" s="257" t="s">
        <v>5493</v>
      </c>
    </row>
    <row r="1954" customHeight="1" spans="4:7">
      <c r="D1954" s="256">
        <v>48019</v>
      </c>
      <c r="E1954" s="257" t="s">
        <v>5430</v>
      </c>
      <c r="F1954" s="257" t="s">
        <v>5494</v>
      </c>
      <c r="G1954" s="257" t="s">
        <v>2539</v>
      </c>
    </row>
    <row r="1955" customHeight="1" spans="4:7">
      <c r="D1955" s="256">
        <v>48019</v>
      </c>
      <c r="E1955" s="257" t="s">
        <v>5430</v>
      </c>
      <c r="F1955" s="257" t="s">
        <v>5495</v>
      </c>
      <c r="G1955" s="257" t="s">
        <v>5496</v>
      </c>
    </row>
    <row r="1956" customHeight="1" spans="4:7">
      <c r="D1956" s="256">
        <v>48019</v>
      </c>
      <c r="E1956" s="257" t="s">
        <v>5430</v>
      </c>
      <c r="F1956" s="257" t="s">
        <v>5497</v>
      </c>
      <c r="G1956" s="257" t="s">
        <v>5498</v>
      </c>
    </row>
    <row r="1957" customHeight="1" spans="4:7">
      <c r="D1957" s="256">
        <v>52013</v>
      </c>
      <c r="E1957" s="257" t="s">
        <v>5499</v>
      </c>
      <c r="F1957" s="257" t="s">
        <v>5500</v>
      </c>
      <c r="G1957" s="257" t="s">
        <v>5501</v>
      </c>
    </row>
    <row r="1958" customHeight="1" spans="4:7">
      <c r="D1958" s="256">
        <v>52013</v>
      </c>
      <c r="E1958" s="257" t="s">
        <v>5499</v>
      </c>
      <c r="F1958" s="257" t="s">
        <v>5502</v>
      </c>
      <c r="G1958" s="257" t="s">
        <v>5503</v>
      </c>
    </row>
    <row r="1959" customHeight="1" spans="4:7">
      <c r="D1959" s="256">
        <v>52013</v>
      </c>
      <c r="E1959" s="257" t="s">
        <v>5499</v>
      </c>
      <c r="F1959" s="257" t="s">
        <v>5504</v>
      </c>
      <c r="G1959" s="257" t="s">
        <v>5505</v>
      </c>
    </row>
    <row r="1960" customHeight="1" spans="4:7">
      <c r="D1960" s="256">
        <v>52013</v>
      </c>
      <c r="E1960" s="257" t="s">
        <v>5499</v>
      </c>
      <c r="F1960" s="257" t="s">
        <v>5506</v>
      </c>
      <c r="G1960" s="257" t="s">
        <v>5507</v>
      </c>
    </row>
    <row r="1961" customHeight="1" spans="4:7">
      <c r="D1961" s="256">
        <v>52013</v>
      </c>
      <c r="E1961" s="257" t="s">
        <v>5499</v>
      </c>
      <c r="F1961" s="257" t="s">
        <v>5508</v>
      </c>
      <c r="G1961" s="257" t="s">
        <v>5509</v>
      </c>
    </row>
    <row r="1962" customHeight="1" spans="4:7">
      <c r="D1962" s="256">
        <v>52013</v>
      </c>
      <c r="E1962" s="257" t="s">
        <v>5499</v>
      </c>
      <c r="F1962" s="257" t="s">
        <v>5510</v>
      </c>
      <c r="G1962" s="257" t="s">
        <v>5511</v>
      </c>
    </row>
    <row r="1963" customHeight="1" spans="4:7">
      <c r="D1963" s="256">
        <v>52013</v>
      </c>
      <c r="E1963" s="257" t="s">
        <v>5499</v>
      </c>
      <c r="F1963" s="257" t="s">
        <v>5512</v>
      </c>
      <c r="G1963" s="257" t="s">
        <v>5513</v>
      </c>
    </row>
    <row r="1964" customHeight="1" spans="4:7">
      <c r="D1964" s="256">
        <v>52013</v>
      </c>
      <c r="E1964" s="257" t="s">
        <v>5499</v>
      </c>
      <c r="F1964" s="257" t="s">
        <v>5514</v>
      </c>
      <c r="G1964" s="257" t="s">
        <v>5515</v>
      </c>
    </row>
    <row r="1965" customHeight="1" spans="4:7">
      <c r="D1965" s="256">
        <v>52013</v>
      </c>
      <c r="E1965" s="257" t="s">
        <v>5499</v>
      </c>
      <c r="F1965" s="257" t="s">
        <v>5516</v>
      </c>
      <c r="G1965" s="257" t="s">
        <v>5517</v>
      </c>
    </row>
    <row r="1966" customHeight="1" spans="4:7">
      <c r="D1966" s="256">
        <v>52013</v>
      </c>
      <c r="E1966" s="257" t="s">
        <v>5499</v>
      </c>
      <c r="F1966" s="257" t="s">
        <v>5518</v>
      </c>
      <c r="G1966" s="257" t="s">
        <v>3230</v>
      </c>
    </row>
    <row r="1967" customHeight="1" spans="4:7">
      <c r="D1967" s="256">
        <v>52013</v>
      </c>
      <c r="E1967" s="257" t="s">
        <v>5499</v>
      </c>
      <c r="F1967" s="257" t="s">
        <v>5519</v>
      </c>
      <c r="G1967" s="257" t="s">
        <v>5520</v>
      </c>
    </row>
    <row r="1968" customHeight="1" spans="4:7">
      <c r="D1968" s="256">
        <v>52013</v>
      </c>
      <c r="E1968" s="257" t="s">
        <v>5499</v>
      </c>
      <c r="F1968" s="257" t="s">
        <v>5521</v>
      </c>
      <c r="G1968" s="257" t="s">
        <v>5522</v>
      </c>
    </row>
    <row r="1969" customHeight="1" spans="4:7">
      <c r="D1969" s="256">
        <v>52013</v>
      </c>
      <c r="E1969" s="257" t="s">
        <v>5499</v>
      </c>
      <c r="F1969" s="257" t="s">
        <v>5523</v>
      </c>
      <c r="G1969" s="257" t="s">
        <v>5524</v>
      </c>
    </row>
    <row r="1970" customHeight="1" spans="4:7">
      <c r="D1970" s="256">
        <v>52013</v>
      </c>
      <c r="E1970" s="257" t="s">
        <v>5499</v>
      </c>
      <c r="F1970" s="257" t="s">
        <v>5525</v>
      </c>
      <c r="G1970" s="257" t="s">
        <v>5526</v>
      </c>
    </row>
    <row r="1971" customHeight="1" spans="4:7">
      <c r="D1971" s="256">
        <v>52013</v>
      </c>
      <c r="E1971" s="257" t="s">
        <v>5499</v>
      </c>
      <c r="F1971" s="257" t="s">
        <v>5527</v>
      </c>
      <c r="G1971" s="257" t="s">
        <v>5528</v>
      </c>
    </row>
    <row r="1972" customHeight="1" spans="4:7">
      <c r="D1972" s="256">
        <v>52013</v>
      </c>
      <c r="E1972" s="257" t="s">
        <v>5499</v>
      </c>
      <c r="F1972" s="257" t="s">
        <v>5529</v>
      </c>
      <c r="G1972" s="257" t="s">
        <v>5530</v>
      </c>
    </row>
    <row r="1973" customHeight="1" spans="4:7">
      <c r="D1973" s="256">
        <v>52013</v>
      </c>
      <c r="E1973" s="257" t="s">
        <v>5499</v>
      </c>
      <c r="F1973" s="257" t="s">
        <v>5531</v>
      </c>
      <c r="G1973" s="257" t="s">
        <v>5532</v>
      </c>
    </row>
    <row r="1974" customHeight="1" spans="4:7">
      <c r="D1974" s="256">
        <v>52013</v>
      </c>
      <c r="E1974" s="257" t="s">
        <v>5499</v>
      </c>
      <c r="F1974" s="257" t="s">
        <v>5533</v>
      </c>
      <c r="G1974" s="257" t="s">
        <v>5534</v>
      </c>
    </row>
    <row r="1975" customHeight="1" spans="4:7">
      <c r="D1975" s="256">
        <v>52013</v>
      </c>
      <c r="E1975" s="257" t="s">
        <v>5499</v>
      </c>
      <c r="F1975" s="257" t="s">
        <v>5535</v>
      </c>
      <c r="G1975" s="257" t="s">
        <v>5536</v>
      </c>
    </row>
    <row r="1976" customHeight="1" spans="4:7">
      <c r="D1976" s="256">
        <v>52013</v>
      </c>
      <c r="E1976" s="257" t="s">
        <v>5499</v>
      </c>
      <c r="F1976" s="257" t="s">
        <v>5537</v>
      </c>
      <c r="G1976" s="257" t="s">
        <v>2161</v>
      </c>
    </row>
    <row r="1977" customHeight="1" spans="4:7">
      <c r="D1977" s="256">
        <v>52013</v>
      </c>
      <c r="E1977" s="257" t="s">
        <v>5499</v>
      </c>
      <c r="F1977" s="257" t="s">
        <v>5538</v>
      </c>
      <c r="G1977" s="257" t="s">
        <v>4944</v>
      </c>
    </row>
    <row r="1978" customHeight="1" spans="4:7">
      <c r="D1978" s="256">
        <v>52013</v>
      </c>
      <c r="E1978" s="257" t="s">
        <v>5499</v>
      </c>
      <c r="F1978" s="257" t="s">
        <v>5539</v>
      </c>
      <c r="G1978" s="257" t="s">
        <v>5540</v>
      </c>
    </row>
    <row r="1979" customHeight="1" spans="4:7">
      <c r="D1979" s="256">
        <v>52013</v>
      </c>
      <c r="E1979" s="257" t="s">
        <v>5499</v>
      </c>
      <c r="F1979" s="257" t="s">
        <v>5541</v>
      </c>
      <c r="G1979" s="257" t="s">
        <v>5542</v>
      </c>
    </row>
    <row r="1980" customHeight="1" spans="4:7">
      <c r="D1980" s="256">
        <v>52013</v>
      </c>
      <c r="E1980" s="257" t="s">
        <v>5499</v>
      </c>
      <c r="F1980" s="257" t="s">
        <v>5543</v>
      </c>
      <c r="G1980" s="257" t="s">
        <v>5544</v>
      </c>
    </row>
    <row r="1981" customHeight="1" spans="4:7">
      <c r="D1981" s="256">
        <v>46015</v>
      </c>
      <c r="E1981" s="257" t="s">
        <v>5545</v>
      </c>
      <c r="F1981" s="257" t="s">
        <v>5546</v>
      </c>
      <c r="G1981" s="257" t="s">
        <v>5547</v>
      </c>
    </row>
    <row r="1982" customHeight="1" spans="4:7">
      <c r="D1982" s="256">
        <v>46015</v>
      </c>
      <c r="E1982" s="257" t="s">
        <v>5545</v>
      </c>
      <c r="F1982" s="257" t="s">
        <v>5548</v>
      </c>
      <c r="G1982" s="257" t="s">
        <v>5549</v>
      </c>
    </row>
    <row r="1983" customHeight="1" spans="4:7">
      <c r="D1983" s="256">
        <v>46015</v>
      </c>
      <c r="E1983" s="257" t="s">
        <v>5545</v>
      </c>
      <c r="F1983" s="257" t="s">
        <v>5550</v>
      </c>
      <c r="G1983" s="257" t="s">
        <v>5551</v>
      </c>
    </row>
    <row r="1984" customHeight="1" spans="4:7">
      <c r="D1984" s="256">
        <v>46015</v>
      </c>
      <c r="E1984" s="257" t="s">
        <v>5545</v>
      </c>
      <c r="F1984" s="257" t="s">
        <v>5552</v>
      </c>
      <c r="G1984" s="257" t="s">
        <v>5553</v>
      </c>
    </row>
    <row r="1985" customHeight="1" spans="4:7">
      <c r="D1985" s="256">
        <v>46015</v>
      </c>
      <c r="E1985" s="257" t="s">
        <v>5545</v>
      </c>
      <c r="F1985" s="257" t="s">
        <v>5554</v>
      </c>
      <c r="G1985" s="257" t="s">
        <v>5555</v>
      </c>
    </row>
    <row r="1986" customHeight="1" spans="4:7">
      <c r="D1986" s="256">
        <v>46015</v>
      </c>
      <c r="E1986" s="257" t="s">
        <v>5545</v>
      </c>
      <c r="F1986" s="257" t="s">
        <v>5556</v>
      </c>
      <c r="G1986" s="257" t="s">
        <v>5557</v>
      </c>
    </row>
    <row r="1987" customHeight="1" spans="4:7">
      <c r="D1987" s="256">
        <v>46015</v>
      </c>
      <c r="E1987" s="257" t="s">
        <v>5545</v>
      </c>
      <c r="F1987" s="257" t="s">
        <v>5558</v>
      </c>
      <c r="G1987" s="257" t="s">
        <v>5559</v>
      </c>
    </row>
    <row r="1988" customHeight="1" spans="4:7">
      <c r="D1988" s="256">
        <v>46015</v>
      </c>
      <c r="E1988" s="257" t="s">
        <v>5545</v>
      </c>
      <c r="F1988" s="257" t="s">
        <v>5560</v>
      </c>
      <c r="G1988" s="257" t="s">
        <v>5561</v>
      </c>
    </row>
    <row r="1989" customHeight="1" spans="4:7">
      <c r="D1989" s="256">
        <v>46015</v>
      </c>
      <c r="E1989" s="257" t="s">
        <v>5545</v>
      </c>
      <c r="F1989" s="257" t="s">
        <v>5562</v>
      </c>
      <c r="G1989" s="257" t="s">
        <v>5563</v>
      </c>
    </row>
    <row r="1990" customHeight="1" spans="4:7">
      <c r="D1990" s="256">
        <v>46015</v>
      </c>
      <c r="E1990" s="257" t="s">
        <v>5545</v>
      </c>
      <c r="F1990" s="257" t="s">
        <v>5564</v>
      </c>
      <c r="G1990" s="257" t="s">
        <v>5565</v>
      </c>
    </row>
    <row r="1991" customHeight="1" spans="4:7">
      <c r="D1991" s="256">
        <v>46015</v>
      </c>
      <c r="E1991" s="257" t="s">
        <v>5545</v>
      </c>
      <c r="F1991" s="257" t="s">
        <v>5566</v>
      </c>
      <c r="G1991" s="257" t="s">
        <v>5567</v>
      </c>
    </row>
    <row r="1992" customHeight="1" spans="4:7">
      <c r="D1992" s="256">
        <v>46015</v>
      </c>
      <c r="E1992" s="257" t="s">
        <v>5545</v>
      </c>
      <c r="F1992" s="257" t="s">
        <v>5568</v>
      </c>
      <c r="G1992" s="257" t="s">
        <v>5569</v>
      </c>
    </row>
    <row r="1993" customHeight="1" spans="4:7">
      <c r="D1993" s="256">
        <v>46015</v>
      </c>
      <c r="E1993" s="257" t="s">
        <v>5545</v>
      </c>
      <c r="F1993" s="257" t="s">
        <v>5570</v>
      </c>
      <c r="G1993" s="257" t="s">
        <v>5571</v>
      </c>
    </row>
    <row r="1994" customHeight="1" spans="4:7">
      <c r="D1994" s="256">
        <v>46015</v>
      </c>
      <c r="E1994" s="257" t="s">
        <v>5545</v>
      </c>
      <c r="F1994" s="257" t="s">
        <v>5572</v>
      </c>
      <c r="G1994" s="257" t="s">
        <v>5573</v>
      </c>
    </row>
    <row r="1995" customHeight="1" spans="4:7">
      <c r="D1995" s="256">
        <v>46015</v>
      </c>
      <c r="E1995" s="257" t="s">
        <v>5545</v>
      </c>
      <c r="F1995" s="257" t="s">
        <v>5574</v>
      </c>
      <c r="G1995" s="257" t="s">
        <v>5575</v>
      </c>
    </row>
    <row r="1996" customHeight="1" spans="4:7">
      <c r="D1996" s="256">
        <v>46015</v>
      </c>
      <c r="E1996" s="257" t="s">
        <v>5545</v>
      </c>
      <c r="F1996" s="257" t="s">
        <v>5576</v>
      </c>
      <c r="G1996" s="257" t="s">
        <v>5577</v>
      </c>
    </row>
    <row r="1997" customHeight="1" spans="4:7">
      <c r="D1997" s="256">
        <v>48020</v>
      </c>
      <c r="E1997" s="257" t="s">
        <v>5578</v>
      </c>
      <c r="F1997" s="257" t="s">
        <v>5579</v>
      </c>
      <c r="G1997" s="257" t="s">
        <v>5580</v>
      </c>
    </row>
    <row r="1998" customHeight="1" spans="4:7">
      <c r="D1998" s="256">
        <v>48020</v>
      </c>
      <c r="E1998" s="257" t="s">
        <v>5578</v>
      </c>
      <c r="F1998" s="257" t="s">
        <v>5581</v>
      </c>
      <c r="G1998" s="257" t="s">
        <v>5582</v>
      </c>
    </row>
    <row r="1999" customHeight="1" spans="4:7">
      <c r="D1999" s="256">
        <v>48020</v>
      </c>
      <c r="E1999" s="257" t="s">
        <v>5578</v>
      </c>
      <c r="F1999" s="257" t="s">
        <v>5583</v>
      </c>
      <c r="G1999" s="257" t="s">
        <v>4930</v>
      </c>
    </row>
    <row r="2000" customHeight="1" spans="4:7">
      <c r="D2000" s="256">
        <v>48020</v>
      </c>
      <c r="E2000" s="257" t="s">
        <v>5578</v>
      </c>
      <c r="F2000" s="257" t="s">
        <v>5584</v>
      </c>
      <c r="G2000" s="257" t="s">
        <v>5585</v>
      </c>
    </row>
    <row r="2001" customHeight="1" spans="4:7">
      <c r="D2001" s="256">
        <v>48020</v>
      </c>
      <c r="E2001" s="257" t="s">
        <v>5578</v>
      </c>
      <c r="F2001" s="257" t="s">
        <v>5586</v>
      </c>
      <c r="G2001" s="257" t="s">
        <v>3175</v>
      </c>
    </row>
    <row r="2002" customHeight="1" spans="4:7">
      <c r="D2002" s="256">
        <v>48020</v>
      </c>
      <c r="E2002" s="257" t="s">
        <v>5578</v>
      </c>
      <c r="F2002" s="257" t="s">
        <v>5587</v>
      </c>
      <c r="G2002" s="257" t="s">
        <v>5588</v>
      </c>
    </row>
    <row r="2003" customHeight="1" spans="4:7">
      <c r="D2003" s="256">
        <v>48020</v>
      </c>
      <c r="E2003" s="257" t="s">
        <v>5578</v>
      </c>
      <c r="F2003" s="257" t="s">
        <v>5589</v>
      </c>
      <c r="G2003" s="257" t="s">
        <v>4254</v>
      </c>
    </row>
    <row r="2004" customHeight="1" spans="4:7">
      <c r="D2004" s="256">
        <v>48020</v>
      </c>
      <c r="E2004" s="257" t="s">
        <v>5578</v>
      </c>
      <c r="F2004" s="257" t="s">
        <v>5590</v>
      </c>
      <c r="G2004" s="257" t="s">
        <v>5591</v>
      </c>
    </row>
    <row r="2005" customHeight="1" spans="4:7">
      <c r="D2005" s="256">
        <v>48020</v>
      </c>
      <c r="E2005" s="257" t="s">
        <v>5578</v>
      </c>
      <c r="F2005" s="257" t="s">
        <v>5592</v>
      </c>
      <c r="G2005" s="257" t="s">
        <v>4698</v>
      </c>
    </row>
    <row r="2006" customHeight="1" spans="4:7">
      <c r="D2006" s="256">
        <v>48020</v>
      </c>
      <c r="E2006" s="257" t="s">
        <v>5578</v>
      </c>
      <c r="F2006" s="257" t="s">
        <v>5593</v>
      </c>
      <c r="G2006" s="257" t="s">
        <v>5594</v>
      </c>
    </row>
    <row r="2007" customHeight="1" spans="4:7">
      <c r="D2007" s="256">
        <v>48020</v>
      </c>
      <c r="E2007" s="257" t="s">
        <v>5578</v>
      </c>
      <c r="F2007" s="257" t="s">
        <v>5595</v>
      </c>
      <c r="G2007" s="257" t="s">
        <v>5596</v>
      </c>
    </row>
    <row r="2008" customHeight="1" spans="4:7">
      <c r="D2008" s="256">
        <v>48020</v>
      </c>
      <c r="E2008" s="257" t="s">
        <v>5578</v>
      </c>
      <c r="F2008" s="257" t="s">
        <v>5597</v>
      </c>
      <c r="G2008" s="257" t="s">
        <v>5598</v>
      </c>
    </row>
    <row r="2009" customHeight="1" spans="4:7">
      <c r="D2009" s="256">
        <v>53010</v>
      </c>
      <c r="E2009" s="257" t="s">
        <v>5599</v>
      </c>
      <c r="F2009" s="257" t="s">
        <v>5600</v>
      </c>
      <c r="G2009" s="257" t="s">
        <v>5601</v>
      </c>
    </row>
    <row r="2010" customHeight="1" spans="4:7">
      <c r="D2010" s="256">
        <v>53010</v>
      </c>
      <c r="E2010" s="257" t="s">
        <v>5599</v>
      </c>
      <c r="F2010" s="257" t="s">
        <v>5602</v>
      </c>
      <c r="G2010" s="257" t="s">
        <v>5603</v>
      </c>
    </row>
    <row r="2011" customHeight="1" spans="4:7">
      <c r="D2011" s="256">
        <v>53010</v>
      </c>
      <c r="E2011" s="257" t="s">
        <v>5599</v>
      </c>
      <c r="F2011" s="257" t="s">
        <v>5604</v>
      </c>
      <c r="G2011" s="257" t="s">
        <v>5605</v>
      </c>
    </row>
    <row r="2012" customHeight="1" spans="4:7">
      <c r="D2012" s="256">
        <v>53010</v>
      </c>
      <c r="E2012" s="257" t="s">
        <v>5599</v>
      </c>
      <c r="F2012" s="257" t="s">
        <v>5606</v>
      </c>
      <c r="G2012" s="257" t="s">
        <v>5607</v>
      </c>
    </row>
    <row r="2013" customHeight="1" spans="4:7">
      <c r="D2013" s="256">
        <v>53010</v>
      </c>
      <c r="E2013" s="257" t="s">
        <v>5599</v>
      </c>
      <c r="F2013" s="257" t="s">
        <v>5608</v>
      </c>
      <c r="G2013" s="257" t="s">
        <v>5609</v>
      </c>
    </row>
    <row r="2014" customHeight="1" spans="4:7">
      <c r="D2014" s="256">
        <v>53010</v>
      </c>
      <c r="E2014" s="257" t="s">
        <v>5599</v>
      </c>
      <c r="F2014" s="257" t="s">
        <v>5610</v>
      </c>
      <c r="G2014" s="257" t="s">
        <v>5611</v>
      </c>
    </row>
    <row r="2015" customHeight="1" spans="4:7">
      <c r="D2015" s="256">
        <v>53010</v>
      </c>
      <c r="E2015" s="257" t="s">
        <v>5599</v>
      </c>
      <c r="F2015" s="257" t="s">
        <v>5612</v>
      </c>
      <c r="G2015" s="257" t="s">
        <v>5613</v>
      </c>
    </row>
    <row r="2016" customHeight="1" spans="4:7">
      <c r="D2016" s="256">
        <v>53010</v>
      </c>
      <c r="E2016" s="257" t="s">
        <v>5599</v>
      </c>
      <c r="F2016" s="257" t="s">
        <v>5614</v>
      </c>
      <c r="G2016" s="257" t="s">
        <v>5615</v>
      </c>
    </row>
    <row r="2017" customHeight="1" spans="4:7">
      <c r="D2017" s="256">
        <v>53010</v>
      </c>
      <c r="E2017" s="257" t="s">
        <v>5599</v>
      </c>
      <c r="F2017" s="257" t="s">
        <v>5616</v>
      </c>
      <c r="G2017" s="257" t="s">
        <v>5617</v>
      </c>
    </row>
    <row r="2018" customHeight="1" spans="4:7">
      <c r="D2018" s="256">
        <v>53010</v>
      </c>
      <c r="E2018" s="257" t="s">
        <v>5599</v>
      </c>
      <c r="F2018" s="257" t="s">
        <v>5618</v>
      </c>
      <c r="G2018" s="257" t="s">
        <v>5619</v>
      </c>
    </row>
    <row r="2019" customHeight="1" spans="4:7">
      <c r="D2019" s="256">
        <v>53010</v>
      </c>
      <c r="E2019" s="257" t="s">
        <v>5599</v>
      </c>
      <c r="F2019" s="257" t="s">
        <v>5620</v>
      </c>
      <c r="G2019" s="257" t="s">
        <v>5621</v>
      </c>
    </row>
    <row r="2020" customHeight="1" spans="4:7">
      <c r="D2020" s="256">
        <v>53010</v>
      </c>
      <c r="E2020" s="257" t="s">
        <v>5599</v>
      </c>
      <c r="F2020" s="257" t="s">
        <v>5622</v>
      </c>
      <c r="G2020" s="257" t="s">
        <v>5623</v>
      </c>
    </row>
    <row r="2021" customHeight="1" spans="4:7">
      <c r="D2021" s="256">
        <v>53010</v>
      </c>
      <c r="E2021" s="257" t="s">
        <v>5599</v>
      </c>
      <c r="F2021" s="257" t="s">
        <v>5624</v>
      </c>
      <c r="G2021" s="257" t="s">
        <v>5625</v>
      </c>
    </row>
    <row r="2022" customHeight="1" spans="4:7">
      <c r="D2022" s="256">
        <v>53010</v>
      </c>
      <c r="E2022" s="257" t="s">
        <v>5599</v>
      </c>
      <c r="F2022" s="257" t="s">
        <v>5626</v>
      </c>
      <c r="G2022" s="257" t="s">
        <v>5627</v>
      </c>
    </row>
    <row r="2023" customHeight="1" spans="4:7">
      <c r="D2023" s="256">
        <v>53010</v>
      </c>
      <c r="E2023" s="257" t="s">
        <v>5599</v>
      </c>
      <c r="F2023" s="257" t="s">
        <v>5628</v>
      </c>
      <c r="G2023" s="257" t="s">
        <v>5629</v>
      </c>
    </row>
    <row r="2024" customHeight="1" spans="4:7">
      <c r="D2024" s="256">
        <v>53010</v>
      </c>
      <c r="E2024" s="257" t="s">
        <v>5599</v>
      </c>
      <c r="F2024" s="257" t="s">
        <v>5630</v>
      </c>
      <c r="G2024" s="257" t="s">
        <v>4753</v>
      </c>
    </row>
    <row r="2025" customHeight="1" spans="4:7">
      <c r="D2025" s="256">
        <v>53010</v>
      </c>
      <c r="E2025" s="257" t="s">
        <v>5599</v>
      </c>
      <c r="F2025" s="257" t="s">
        <v>5631</v>
      </c>
      <c r="G2025" s="257" t="s">
        <v>5632</v>
      </c>
    </row>
    <row r="2026" customHeight="1" spans="4:7">
      <c r="D2026" s="256">
        <v>53010</v>
      </c>
      <c r="E2026" s="257" t="s">
        <v>5599</v>
      </c>
      <c r="F2026" s="257" t="s">
        <v>5633</v>
      </c>
      <c r="G2026" s="257" t="s">
        <v>5634</v>
      </c>
    </row>
    <row r="2027" customHeight="1" spans="4:7">
      <c r="D2027" s="256">
        <v>46016</v>
      </c>
      <c r="E2027" s="257" t="s">
        <v>5635</v>
      </c>
      <c r="F2027" s="257" t="s">
        <v>5636</v>
      </c>
      <c r="G2027" s="257" t="s">
        <v>5637</v>
      </c>
    </row>
    <row r="2028" customHeight="1" spans="4:7">
      <c r="D2028" s="256">
        <v>46016</v>
      </c>
      <c r="E2028" s="257" t="s">
        <v>5635</v>
      </c>
      <c r="F2028" s="257" t="s">
        <v>5638</v>
      </c>
      <c r="G2028" s="257" t="s">
        <v>5639</v>
      </c>
    </row>
    <row r="2029" customHeight="1" spans="4:7">
      <c r="D2029" s="256">
        <v>46016</v>
      </c>
      <c r="E2029" s="257" t="s">
        <v>5635</v>
      </c>
      <c r="F2029" s="257" t="s">
        <v>5640</v>
      </c>
      <c r="G2029" s="257" t="s">
        <v>1354</v>
      </c>
    </row>
    <row r="2030" customHeight="1" spans="4:7">
      <c r="D2030" s="256">
        <v>46016</v>
      </c>
      <c r="E2030" s="257" t="s">
        <v>5635</v>
      </c>
      <c r="F2030" s="257" t="s">
        <v>5641</v>
      </c>
      <c r="G2030" s="257" t="s">
        <v>5642</v>
      </c>
    </row>
    <row r="2031" customHeight="1" spans="4:7">
      <c r="D2031" s="256">
        <v>46016</v>
      </c>
      <c r="E2031" s="257" t="s">
        <v>5635</v>
      </c>
      <c r="F2031" s="257" t="s">
        <v>5643</v>
      </c>
      <c r="G2031" s="257" t="s">
        <v>5252</v>
      </c>
    </row>
    <row r="2032" customHeight="1" spans="4:7">
      <c r="D2032" s="256">
        <v>46016</v>
      </c>
      <c r="E2032" s="257" t="s">
        <v>5635</v>
      </c>
      <c r="F2032" s="257" t="s">
        <v>5644</v>
      </c>
      <c r="G2032" s="257" t="s">
        <v>5645</v>
      </c>
    </row>
    <row r="2033" customHeight="1" spans="4:7">
      <c r="D2033" s="256">
        <v>46016</v>
      </c>
      <c r="E2033" s="257" t="s">
        <v>5635</v>
      </c>
      <c r="F2033" s="257" t="s">
        <v>5646</v>
      </c>
      <c r="G2033" s="257" t="s">
        <v>5647</v>
      </c>
    </row>
    <row r="2034" customHeight="1" spans="4:7">
      <c r="D2034" s="256">
        <v>48021</v>
      </c>
      <c r="E2034" s="257" t="s">
        <v>5648</v>
      </c>
      <c r="F2034" s="257" t="s">
        <v>5649</v>
      </c>
      <c r="G2034" s="257" t="s">
        <v>5650</v>
      </c>
    </row>
    <row r="2035" customHeight="1" spans="4:7">
      <c r="D2035" s="256">
        <v>48021</v>
      </c>
      <c r="E2035" s="257" t="s">
        <v>5648</v>
      </c>
      <c r="F2035" s="257" t="s">
        <v>5651</v>
      </c>
      <c r="G2035" s="257" t="s">
        <v>5652</v>
      </c>
    </row>
    <row r="2036" customHeight="1" spans="4:7">
      <c r="D2036" s="256">
        <v>48021</v>
      </c>
      <c r="E2036" s="257" t="s">
        <v>5648</v>
      </c>
      <c r="F2036" s="257" t="s">
        <v>5653</v>
      </c>
      <c r="G2036" s="257" t="s">
        <v>5654</v>
      </c>
    </row>
    <row r="2037" customHeight="1" spans="4:7">
      <c r="D2037" s="256">
        <v>48021</v>
      </c>
      <c r="E2037" s="257" t="s">
        <v>5648</v>
      </c>
      <c r="F2037" s="257" t="s">
        <v>5655</v>
      </c>
      <c r="G2037" s="257" t="s">
        <v>5656</v>
      </c>
    </row>
    <row r="2038" customHeight="1" spans="4:7">
      <c r="D2038" s="256">
        <v>48021</v>
      </c>
      <c r="E2038" s="257" t="s">
        <v>5648</v>
      </c>
      <c r="F2038" s="257" t="s">
        <v>5657</v>
      </c>
      <c r="G2038" s="257" t="s">
        <v>5658</v>
      </c>
    </row>
    <row r="2039" customHeight="1" spans="4:7">
      <c r="D2039" s="256">
        <v>48021</v>
      </c>
      <c r="E2039" s="257" t="s">
        <v>5648</v>
      </c>
      <c r="F2039" s="257" t="s">
        <v>5659</v>
      </c>
      <c r="G2039" s="257" t="s">
        <v>5660</v>
      </c>
    </row>
    <row r="2040" customHeight="1" spans="4:7">
      <c r="D2040" s="256">
        <v>48021</v>
      </c>
      <c r="E2040" s="257" t="s">
        <v>5648</v>
      </c>
      <c r="F2040" s="257" t="s">
        <v>5661</v>
      </c>
      <c r="G2040" s="257" t="s">
        <v>5662</v>
      </c>
    </row>
    <row r="2041" customHeight="1" spans="4:7">
      <c r="D2041" s="256">
        <v>48021</v>
      </c>
      <c r="E2041" s="257" t="s">
        <v>5648</v>
      </c>
      <c r="F2041" s="257" t="s">
        <v>5663</v>
      </c>
      <c r="G2041" s="257" t="s">
        <v>5664</v>
      </c>
    </row>
    <row r="2042" customHeight="1" spans="4:7">
      <c r="D2042" s="256">
        <v>48021</v>
      </c>
      <c r="E2042" s="257" t="s">
        <v>5648</v>
      </c>
      <c r="F2042" s="257" t="s">
        <v>5665</v>
      </c>
      <c r="G2042" s="257" t="s">
        <v>5666</v>
      </c>
    </row>
    <row r="2043" customHeight="1" spans="4:7">
      <c r="D2043" s="256">
        <v>48021</v>
      </c>
      <c r="E2043" s="257" t="s">
        <v>5648</v>
      </c>
      <c r="F2043" s="257" t="s">
        <v>5667</v>
      </c>
      <c r="G2043" s="257" t="s">
        <v>5668</v>
      </c>
    </row>
    <row r="2044" customHeight="1" spans="4:7">
      <c r="D2044" s="256">
        <v>48021</v>
      </c>
      <c r="E2044" s="257" t="s">
        <v>5648</v>
      </c>
      <c r="F2044" s="257" t="s">
        <v>5669</v>
      </c>
      <c r="G2044" s="257" t="s">
        <v>5670</v>
      </c>
    </row>
    <row r="2045" customHeight="1" spans="4:7">
      <c r="D2045" s="256">
        <v>48021</v>
      </c>
      <c r="E2045" s="257" t="s">
        <v>5648</v>
      </c>
      <c r="F2045" s="257" t="s">
        <v>5671</v>
      </c>
      <c r="G2045" s="257" t="s">
        <v>5672</v>
      </c>
    </row>
    <row r="2046" customHeight="1" spans="4:7">
      <c r="D2046" s="256">
        <v>48021</v>
      </c>
      <c r="E2046" s="257" t="s">
        <v>5648</v>
      </c>
      <c r="F2046" s="257" t="s">
        <v>5673</v>
      </c>
      <c r="G2046" s="257" t="s">
        <v>5674</v>
      </c>
    </row>
    <row r="2047" customHeight="1" spans="4:7">
      <c r="D2047" s="256">
        <v>48021</v>
      </c>
      <c r="E2047" s="257" t="s">
        <v>5648</v>
      </c>
      <c r="F2047" s="257" t="s">
        <v>5675</v>
      </c>
      <c r="G2047" s="257" t="s">
        <v>5676</v>
      </c>
    </row>
    <row r="2048" customHeight="1" spans="4:7">
      <c r="D2048" s="256">
        <v>48021</v>
      </c>
      <c r="E2048" s="257" t="s">
        <v>5648</v>
      </c>
      <c r="F2048" s="257" t="s">
        <v>5677</v>
      </c>
      <c r="G2048" s="257" t="s">
        <v>5678</v>
      </c>
    </row>
    <row r="2049" customHeight="1" spans="4:7">
      <c r="D2049" s="256">
        <v>48021</v>
      </c>
      <c r="E2049" s="257" t="s">
        <v>5648</v>
      </c>
      <c r="F2049" s="257" t="s">
        <v>5679</v>
      </c>
      <c r="G2049" s="257" t="s">
        <v>5680</v>
      </c>
    </row>
    <row r="2050" customHeight="1" spans="4:7">
      <c r="D2050" s="256">
        <v>48021</v>
      </c>
      <c r="E2050" s="257" t="s">
        <v>5648</v>
      </c>
      <c r="F2050" s="257" t="s">
        <v>5681</v>
      </c>
      <c r="G2050" s="257" t="s">
        <v>5682</v>
      </c>
    </row>
    <row r="2051" customHeight="1" spans="4:7">
      <c r="D2051" s="256">
        <v>48021</v>
      </c>
      <c r="E2051" s="257" t="s">
        <v>5648</v>
      </c>
      <c r="F2051" s="257" t="s">
        <v>5683</v>
      </c>
      <c r="G2051" s="257" t="s">
        <v>3444</v>
      </c>
    </row>
    <row r="2052" customHeight="1" spans="4:7">
      <c r="D2052" s="256">
        <v>48021</v>
      </c>
      <c r="E2052" s="257" t="s">
        <v>5648</v>
      </c>
      <c r="F2052" s="257" t="s">
        <v>5684</v>
      </c>
      <c r="G2052" s="257" t="s">
        <v>5685</v>
      </c>
    </row>
    <row r="2053" customHeight="1" spans="4:7">
      <c r="D2053" s="256">
        <v>48021</v>
      </c>
      <c r="E2053" s="257" t="s">
        <v>5648</v>
      </c>
      <c r="F2053" s="257" t="s">
        <v>5686</v>
      </c>
      <c r="G2053" s="257" t="s">
        <v>5687</v>
      </c>
    </row>
    <row r="2054" customHeight="1" spans="4:7">
      <c r="D2054" s="256">
        <v>48021</v>
      </c>
      <c r="E2054" s="257" t="s">
        <v>5648</v>
      </c>
      <c r="F2054" s="257" t="s">
        <v>5688</v>
      </c>
      <c r="G2054" s="257" t="s">
        <v>3034</v>
      </c>
    </row>
    <row r="2055" customHeight="1" spans="4:7">
      <c r="D2055" s="256">
        <v>48021</v>
      </c>
      <c r="E2055" s="257" t="s">
        <v>5648</v>
      </c>
      <c r="F2055" s="257" t="s">
        <v>5689</v>
      </c>
      <c r="G2055" s="257" t="s">
        <v>5690</v>
      </c>
    </row>
    <row r="2056" customHeight="1" spans="4:7">
      <c r="D2056" s="256">
        <v>48021</v>
      </c>
      <c r="E2056" s="257" t="s">
        <v>5648</v>
      </c>
      <c r="F2056" s="257" t="s">
        <v>5691</v>
      </c>
      <c r="G2056" s="257" t="s">
        <v>5692</v>
      </c>
    </row>
    <row r="2057" customHeight="1" spans="4:7">
      <c r="D2057" s="256">
        <v>48021</v>
      </c>
      <c r="E2057" s="257" t="s">
        <v>5648</v>
      </c>
      <c r="F2057" s="257" t="s">
        <v>5693</v>
      </c>
      <c r="G2057" s="257" t="s">
        <v>5694</v>
      </c>
    </row>
    <row r="2058" customHeight="1" spans="4:7">
      <c r="D2058" s="256">
        <v>48021</v>
      </c>
      <c r="E2058" s="257" t="s">
        <v>5648</v>
      </c>
      <c r="F2058" s="257" t="s">
        <v>5695</v>
      </c>
      <c r="G2058" s="257" t="s">
        <v>4078</v>
      </c>
    </row>
    <row r="2059" customHeight="1" spans="4:7">
      <c r="D2059" s="256">
        <v>48021</v>
      </c>
      <c r="E2059" s="257" t="s">
        <v>5648</v>
      </c>
      <c r="F2059" s="257" t="s">
        <v>5696</v>
      </c>
      <c r="G2059" s="257" t="s">
        <v>5697</v>
      </c>
    </row>
    <row r="2060" customHeight="1" spans="4:7">
      <c r="D2060" s="256">
        <v>48021</v>
      </c>
      <c r="E2060" s="257" t="s">
        <v>5648</v>
      </c>
      <c r="F2060" s="257" t="s">
        <v>5698</v>
      </c>
      <c r="G2060" s="257" t="s">
        <v>5699</v>
      </c>
    </row>
    <row r="2061" customHeight="1" spans="4:7">
      <c r="D2061" s="256">
        <v>48021</v>
      </c>
      <c r="E2061" s="257" t="s">
        <v>5648</v>
      </c>
      <c r="F2061" s="257" t="s">
        <v>5700</v>
      </c>
      <c r="G2061" s="257" t="s">
        <v>5701</v>
      </c>
    </row>
    <row r="2062" customHeight="1" spans="4:7">
      <c r="D2062" s="256">
        <v>48021</v>
      </c>
      <c r="E2062" s="257" t="s">
        <v>5648</v>
      </c>
      <c r="F2062" s="257" t="s">
        <v>5702</v>
      </c>
      <c r="G2062" s="257" t="s">
        <v>5703</v>
      </c>
    </row>
    <row r="2063" customHeight="1" spans="4:7">
      <c r="D2063" s="256">
        <v>48021</v>
      </c>
      <c r="E2063" s="257" t="s">
        <v>5648</v>
      </c>
      <c r="F2063" s="257" t="s">
        <v>5704</v>
      </c>
      <c r="G2063" s="257" t="s">
        <v>5705</v>
      </c>
    </row>
    <row r="2064" customHeight="1" spans="4:7">
      <c r="D2064" s="256">
        <v>48021</v>
      </c>
      <c r="E2064" s="257" t="s">
        <v>5648</v>
      </c>
      <c r="F2064" s="257" t="s">
        <v>5706</v>
      </c>
      <c r="G2064" s="257" t="s">
        <v>5707</v>
      </c>
    </row>
    <row r="2065" customHeight="1" spans="4:7">
      <c r="D2065" s="256">
        <v>48021</v>
      </c>
      <c r="E2065" s="257" t="s">
        <v>5648</v>
      </c>
      <c r="F2065" s="257" t="s">
        <v>5708</v>
      </c>
      <c r="G2065" s="257" t="s">
        <v>5709</v>
      </c>
    </row>
    <row r="2066" customHeight="1" spans="4:7">
      <c r="D2066" s="256">
        <v>48021</v>
      </c>
      <c r="E2066" s="257" t="s">
        <v>5648</v>
      </c>
      <c r="F2066" s="257" t="s">
        <v>5710</v>
      </c>
      <c r="G2066" s="257" t="s">
        <v>5711</v>
      </c>
    </row>
    <row r="2067" customHeight="1" spans="4:7">
      <c r="D2067" s="256">
        <v>48021</v>
      </c>
      <c r="E2067" s="257" t="s">
        <v>5648</v>
      </c>
      <c r="F2067" s="257" t="s">
        <v>5712</v>
      </c>
      <c r="G2067" s="257" t="s">
        <v>5713</v>
      </c>
    </row>
    <row r="2068" customHeight="1" spans="4:7">
      <c r="D2068" s="256">
        <v>48021</v>
      </c>
      <c r="E2068" s="257" t="s">
        <v>5648</v>
      </c>
      <c r="F2068" s="257" t="s">
        <v>5714</v>
      </c>
      <c r="G2068" s="257" t="s">
        <v>5715</v>
      </c>
    </row>
    <row r="2069" customHeight="1" spans="4:7">
      <c r="D2069" s="256">
        <v>48021</v>
      </c>
      <c r="E2069" s="257" t="s">
        <v>5648</v>
      </c>
      <c r="F2069" s="257" t="s">
        <v>5716</v>
      </c>
      <c r="G2069" s="257" t="s">
        <v>5717</v>
      </c>
    </row>
    <row r="2070" customHeight="1" spans="4:7">
      <c r="D2070" s="256">
        <v>48021</v>
      </c>
      <c r="E2070" s="257" t="s">
        <v>5648</v>
      </c>
      <c r="F2070" s="257" t="s">
        <v>5718</v>
      </c>
      <c r="G2070" s="257" t="s">
        <v>5719</v>
      </c>
    </row>
    <row r="2071" customHeight="1" spans="4:7">
      <c r="D2071" s="256">
        <v>48021</v>
      </c>
      <c r="E2071" s="257" t="s">
        <v>5648</v>
      </c>
      <c r="F2071" s="257" t="s">
        <v>5720</v>
      </c>
      <c r="G2071" s="257" t="s">
        <v>5721</v>
      </c>
    </row>
    <row r="2072" customHeight="1" spans="4:7">
      <c r="D2072" s="256">
        <v>48021</v>
      </c>
      <c r="E2072" s="257" t="s">
        <v>5648</v>
      </c>
      <c r="F2072" s="257" t="s">
        <v>5722</v>
      </c>
      <c r="G2072" s="257" t="s">
        <v>5723</v>
      </c>
    </row>
    <row r="2073" customHeight="1" spans="4:7">
      <c r="D2073" s="256">
        <v>53011</v>
      </c>
      <c r="E2073" s="257" t="s">
        <v>5724</v>
      </c>
      <c r="F2073" s="257" t="s">
        <v>5725</v>
      </c>
      <c r="G2073" s="257" t="s">
        <v>5726</v>
      </c>
    </row>
    <row r="2074" customHeight="1" spans="4:7">
      <c r="D2074" s="256">
        <v>53011</v>
      </c>
      <c r="E2074" s="257" t="s">
        <v>5724</v>
      </c>
      <c r="F2074" s="257" t="s">
        <v>5727</v>
      </c>
      <c r="G2074" s="257" t="s">
        <v>5728</v>
      </c>
    </row>
    <row r="2075" customHeight="1" spans="4:7">
      <c r="D2075" s="256">
        <v>53011</v>
      </c>
      <c r="E2075" s="257" t="s">
        <v>5724</v>
      </c>
      <c r="F2075" s="257" t="s">
        <v>5729</v>
      </c>
      <c r="G2075" s="257" t="s">
        <v>5730</v>
      </c>
    </row>
    <row r="2076" customHeight="1" spans="4:7">
      <c r="D2076" s="256">
        <v>53011</v>
      </c>
      <c r="E2076" s="257" t="s">
        <v>5724</v>
      </c>
      <c r="F2076" s="257" t="s">
        <v>5731</v>
      </c>
      <c r="G2076" s="257" t="s">
        <v>5732</v>
      </c>
    </row>
    <row r="2077" customHeight="1" spans="4:7">
      <c r="D2077" s="256">
        <v>53011</v>
      </c>
      <c r="E2077" s="257" t="s">
        <v>5724</v>
      </c>
      <c r="F2077" s="257" t="s">
        <v>5733</v>
      </c>
      <c r="G2077" s="257" t="s">
        <v>5734</v>
      </c>
    </row>
    <row r="2078" customHeight="1" spans="4:7">
      <c r="D2078" s="256">
        <v>53011</v>
      </c>
      <c r="E2078" s="257" t="s">
        <v>5724</v>
      </c>
      <c r="F2078" s="257" t="s">
        <v>5735</v>
      </c>
      <c r="G2078" s="257" t="s">
        <v>5736</v>
      </c>
    </row>
    <row r="2079" customHeight="1" spans="4:7">
      <c r="D2079" s="256">
        <v>53011</v>
      </c>
      <c r="E2079" s="257" t="s">
        <v>5724</v>
      </c>
      <c r="F2079" s="257" t="s">
        <v>5737</v>
      </c>
      <c r="G2079" s="257" t="s">
        <v>5738</v>
      </c>
    </row>
    <row r="2080" customHeight="1" spans="4:7">
      <c r="D2080" s="256">
        <v>53011</v>
      </c>
      <c r="E2080" s="257" t="s">
        <v>5724</v>
      </c>
      <c r="F2080" s="257" t="s">
        <v>5739</v>
      </c>
      <c r="G2080" s="257" t="s">
        <v>5740</v>
      </c>
    </row>
    <row r="2081" customHeight="1" spans="4:7">
      <c r="D2081" s="256">
        <v>53011</v>
      </c>
      <c r="E2081" s="257" t="s">
        <v>5724</v>
      </c>
      <c r="F2081" s="257" t="s">
        <v>5741</v>
      </c>
      <c r="G2081" s="257" t="s">
        <v>5742</v>
      </c>
    </row>
    <row r="2082" customHeight="1" spans="4:7">
      <c r="D2082" s="256">
        <v>53011</v>
      </c>
      <c r="E2082" s="257" t="s">
        <v>5724</v>
      </c>
      <c r="F2082" s="257" t="s">
        <v>5743</v>
      </c>
      <c r="G2082" s="257" t="s">
        <v>5744</v>
      </c>
    </row>
    <row r="2083" customHeight="1" spans="4:7">
      <c r="D2083" s="256">
        <v>53011</v>
      </c>
      <c r="E2083" s="257" t="s">
        <v>5724</v>
      </c>
      <c r="F2083" s="257" t="s">
        <v>5745</v>
      </c>
      <c r="G2083" s="257" t="s">
        <v>5746</v>
      </c>
    </row>
    <row r="2084" customHeight="1" spans="4:7">
      <c r="D2084" s="256">
        <v>53011</v>
      </c>
      <c r="E2084" s="257" t="s">
        <v>5724</v>
      </c>
      <c r="F2084" s="257" t="s">
        <v>5747</v>
      </c>
      <c r="G2084" s="257" t="s">
        <v>5748</v>
      </c>
    </row>
    <row r="2085" customHeight="1" spans="4:7">
      <c r="D2085" s="256">
        <v>53011</v>
      </c>
      <c r="E2085" s="257" t="s">
        <v>5724</v>
      </c>
      <c r="F2085" s="257" t="s">
        <v>5749</v>
      </c>
      <c r="G2085" s="257" t="s">
        <v>5750</v>
      </c>
    </row>
    <row r="2086" customHeight="1" spans="4:7">
      <c r="D2086" s="256">
        <v>53011</v>
      </c>
      <c r="E2086" s="257" t="s">
        <v>5724</v>
      </c>
      <c r="F2086" s="257" t="s">
        <v>5751</v>
      </c>
      <c r="G2086" s="257" t="s">
        <v>5752</v>
      </c>
    </row>
    <row r="2087" customHeight="1" spans="4:7">
      <c r="D2087" s="256">
        <v>53011</v>
      </c>
      <c r="E2087" s="257" t="s">
        <v>5724</v>
      </c>
      <c r="F2087" s="257" t="s">
        <v>5753</v>
      </c>
      <c r="G2087" s="257" t="s">
        <v>5754</v>
      </c>
    </row>
    <row r="2088" customHeight="1" spans="4:7">
      <c r="D2088" s="256">
        <v>53011</v>
      </c>
      <c r="E2088" s="257" t="s">
        <v>5724</v>
      </c>
      <c r="F2088" s="257" t="s">
        <v>5755</v>
      </c>
      <c r="G2088" s="257" t="s">
        <v>5756</v>
      </c>
    </row>
    <row r="2089" customHeight="1" spans="4:7">
      <c r="D2089" s="256">
        <v>53011</v>
      </c>
      <c r="E2089" s="257" t="s">
        <v>5724</v>
      </c>
      <c r="F2089" s="257" t="s">
        <v>5757</v>
      </c>
      <c r="G2089" s="257" t="s">
        <v>5758</v>
      </c>
    </row>
    <row r="2090" customHeight="1" spans="4:7">
      <c r="D2090" s="256">
        <v>53011</v>
      </c>
      <c r="E2090" s="257" t="s">
        <v>5724</v>
      </c>
      <c r="F2090" s="257" t="s">
        <v>5759</v>
      </c>
      <c r="G2090" s="257" t="s">
        <v>5760</v>
      </c>
    </row>
    <row r="2091" customHeight="1" spans="4:7">
      <c r="D2091" s="256">
        <v>53011</v>
      </c>
      <c r="E2091" s="257" t="s">
        <v>5724</v>
      </c>
      <c r="F2091" s="257" t="s">
        <v>5761</v>
      </c>
      <c r="G2091" s="257" t="s">
        <v>5762</v>
      </c>
    </row>
    <row r="2092" customHeight="1" spans="4:7">
      <c r="D2092" s="256">
        <v>53011</v>
      </c>
      <c r="E2092" s="257" t="s">
        <v>5724</v>
      </c>
      <c r="F2092" s="257" t="s">
        <v>5763</v>
      </c>
      <c r="G2092" s="257" t="s">
        <v>5764</v>
      </c>
    </row>
    <row r="2093" customHeight="1" spans="4:7">
      <c r="D2093" s="256">
        <v>53011</v>
      </c>
      <c r="E2093" s="257" t="s">
        <v>5724</v>
      </c>
      <c r="F2093" s="257" t="s">
        <v>5765</v>
      </c>
      <c r="G2093" s="257" t="s">
        <v>5766</v>
      </c>
    </row>
    <row r="2094" customHeight="1" spans="4:7">
      <c r="D2094" s="256">
        <v>53011</v>
      </c>
      <c r="E2094" s="257" t="s">
        <v>5724</v>
      </c>
      <c r="F2094" s="257" t="s">
        <v>5767</v>
      </c>
      <c r="G2094" s="257" t="s">
        <v>5768</v>
      </c>
    </row>
    <row r="2095" customHeight="1" spans="4:7">
      <c r="D2095" s="256">
        <v>53011</v>
      </c>
      <c r="E2095" s="257" t="s">
        <v>5724</v>
      </c>
      <c r="F2095" s="257" t="s">
        <v>5769</v>
      </c>
      <c r="G2095" s="257" t="s">
        <v>5770</v>
      </c>
    </row>
    <row r="2096" customHeight="1" spans="4:7">
      <c r="D2096" s="256">
        <v>53011</v>
      </c>
      <c r="E2096" s="257" t="s">
        <v>5724</v>
      </c>
      <c r="F2096" s="257" t="s">
        <v>5771</v>
      </c>
      <c r="G2096" s="257" t="s">
        <v>5772</v>
      </c>
    </row>
    <row r="2097" customHeight="1" spans="4:7">
      <c r="D2097" s="256">
        <v>53011</v>
      </c>
      <c r="E2097" s="257" t="s">
        <v>5724</v>
      </c>
      <c r="F2097" s="257" t="s">
        <v>5773</v>
      </c>
      <c r="G2097" s="257" t="s">
        <v>5774</v>
      </c>
    </row>
    <row r="2098" customHeight="1" spans="4:7">
      <c r="D2098" s="256">
        <v>53011</v>
      </c>
      <c r="E2098" s="257" t="s">
        <v>5724</v>
      </c>
      <c r="F2098" s="257" t="s">
        <v>5775</v>
      </c>
      <c r="G2098" s="257" t="s">
        <v>2161</v>
      </c>
    </row>
    <row r="2099" customHeight="1" spans="4:7">
      <c r="D2099" s="256">
        <v>53011</v>
      </c>
      <c r="E2099" s="257" t="s">
        <v>5724</v>
      </c>
      <c r="F2099" s="257" t="s">
        <v>5776</v>
      </c>
      <c r="G2099" s="257" t="s">
        <v>5777</v>
      </c>
    </row>
    <row r="2100" customHeight="1" spans="4:7">
      <c r="D2100" s="256">
        <v>50015</v>
      </c>
      <c r="E2100" s="257" t="s">
        <v>5778</v>
      </c>
      <c r="F2100" s="257" t="s">
        <v>5779</v>
      </c>
      <c r="G2100" s="257" t="s">
        <v>5780</v>
      </c>
    </row>
    <row r="2101" customHeight="1" spans="4:7">
      <c r="D2101" s="256">
        <v>50015</v>
      </c>
      <c r="E2101" s="257" t="s">
        <v>5778</v>
      </c>
      <c r="F2101" s="257" t="s">
        <v>5781</v>
      </c>
      <c r="G2101" s="257" t="s">
        <v>5782</v>
      </c>
    </row>
    <row r="2102" customHeight="1" spans="4:7">
      <c r="D2102" s="256">
        <v>50015</v>
      </c>
      <c r="E2102" s="257" t="s">
        <v>5778</v>
      </c>
      <c r="F2102" s="257" t="s">
        <v>5783</v>
      </c>
      <c r="G2102" s="257" t="s">
        <v>5784</v>
      </c>
    </row>
    <row r="2103" customHeight="1" spans="4:7">
      <c r="D2103" s="256">
        <v>50015</v>
      </c>
      <c r="E2103" s="257" t="s">
        <v>5778</v>
      </c>
      <c r="F2103" s="257" t="s">
        <v>5785</v>
      </c>
      <c r="G2103" s="257" t="s">
        <v>5786</v>
      </c>
    </row>
    <row r="2104" customHeight="1" spans="4:7">
      <c r="D2104" s="256">
        <v>48022</v>
      </c>
      <c r="E2104" s="257" t="s">
        <v>5787</v>
      </c>
      <c r="F2104" s="257" t="s">
        <v>5788</v>
      </c>
      <c r="G2104" s="257" t="s">
        <v>5789</v>
      </c>
    </row>
    <row r="2105" customHeight="1" spans="4:7">
      <c r="D2105" s="256">
        <v>48022</v>
      </c>
      <c r="E2105" s="257" t="s">
        <v>5787</v>
      </c>
      <c r="F2105" s="257" t="s">
        <v>5790</v>
      </c>
      <c r="G2105" s="257" t="s">
        <v>5791</v>
      </c>
    </row>
    <row r="2106" customHeight="1" spans="4:7">
      <c r="D2106" s="256">
        <v>48022</v>
      </c>
      <c r="E2106" s="257" t="s">
        <v>5787</v>
      </c>
      <c r="F2106" s="257" t="s">
        <v>5792</v>
      </c>
      <c r="G2106" s="257" t="s">
        <v>5793</v>
      </c>
    </row>
    <row r="2107" customHeight="1" spans="4:7">
      <c r="D2107" s="256">
        <v>48022</v>
      </c>
      <c r="E2107" s="257" t="s">
        <v>5787</v>
      </c>
      <c r="F2107" s="257" t="s">
        <v>5794</v>
      </c>
      <c r="G2107" s="257" t="s">
        <v>5795</v>
      </c>
    </row>
    <row r="2108" customHeight="1" spans="4:7">
      <c r="D2108" s="256">
        <v>48022</v>
      </c>
      <c r="E2108" s="257" t="s">
        <v>5787</v>
      </c>
      <c r="F2108" s="257" t="s">
        <v>5796</v>
      </c>
      <c r="G2108" s="257" t="s">
        <v>5797</v>
      </c>
    </row>
    <row r="2109" customHeight="1" spans="4:7">
      <c r="D2109" s="256">
        <v>48022</v>
      </c>
      <c r="E2109" s="257" t="s">
        <v>5787</v>
      </c>
      <c r="F2109" s="257" t="s">
        <v>5798</v>
      </c>
      <c r="G2109" s="257" t="s">
        <v>5799</v>
      </c>
    </row>
    <row r="2110" customHeight="1" spans="4:7">
      <c r="D2110" s="256">
        <v>48022</v>
      </c>
      <c r="E2110" s="257" t="s">
        <v>5787</v>
      </c>
      <c r="F2110" s="257" t="s">
        <v>5800</v>
      </c>
      <c r="G2110" s="257" t="s">
        <v>5801</v>
      </c>
    </row>
    <row r="2111" customHeight="1" spans="4:7">
      <c r="D2111" s="256">
        <v>48022</v>
      </c>
      <c r="E2111" s="257" t="s">
        <v>5787</v>
      </c>
      <c r="F2111" s="257" t="s">
        <v>5802</v>
      </c>
      <c r="G2111" s="257" t="s">
        <v>5803</v>
      </c>
    </row>
    <row r="2112" customHeight="1" spans="4:7">
      <c r="D2112" s="256">
        <v>48022</v>
      </c>
      <c r="E2112" s="257" t="s">
        <v>5787</v>
      </c>
      <c r="F2112" s="257" t="s">
        <v>5804</v>
      </c>
      <c r="G2112" s="257" t="s">
        <v>5805</v>
      </c>
    </row>
    <row r="2113" customHeight="1" spans="4:7">
      <c r="D2113" s="256">
        <v>48022</v>
      </c>
      <c r="E2113" s="257" t="s">
        <v>5787</v>
      </c>
      <c r="F2113" s="257" t="s">
        <v>5806</v>
      </c>
      <c r="G2113" s="257" t="s">
        <v>5807</v>
      </c>
    </row>
    <row r="2114" customHeight="1" spans="4:7">
      <c r="D2114" s="256">
        <v>48022</v>
      </c>
      <c r="E2114" s="257" t="s">
        <v>5787</v>
      </c>
      <c r="F2114" s="257" t="s">
        <v>5808</v>
      </c>
      <c r="G2114" s="257" t="s">
        <v>5809</v>
      </c>
    </row>
    <row r="2115" customHeight="1" spans="4:7">
      <c r="D2115" s="256">
        <v>48022</v>
      </c>
      <c r="E2115" s="257" t="s">
        <v>5787</v>
      </c>
      <c r="F2115" s="257" t="s">
        <v>5810</v>
      </c>
      <c r="G2115" s="257" t="s">
        <v>5680</v>
      </c>
    </row>
    <row r="2116" customHeight="1" spans="4:7">
      <c r="D2116" s="256">
        <v>48022</v>
      </c>
      <c r="E2116" s="257" t="s">
        <v>5787</v>
      </c>
      <c r="F2116" s="257" t="s">
        <v>5811</v>
      </c>
      <c r="G2116" s="257" t="s">
        <v>3181</v>
      </c>
    </row>
    <row r="2117" customHeight="1" spans="4:7">
      <c r="D2117" s="256">
        <v>48022</v>
      </c>
      <c r="E2117" s="257" t="s">
        <v>5787</v>
      </c>
      <c r="F2117" s="257" t="s">
        <v>5812</v>
      </c>
      <c r="G2117" s="257" t="s">
        <v>5813</v>
      </c>
    </row>
    <row r="2118" customHeight="1" spans="4:7">
      <c r="D2118" s="256">
        <v>48022</v>
      </c>
      <c r="E2118" s="257" t="s">
        <v>5787</v>
      </c>
      <c r="F2118" s="257" t="s">
        <v>5814</v>
      </c>
      <c r="G2118" s="257" t="s">
        <v>5815</v>
      </c>
    </row>
    <row r="2119" customHeight="1" spans="4:7">
      <c r="D2119" s="256">
        <v>48022</v>
      </c>
      <c r="E2119" s="257" t="s">
        <v>5787</v>
      </c>
      <c r="F2119" s="257" t="s">
        <v>5816</v>
      </c>
      <c r="G2119" s="257" t="s">
        <v>5817</v>
      </c>
    </row>
    <row r="2120" customHeight="1" spans="4:7">
      <c r="D2120" s="256">
        <v>48022</v>
      </c>
      <c r="E2120" s="257" t="s">
        <v>5787</v>
      </c>
      <c r="F2120" s="257" t="s">
        <v>5818</v>
      </c>
      <c r="G2120" s="257" t="s">
        <v>5819</v>
      </c>
    </row>
    <row r="2121" customHeight="1" spans="4:7">
      <c r="D2121" s="256">
        <v>48022</v>
      </c>
      <c r="E2121" s="257" t="s">
        <v>5787</v>
      </c>
      <c r="F2121" s="257" t="s">
        <v>5820</v>
      </c>
      <c r="G2121" s="257" t="s">
        <v>5821</v>
      </c>
    </row>
    <row r="2122" customHeight="1" spans="4:7">
      <c r="D2122" s="256">
        <v>48022</v>
      </c>
      <c r="E2122" s="257" t="s">
        <v>5787</v>
      </c>
      <c r="F2122" s="257" t="s">
        <v>5822</v>
      </c>
      <c r="G2122" s="257" t="s">
        <v>5823</v>
      </c>
    </row>
    <row r="2123" customHeight="1" spans="4:7">
      <c r="D2123" s="256">
        <v>48022</v>
      </c>
      <c r="E2123" s="257" t="s">
        <v>5787</v>
      </c>
      <c r="F2123" s="257" t="s">
        <v>5824</v>
      </c>
      <c r="G2123" s="257" t="s">
        <v>5825</v>
      </c>
    </row>
    <row r="2124" customHeight="1" spans="4:7">
      <c r="D2124" s="256">
        <v>48022</v>
      </c>
      <c r="E2124" s="257" t="s">
        <v>5787</v>
      </c>
      <c r="F2124" s="257" t="s">
        <v>5826</v>
      </c>
      <c r="G2124" s="257" t="s">
        <v>5827</v>
      </c>
    </row>
    <row r="2125" customHeight="1" spans="4:7">
      <c r="D2125" s="256">
        <v>48022</v>
      </c>
      <c r="E2125" s="257" t="s">
        <v>5787</v>
      </c>
      <c r="F2125" s="257" t="s">
        <v>5828</v>
      </c>
      <c r="G2125" s="257" t="s">
        <v>5829</v>
      </c>
    </row>
    <row r="2126" customHeight="1" spans="4:7">
      <c r="D2126" s="256">
        <v>48022</v>
      </c>
      <c r="E2126" s="257" t="s">
        <v>5787</v>
      </c>
      <c r="F2126" s="257" t="s">
        <v>5830</v>
      </c>
      <c r="G2126" s="257" t="s">
        <v>5831</v>
      </c>
    </row>
    <row r="2127" customHeight="1" spans="4:7">
      <c r="D2127" s="256">
        <v>48022</v>
      </c>
      <c r="E2127" s="257" t="s">
        <v>5787</v>
      </c>
      <c r="F2127" s="257" t="s">
        <v>5832</v>
      </c>
      <c r="G2127" s="257" t="s">
        <v>5833</v>
      </c>
    </row>
    <row r="2128" customHeight="1" spans="4:7">
      <c r="D2128" s="256">
        <v>48022</v>
      </c>
      <c r="E2128" s="257" t="s">
        <v>5787</v>
      </c>
      <c r="F2128" s="257" t="s">
        <v>5834</v>
      </c>
      <c r="G2128" s="257" t="s">
        <v>5835</v>
      </c>
    </row>
    <row r="2129" customHeight="1" spans="4:7">
      <c r="D2129" s="256">
        <v>48022</v>
      </c>
      <c r="E2129" s="257" t="s">
        <v>5787</v>
      </c>
      <c r="F2129" s="257" t="s">
        <v>5836</v>
      </c>
      <c r="G2129" s="257" t="s">
        <v>5837</v>
      </c>
    </row>
    <row r="2130" customHeight="1" spans="4:7">
      <c r="D2130" s="256">
        <v>48022</v>
      </c>
      <c r="E2130" s="257" t="s">
        <v>5787</v>
      </c>
      <c r="F2130" s="257" t="s">
        <v>5838</v>
      </c>
      <c r="G2130" s="257" t="s">
        <v>5839</v>
      </c>
    </row>
    <row r="2131" customHeight="1" spans="4:7">
      <c r="D2131" s="256">
        <v>48022</v>
      </c>
      <c r="E2131" s="257" t="s">
        <v>5787</v>
      </c>
      <c r="F2131" s="257" t="s">
        <v>5840</v>
      </c>
      <c r="G2131" s="257" t="s">
        <v>5841</v>
      </c>
    </row>
    <row r="2132" customHeight="1" spans="4:7">
      <c r="D2132" s="256">
        <v>48023</v>
      </c>
      <c r="E2132" s="257" t="s">
        <v>5842</v>
      </c>
      <c r="F2132" s="257" t="s">
        <v>5843</v>
      </c>
      <c r="G2132" s="257" t="s">
        <v>5844</v>
      </c>
    </row>
    <row r="2133" customHeight="1" spans="4:7">
      <c r="D2133" s="256">
        <v>48023</v>
      </c>
      <c r="E2133" s="257" t="s">
        <v>5842</v>
      </c>
      <c r="F2133" s="257" t="s">
        <v>5845</v>
      </c>
      <c r="G2133" s="257" t="s">
        <v>5846</v>
      </c>
    </row>
    <row r="2134" customHeight="1" spans="4:7">
      <c r="D2134" s="256">
        <v>48023</v>
      </c>
      <c r="E2134" s="257" t="s">
        <v>5842</v>
      </c>
      <c r="F2134" s="257" t="s">
        <v>5847</v>
      </c>
      <c r="G2134" s="257" t="s">
        <v>5848</v>
      </c>
    </row>
    <row r="2135" customHeight="1" spans="4:7">
      <c r="D2135" s="256">
        <v>48023</v>
      </c>
      <c r="E2135" s="257" t="s">
        <v>5842</v>
      </c>
      <c r="F2135" s="257" t="s">
        <v>5849</v>
      </c>
      <c r="G2135" s="257" t="s">
        <v>5850</v>
      </c>
    </row>
    <row r="2136" customHeight="1" spans="4:7">
      <c r="D2136" s="256">
        <v>48023</v>
      </c>
      <c r="E2136" s="257" t="s">
        <v>5842</v>
      </c>
      <c r="F2136" s="257" t="s">
        <v>5851</v>
      </c>
      <c r="G2136" s="257" t="s">
        <v>5852</v>
      </c>
    </row>
    <row r="2137" customHeight="1" spans="4:7">
      <c r="D2137" s="256">
        <v>48023</v>
      </c>
      <c r="E2137" s="257" t="s">
        <v>5842</v>
      </c>
      <c r="F2137" s="257" t="s">
        <v>5853</v>
      </c>
      <c r="G2137" s="257" t="s">
        <v>5142</v>
      </c>
    </row>
    <row r="2138" customHeight="1" spans="4:7">
      <c r="D2138" s="256">
        <v>48023</v>
      </c>
      <c r="E2138" s="257" t="s">
        <v>5842</v>
      </c>
      <c r="F2138" s="257" t="s">
        <v>5854</v>
      </c>
      <c r="G2138" s="257" t="s">
        <v>5855</v>
      </c>
    </row>
    <row r="2139" customHeight="1" spans="4:7">
      <c r="D2139" s="256">
        <v>48023</v>
      </c>
      <c r="E2139" s="257" t="s">
        <v>5842</v>
      </c>
      <c r="F2139" s="257" t="s">
        <v>5856</v>
      </c>
      <c r="G2139" s="257" t="s">
        <v>5703</v>
      </c>
    </row>
    <row r="2140" customHeight="1" spans="4:7">
      <c r="D2140" s="256">
        <v>48023</v>
      </c>
      <c r="E2140" s="257" t="s">
        <v>5842</v>
      </c>
      <c r="F2140" s="257" t="s">
        <v>5857</v>
      </c>
      <c r="G2140" s="257" t="s">
        <v>5707</v>
      </c>
    </row>
    <row r="2141" customHeight="1" spans="4:7">
      <c r="D2141" s="256">
        <v>48023</v>
      </c>
      <c r="E2141" s="257" t="s">
        <v>5842</v>
      </c>
      <c r="F2141" s="257" t="s">
        <v>5858</v>
      </c>
      <c r="G2141" s="257" t="s">
        <v>5859</v>
      </c>
    </row>
    <row r="2142" customHeight="1" spans="4:7">
      <c r="D2142" s="256">
        <v>48023</v>
      </c>
      <c r="E2142" s="257" t="s">
        <v>5842</v>
      </c>
      <c r="F2142" s="257" t="s">
        <v>5860</v>
      </c>
      <c r="G2142" s="257" t="s">
        <v>5861</v>
      </c>
    </row>
    <row r="2143" customHeight="1" spans="4:7">
      <c r="D2143" s="256">
        <v>53012</v>
      </c>
      <c r="E2143" s="257" t="s">
        <v>5862</v>
      </c>
      <c r="F2143" s="257" t="s">
        <v>5863</v>
      </c>
      <c r="G2143" s="257" t="s">
        <v>5864</v>
      </c>
    </row>
    <row r="2144" customHeight="1" spans="4:7">
      <c r="D2144" s="256">
        <v>53012</v>
      </c>
      <c r="E2144" s="257" t="s">
        <v>5862</v>
      </c>
      <c r="F2144" s="257" t="s">
        <v>5865</v>
      </c>
      <c r="G2144" s="257" t="s">
        <v>5866</v>
      </c>
    </row>
    <row r="2145" customHeight="1" spans="4:7">
      <c r="D2145" s="256">
        <v>53012</v>
      </c>
      <c r="E2145" s="257" t="s">
        <v>5862</v>
      </c>
      <c r="F2145" s="257" t="s">
        <v>5867</v>
      </c>
      <c r="G2145" s="257" t="s">
        <v>5868</v>
      </c>
    </row>
    <row r="2146" customHeight="1" spans="4:7">
      <c r="D2146" s="256">
        <v>53012</v>
      </c>
      <c r="E2146" s="257" t="s">
        <v>5862</v>
      </c>
      <c r="F2146" s="257" t="s">
        <v>5869</v>
      </c>
      <c r="G2146" s="257" t="s">
        <v>5870</v>
      </c>
    </row>
    <row r="2147" customHeight="1" spans="4:7">
      <c r="D2147" s="256">
        <v>53012</v>
      </c>
      <c r="E2147" s="257" t="s">
        <v>5862</v>
      </c>
      <c r="F2147" s="257" t="s">
        <v>5871</v>
      </c>
      <c r="G2147" s="257" t="s">
        <v>5872</v>
      </c>
    </row>
    <row r="2148" customHeight="1" spans="4:7">
      <c r="D2148" s="256">
        <v>53012</v>
      </c>
      <c r="E2148" s="257" t="s">
        <v>5862</v>
      </c>
      <c r="F2148" s="257" t="s">
        <v>5873</v>
      </c>
      <c r="G2148" s="257" t="s">
        <v>5874</v>
      </c>
    </row>
    <row r="2149" customHeight="1" spans="4:7">
      <c r="D2149" s="256">
        <v>53012</v>
      </c>
      <c r="E2149" s="257" t="s">
        <v>5862</v>
      </c>
      <c r="F2149" s="257" t="s">
        <v>5875</v>
      </c>
      <c r="G2149" s="257" t="s">
        <v>5876</v>
      </c>
    </row>
    <row r="2150" customHeight="1" spans="4:7">
      <c r="D2150" s="256">
        <v>50016</v>
      </c>
      <c r="E2150" s="257" t="s">
        <v>5877</v>
      </c>
      <c r="F2150" s="257" t="s">
        <v>5878</v>
      </c>
      <c r="G2150" s="257" t="s">
        <v>5879</v>
      </c>
    </row>
    <row r="2151" customHeight="1" spans="4:7">
      <c r="D2151" s="256">
        <v>50016</v>
      </c>
      <c r="E2151" s="257" t="s">
        <v>5877</v>
      </c>
      <c r="F2151" s="257" t="s">
        <v>5880</v>
      </c>
      <c r="G2151" s="257" t="s">
        <v>5881</v>
      </c>
    </row>
    <row r="2152" customHeight="1" spans="4:7">
      <c r="D2152" s="256">
        <v>50016</v>
      </c>
      <c r="E2152" s="257" t="s">
        <v>5877</v>
      </c>
      <c r="F2152" s="257" t="s">
        <v>5882</v>
      </c>
      <c r="G2152" s="257" t="s">
        <v>5883</v>
      </c>
    </row>
    <row r="2153" customHeight="1" spans="4:7">
      <c r="D2153" s="256">
        <v>50016</v>
      </c>
      <c r="E2153" s="257" t="s">
        <v>5877</v>
      </c>
      <c r="F2153" s="257" t="s">
        <v>5884</v>
      </c>
      <c r="G2153" s="257" t="s">
        <v>5885</v>
      </c>
    </row>
    <row r="2154" customHeight="1" spans="4:7">
      <c r="D2154" s="256">
        <v>50016</v>
      </c>
      <c r="E2154" s="257" t="s">
        <v>5877</v>
      </c>
      <c r="F2154" s="257" t="s">
        <v>5886</v>
      </c>
      <c r="G2154" s="257" t="s">
        <v>5887</v>
      </c>
    </row>
    <row r="2155" customHeight="1" spans="4:7">
      <c r="D2155" s="256">
        <v>47005</v>
      </c>
      <c r="E2155" s="257" t="s">
        <v>5888</v>
      </c>
      <c r="F2155" s="257" t="s">
        <v>5889</v>
      </c>
      <c r="G2155" s="257" t="s">
        <v>5890</v>
      </c>
    </row>
    <row r="2156" customHeight="1" spans="4:7">
      <c r="D2156" s="256">
        <v>47005</v>
      </c>
      <c r="E2156" s="257" t="s">
        <v>5888</v>
      </c>
      <c r="F2156" s="257" t="s">
        <v>5891</v>
      </c>
      <c r="G2156" s="257" t="s">
        <v>5892</v>
      </c>
    </row>
    <row r="2157" customHeight="1" spans="4:7">
      <c r="D2157" s="256">
        <v>47005</v>
      </c>
      <c r="E2157" s="257" t="s">
        <v>5888</v>
      </c>
      <c r="F2157" s="257" t="s">
        <v>5893</v>
      </c>
      <c r="G2157" s="257" t="s">
        <v>5894</v>
      </c>
    </row>
    <row r="2158" customHeight="1" spans="4:7">
      <c r="D2158" s="256">
        <v>47005</v>
      </c>
      <c r="E2158" s="257" t="s">
        <v>5888</v>
      </c>
      <c r="F2158" s="257" t="s">
        <v>5895</v>
      </c>
      <c r="G2158" s="257" t="s">
        <v>5896</v>
      </c>
    </row>
    <row r="2159" customHeight="1" spans="4:7">
      <c r="D2159" s="256">
        <v>47005</v>
      </c>
      <c r="E2159" s="257" t="s">
        <v>5888</v>
      </c>
      <c r="F2159" s="257" t="s">
        <v>5897</v>
      </c>
      <c r="G2159" s="257" t="s">
        <v>5898</v>
      </c>
    </row>
    <row r="2160" customHeight="1" spans="4:7">
      <c r="D2160" s="256">
        <v>47005</v>
      </c>
      <c r="E2160" s="257" t="s">
        <v>5888</v>
      </c>
      <c r="F2160" s="257" t="s">
        <v>5899</v>
      </c>
      <c r="G2160" s="257" t="s">
        <v>5900</v>
      </c>
    </row>
    <row r="2161" customHeight="1" spans="4:7">
      <c r="D2161" s="256">
        <v>47005</v>
      </c>
      <c r="E2161" s="257" t="s">
        <v>5888</v>
      </c>
      <c r="F2161" s="257" t="s">
        <v>5901</v>
      </c>
      <c r="G2161" s="257" t="s">
        <v>2888</v>
      </c>
    </row>
    <row r="2162" customHeight="1" spans="4:7">
      <c r="D2162" s="256">
        <v>47005</v>
      </c>
      <c r="E2162" s="257" t="s">
        <v>5888</v>
      </c>
      <c r="F2162" s="257" t="s">
        <v>5902</v>
      </c>
      <c r="G2162" s="257" t="s">
        <v>5903</v>
      </c>
    </row>
    <row r="2163" customHeight="1" spans="4:7">
      <c r="D2163" s="256">
        <v>47005</v>
      </c>
      <c r="E2163" s="257" t="s">
        <v>5888</v>
      </c>
      <c r="F2163" s="257" t="s">
        <v>5904</v>
      </c>
      <c r="G2163" s="257" t="s">
        <v>5905</v>
      </c>
    </row>
    <row r="2164" customHeight="1" spans="4:7">
      <c r="D2164" s="256">
        <v>47005</v>
      </c>
      <c r="E2164" s="257" t="s">
        <v>5888</v>
      </c>
      <c r="F2164" s="257" t="s">
        <v>5906</v>
      </c>
      <c r="G2164" s="257" t="s">
        <v>5907</v>
      </c>
    </row>
    <row r="2165" customHeight="1" spans="4:7">
      <c r="D2165" s="256">
        <v>47005</v>
      </c>
      <c r="E2165" s="257" t="s">
        <v>5888</v>
      </c>
      <c r="F2165" s="257" t="s">
        <v>5908</v>
      </c>
      <c r="G2165" s="257" t="s">
        <v>5909</v>
      </c>
    </row>
    <row r="2166" customHeight="1" spans="4:7">
      <c r="D2166" s="256">
        <v>47005</v>
      </c>
      <c r="E2166" s="257" t="s">
        <v>5888</v>
      </c>
      <c r="F2166" s="257" t="s">
        <v>5910</v>
      </c>
      <c r="G2166" s="257" t="s">
        <v>5911</v>
      </c>
    </row>
    <row r="2167" customHeight="1" spans="4:7">
      <c r="D2167" s="256">
        <v>47005</v>
      </c>
      <c r="E2167" s="257" t="s">
        <v>5888</v>
      </c>
      <c r="F2167" s="257" t="s">
        <v>5912</v>
      </c>
      <c r="G2167" s="257" t="s">
        <v>5913</v>
      </c>
    </row>
    <row r="2168" customHeight="1" spans="4:7">
      <c r="D2168" s="256">
        <v>47005</v>
      </c>
      <c r="E2168" s="257" t="s">
        <v>5888</v>
      </c>
      <c r="F2168" s="257" t="s">
        <v>5914</v>
      </c>
      <c r="G2168" s="257" t="s">
        <v>5915</v>
      </c>
    </row>
    <row r="2169" customHeight="1" spans="4:7">
      <c r="D2169" s="256">
        <v>47005</v>
      </c>
      <c r="E2169" s="257" t="s">
        <v>5888</v>
      </c>
      <c r="F2169" s="257" t="s">
        <v>5916</v>
      </c>
      <c r="G2169" s="257" t="s">
        <v>3238</v>
      </c>
    </row>
    <row r="2170" customHeight="1" spans="4:7">
      <c r="D2170" s="256">
        <v>47005</v>
      </c>
      <c r="E2170" s="257" t="s">
        <v>5888</v>
      </c>
      <c r="F2170" s="257" t="s">
        <v>5917</v>
      </c>
      <c r="G2170" s="257" t="s">
        <v>5918</v>
      </c>
    </row>
    <row r="2171" customHeight="1" spans="4:7">
      <c r="D2171" s="256">
        <v>47005</v>
      </c>
      <c r="E2171" s="257" t="s">
        <v>5888</v>
      </c>
      <c r="F2171" s="257" t="s">
        <v>5919</v>
      </c>
      <c r="G2171" s="257" t="s">
        <v>5920</v>
      </c>
    </row>
    <row r="2172" customHeight="1" spans="4:7">
      <c r="D2172" s="256">
        <v>47005</v>
      </c>
      <c r="E2172" s="257" t="s">
        <v>5888</v>
      </c>
      <c r="F2172" s="257" t="s">
        <v>5921</v>
      </c>
      <c r="G2172" s="257" t="s">
        <v>5922</v>
      </c>
    </row>
    <row r="2173" customHeight="1" spans="4:7">
      <c r="D2173" s="256">
        <v>47005</v>
      </c>
      <c r="E2173" s="257" t="s">
        <v>5888</v>
      </c>
      <c r="F2173" s="257" t="s">
        <v>5923</v>
      </c>
      <c r="G2173" s="257" t="s">
        <v>5924</v>
      </c>
    </row>
    <row r="2174" customHeight="1" spans="4:7">
      <c r="D2174" s="256">
        <v>47005</v>
      </c>
      <c r="E2174" s="257" t="s">
        <v>5888</v>
      </c>
      <c r="F2174" s="257" t="s">
        <v>5925</v>
      </c>
      <c r="G2174" s="257" t="s">
        <v>5926</v>
      </c>
    </row>
    <row r="2175" customHeight="1" spans="4:7">
      <c r="D2175" s="256">
        <v>47006</v>
      </c>
      <c r="E2175" s="257" t="s">
        <v>5927</v>
      </c>
      <c r="F2175" s="257" t="s">
        <v>5928</v>
      </c>
      <c r="G2175" s="257" t="s">
        <v>5929</v>
      </c>
    </row>
    <row r="2176" customHeight="1" spans="4:7">
      <c r="D2176" s="256">
        <v>47006</v>
      </c>
      <c r="E2176" s="257" t="s">
        <v>5927</v>
      </c>
      <c r="F2176" s="257" t="s">
        <v>5930</v>
      </c>
      <c r="G2176" s="257" t="s">
        <v>5931</v>
      </c>
    </row>
    <row r="2177" customHeight="1" spans="4:7">
      <c r="D2177" s="256">
        <v>47006</v>
      </c>
      <c r="E2177" s="257" t="s">
        <v>5927</v>
      </c>
      <c r="F2177" s="257" t="s">
        <v>5932</v>
      </c>
      <c r="G2177" s="257" t="s">
        <v>5933</v>
      </c>
    </row>
    <row r="2178" customHeight="1" spans="4:7">
      <c r="D2178" s="256">
        <v>47006</v>
      </c>
      <c r="E2178" s="257" t="s">
        <v>5927</v>
      </c>
      <c r="F2178" s="257" t="s">
        <v>5934</v>
      </c>
      <c r="G2178" s="257" t="s">
        <v>5935</v>
      </c>
    </row>
    <row r="2179" customHeight="1" spans="4:7">
      <c r="D2179" s="256">
        <v>47006</v>
      </c>
      <c r="E2179" s="257" t="s">
        <v>5927</v>
      </c>
      <c r="F2179" s="257" t="s">
        <v>5936</v>
      </c>
      <c r="G2179" s="257" t="s">
        <v>5937</v>
      </c>
    </row>
    <row r="2180" customHeight="1" spans="4:7">
      <c r="D2180" s="256">
        <v>47006</v>
      </c>
      <c r="E2180" s="257" t="s">
        <v>5927</v>
      </c>
      <c r="F2180" s="257" t="s">
        <v>5938</v>
      </c>
      <c r="G2180" s="257" t="s">
        <v>5939</v>
      </c>
    </row>
    <row r="2181" customHeight="1" spans="4:7">
      <c r="D2181" s="256">
        <v>47006</v>
      </c>
      <c r="E2181" s="257" t="s">
        <v>5927</v>
      </c>
      <c r="F2181" s="257" t="s">
        <v>5940</v>
      </c>
      <c r="G2181" s="257" t="s">
        <v>4106</v>
      </c>
    </row>
    <row r="2182" customHeight="1" spans="4:7">
      <c r="D2182" s="256">
        <v>47006</v>
      </c>
      <c r="E2182" s="257" t="s">
        <v>5927</v>
      </c>
      <c r="F2182" s="257" t="s">
        <v>5941</v>
      </c>
      <c r="G2182" s="257" t="s">
        <v>5942</v>
      </c>
    </row>
    <row r="2183" customHeight="1" spans="4:7">
      <c r="D2183" s="256">
        <v>47006</v>
      </c>
      <c r="E2183" s="257" t="s">
        <v>5927</v>
      </c>
      <c r="F2183" s="257" t="s">
        <v>5943</v>
      </c>
      <c r="G2183" s="257" t="s">
        <v>5944</v>
      </c>
    </row>
    <row r="2184" customHeight="1" spans="4:7">
      <c r="D2184" s="256">
        <v>47006</v>
      </c>
      <c r="E2184" s="257" t="s">
        <v>5927</v>
      </c>
      <c r="F2184" s="257" t="s">
        <v>5945</v>
      </c>
      <c r="G2184" s="257" t="s">
        <v>5946</v>
      </c>
    </row>
    <row r="2185" customHeight="1" spans="4:7">
      <c r="D2185" s="256">
        <v>47006</v>
      </c>
      <c r="E2185" s="257" t="s">
        <v>5927</v>
      </c>
      <c r="F2185" s="257" t="s">
        <v>5947</v>
      </c>
      <c r="G2185" s="257" t="s">
        <v>5948</v>
      </c>
    </row>
    <row r="2186" customHeight="1" spans="4:7">
      <c r="D2186" s="256">
        <v>47006</v>
      </c>
      <c r="E2186" s="257" t="s">
        <v>5927</v>
      </c>
      <c r="F2186" s="257" t="s">
        <v>5949</v>
      </c>
      <c r="G2186" s="257" t="s">
        <v>2575</v>
      </c>
    </row>
    <row r="2187" customHeight="1" spans="4:7">
      <c r="D2187" s="256">
        <v>47006</v>
      </c>
      <c r="E2187" s="257" t="s">
        <v>5927</v>
      </c>
      <c r="F2187" s="257" t="s">
        <v>5950</v>
      </c>
      <c r="G2187" s="257" t="s">
        <v>5951</v>
      </c>
    </row>
    <row r="2188" customHeight="1" spans="4:7">
      <c r="D2188" s="256">
        <v>47006</v>
      </c>
      <c r="E2188" s="257" t="s">
        <v>5927</v>
      </c>
      <c r="F2188" s="257" t="s">
        <v>5952</v>
      </c>
      <c r="G2188" s="257" t="s">
        <v>5953</v>
      </c>
    </row>
    <row r="2189" customHeight="1" spans="4:7">
      <c r="D2189" s="256">
        <v>47006</v>
      </c>
      <c r="E2189" s="257" t="s">
        <v>5927</v>
      </c>
      <c r="F2189" s="257" t="s">
        <v>5954</v>
      </c>
      <c r="G2189" s="257" t="s">
        <v>5955</v>
      </c>
    </row>
    <row r="2190" customHeight="1" spans="4:7">
      <c r="D2190" s="256">
        <v>47006</v>
      </c>
      <c r="E2190" s="257" t="s">
        <v>5927</v>
      </c>
      <c r="F2190" s="257" t="s">
        <v>5956</v>
      </c>
      <c r="G2190" s="257" t="s">
        <v>5957</v>
      </c>
    </row>
    <row r="2191" customHeight="1" spans="4:7">
      <c r="D2191" s="256">
        <v>50017</v>
      </c>
      <c r="E2191" s="257" t="s">
        <v>5958</v>
      </c>
      <c r="F2191" s="257" t="s">
        <v>5959</v>
      </c>
      <c r="G2191" s="257" t="s">
        <v>5960</v>
      </c>
    </row>
    <row r="2192" customHeight="1" spans="4:7">
      <c r="D2192" s="256">
        <v>50017</v>
      </c>
      <c r="E2192" s="257" t="s">
        <v>5958</v>
      </c>
      <c r="F2192" s="257" t="s">
        <v>5961</v>
      </c>
      <c r="G2192" s="257" t="s">
        <v>5962</v>
      </c>
    </row>
    <row r="2193" customHeight="1" spans="4:7">
      <c r="D2193" s="256">
        <v>50017</v>
      </c>
      <c r="E2193" s="257" t="s">
        <v>5958</v>
      </c>
      <c r="F2193" s="257" t="s">
        <v>5963</v>
      </c>
      <c r="G2193" s="257" t="s">
        <v>5964</v>
      </c>
    </row>
    <row r="2194" customHeight="1" spans="4:7">
      <c r="D2194" s="256">
        <v>50017</v>
      </c>
      <c r="E2194" s="257" t="s">
        <v>5958</v>
      </c>
      <c r="F2194" s="257" t="s">
        <v>5965</v>
      </c>
      <c r="G2194" s="257" t="s">
        <v>5966</v>
      </c>
    </row>
    <row r="2195" customHeight="1" spans="4:7">
      <c r="D2195" s="256">
        <v>50017</v>
      </c>
      <c r="E2195" s="257" t="s">
        <v>5958</v>
      </c>
      <c r="F2195" s="257" t="s">
        <v>5967</v>
      </c>
      <c r="G2195" s="257" t="s">
        <v>1991</v>
      </c>
    </row>
    <row r="2196" customHeight="1" spans="4:7">
      <c r="D2196" s="256">
        <v>50017</v>
      </c>
      <c r="E2196" s="257" t="s">
        <v>5958</v>
      </c>
      <c r="F2196" s="257" t="s">
        <v>5968</v>
      </c>
      <c r="G2196" s="257" t="s">
        <v>5969</v>
      </c>
    </row>
    <row r="2197" customHeight="1" spans="4:7">
      <c r="D2197" s="256">
        <v>50017</v>
      </c>
      <c r="E2197" s="257" t="s">
        <v>5958</v>
      </c>
      <c r="F2197" s="257" t="s">
        <v>5970</v>
      </c>
      <c r="G2197" s="257" t="s">
        <v>5971</v>
      </c>
    </row>
    <row r="2198" customHeight="1" spans="4:7">
      <c r="D2198" s="256">
        <v>50017</v>
      </c>
      <c r="E2198" s="257" t="s">
        <v>5958</v>
      </c>
      <c r="F2198" s="257" t="s">
        <v>5972</v>
      </c>
      <c r="G2198" s="257" t="s">
        <v>5973</v>
      </c>
    </row>
    <row r="2199" customHeight="1" spans="4:7">
      <c r="D2199" s="256">
        <v>50017</v>
      </c>
      <c r="E2199" s="257" t="s">
        <v>5958</v>
      </c>
      <c r="F2199" s="257" t="s">
        <v>5974</v>
      </c>
      <c r="G2199" s="257" t="s">
        <v>5975</v>
      </c>
    </row>
    <row r="2200" customHeight="1" spans="4:7">
      <c r="D2200" s="256">
        <v>50017</v>
      </c>
      <c r="E2200" s="257" t="s">
        <v>5958</v>
      </c>
      <c r="F2200" s="257" t="s">
        <v>5976</v>
      </c>
      <c r="G2200" s="257" t="s">
        <v>5977</v>
      </c>
    </row>
    <row r="2201" customHeight="1" spans="4:7">
      <c r="D2201" s="256">
        <v>50017</v>
      </c>
      <c r="E2201" s="257" t="s">
        <v>5958</v>
      </c>
      <c r="F2201" s="257" t="s">
        <v>5978</v>
      </c>
      <c r="G2201" s="257" t="s">
        <v>5979</v>
      </c>
    </row>
    <row r="2202" customHeight="1" spans="4:7">
      <c r="D2202" s="256">
        <v>50017</v>
      </c>
      <c r="E2202" s="257" t="s">
        <v>5958</v>
      </c>
      <c r="F2202" s="257" t="s">
        <v>5980</v>
      </c>
      <c r="G2202" s="257" t="s">
        <v>5981</v>
      </c>
    </row>
    <row r="2203" customHeight="1" spans="4:7">
      <c r="D2203" s="256">
        <v>50017</v>
      </c>
      <c r="E2203" s="257" t="s">
        <v>5958</v>
      </c>
      <c r="F2203" s="257" t="s">
        <v>5982</v>
      </c>
      <c r="G2203" s="257" t="s">
        <v>5983</v>
      </c>
    </row>
    <row r="2204" customHeight="1" spans="4:7">
      <c r="D2204" s="256">
        <v>50017</v>
      </c>
      <c r="E2204" s="257" t="s">
        <v>5958</v>
      </c>
      <c r="F2204" s="257" t="s">
        <v>5984</v>
      </c>
      <c r="G2204" s="257" t="s">
        <v>5985</v>
      </c>
    </row>
    <row r="2205" customHeight="1" spans="4:7">
      <c r="D2205" s="256">
        <v>50017</v>
      </c>
      <c r="E2205" s="257" t="s">
        <v>5958</v>
      </c>
      <c r="F2205" s="257" t="s">
        <v>5986</v>
      </c>
      <c r="G2205" s="257" t="s">
        <v>5987</v>
      </c>
    </row>
    <row r="2206" customHeight="1" spans="4:7">
      <c r="D2206" s="256">
        <v>50017</v>
      </c>
      <c r="E2206" s="257" t="s">
        <v>5958</v>
      </c>
      <c r="F2206" s="257" t="s">
        <v>5988</v>
      </c>
      <c r="G2206" s="257" t="s">
        <v>2477</v>
      </c>
    </row>
    <row r="2207" customHeight="1" spans="4:7">
      <c r="D2207" s="256">
        <v>50017</v>
      </c>
      <c r="E2207" s="257" t="s">
        <v>5958</v>
      </c>
      <c r="F2207" s="257" t="s">
        <v>5989</v>
      </c>
      <c r="G2207" s="257" t="s">
        <v>4170</v>
      </c>
    </row>
    <row r="2208" customHeight="1" spans="4:7">
      <c r="D2208" s="256">
        <v>50017</v>
      </c>
      <c r="E2208" s="257" t="s">
        <v>5958</v>
      </c>
      <c r="F2208" s="257" t="s">
        <v>5990</v>
      </c>
      <c r="G2208" s="257" t="s">
        <v>5991</v>
      </c>
    </row>
    <row r="2209" customHeight="1" spans="4:7">
      <c r="D2209" s="256">
        <v>50017</v>
      </c>
      <c r="E2209" s="257" t="s">
        <v>5958</v>
      </c>
      <c r="F2209" s="257" t="s">
        <v>5992</v>
      </c>
      <c r="G2209" s="257" t="s">
        <v>5993</v>
      </c>
    </row>
    <row r="2210" customHeight="1" spans="4:7">
      <c r="D2210" s="256">
        <v>48024</v>
      </c>
      <c r="E2210" s="257" t="s">
        <v>5994</v>
      </c>
      <c r="F2210" s="257" t="s">
        <v>5995</v>
      </c>
      <c r="G2210" s="257" t="s">
        <v>5996</v>
      </c>
    </row>
    <row r="2211" customHeight="1" spans="4:7">
      <c r="D2211" s="256">
        <v>48024</v>
      </c>
      <c r="E2211" s="257" t="s">
        <v>5994</v>
      </c>
      <c r="F2211" s="257" t="s">
        <v>5997</v>
      </c>
      <c r="G2211" s="257" t="s">
        <v>5998</v>
      </c>
    </row>
    <row r="2212" customHeight="1" spans="4:7">
      <c r="D2212" s="256">
        <v>48024</v>
      </c>
      <c r="E2212" s="257" t="s">
        <v>5994</v>
      </c>
      <c r="F2212" s="257" t="s">
        <v>5999</v>
      </c>
      <c r="G2212" s="257" t="s">
        <v>6000</v>
      </c>
    </row>
    <row r="2213" customHeight="1" spans="4:7">
      <c r="D2213" s="256">
        <v>48024</v>
      </c>
      <c r="E2213" s="257" t="s">
        <v>5994</v>
      </c>
      <c r="F2213" s="257" t="s">
        <v>6001</v>
      </c>
      <c r="G2213" s="257" t="s">
        <v>2090</v>
      </c>
    </row>
    <row r="2214" customHeight="1" spans="4:7">
      <c r="D2214" s="256">
        <v>48024</v>
      </c>
      <c r="E2214" s="257" t="s">
        <v>5994</v>
      </c>
      <c r="F2214" s="257" t="s">
        <v>6002</v>
      </c>
      <c r="G2214" s="257" t="s">
        <v>6003</v>
      </c>
    </row>
    <row r="2215" customHeight="1" spans="4:7">
      <c r="D2215" s="256">
        <v>48024</v>
      </c>
      <c r="E2215" s="257" t="s">
        <v>5994</v>
      </c>
      <c r="F2215" s="257" t="s">
        <v>6004</v>
      </c>
      <c r="G2215" s="257" t="s">
        <v>6005</v>
      </c>
    </row>
    <row r="2216" customHeight="1" spans="4:7">
      <c r="D2216" s="256">
        <v>48024</v>
      </c>
      <c r="E2216" s="257" t="s">
        <v>5994</v>
      </c>
      <c r="F2216" s="257" t="s">
        <v>6006</v>
      </c>
      <c r="G2216" s="257" t="s">
        <v>6007</v>
      </c>
    </row>
    <row r="2217" customHeight="1" spans="4:7">
      <c r="D2217" s="256">
        <v>48024</v>
      </c>
      <c r="E2217" s="257" t="s">
        <v>5994</v>
      </c>
      <c r="F2217" s="257" t="s">
        <v>6008</v>
      </c>
      <c r="G2217" s="257" t="s">
        <v>6009</v>
      </c>
    </row>
    <row r="2218" customHeight="1" spans="4:7">
      <c r="D2218" s="256">
        <v>48024</v>
      </c>
      <c r="E2218" s="257" t="s">
        <v>5994</v>
      </c>
      <c r="F2218" s="257" t="s">
        <v>6010</v>
      </c>
      <c r="G2218" s="257" t="s">
        <v>6011</v>
      </c>
    </row>
    <row r="2219" customHeight="1" spans="4:7">
      <c r="D2219" s="256">
        <v>48024</v>
      </c>
      <c r="E2219" s="257" t="s">
        <v>5994</v>
      </c>
      <c r="F2219" s="257" t="s">
        <v>6012</v>
      </c>
      <c r="G2219" s="257" t="s">
        <v>6013</v>
      </c>
    </row>
    <row r="2220" customHeight="1" spans="4:7">
      <c r="D2220" s="256">
        <v>48024</v>
      </c>
      <c r="E2220" s="257" t="s">
        <v>5994</v>
      </c>
      <c r="F2220" s="257" t="s">
        <v>6014</v>
      </c>
      <c r="G2220" s="257" t="s">
        <v>6015</v>
      </c>
    </row>
    <row r="2221" customHeight="1" spans="4:7">
      <c r="D2221" s="256">
        <v>48024</v>
      </c>
      <c r="E2221" s="257" t="s">
        <v>5994</v>
      </c>
      <c r="F2221" s="257" t="s">
        <v>6016</v>
      </c>
      <c r="G2221" s="257" t="s">
        <v>6017</v>
      </c>
    </row>
    <row r="2222" customHeight="1" spans="4:7">
      <c r="D2222" s="256">
        <v>48024</v>
      </c>
      <c r="E2222" s="257" t="s">
        <v>5994</v>
      </c>
      <c r="F2222" s="257" t="s">
        <v>6018</v>
      </c>
      <c r="G2222" s="257" t="s">
        <v>6019</v>
      </c>
    </row>
    <row r="2223" customHeight="1" spans="4:7">
      <c r="D2223" s="256">
        <v>48024</v>
      </c>
      <c r="E2223" s="257" t="s">
        <v>5994</v>
      </c>
      <c r="F2223" s="257" t="s">
        <v>6020</v>
      </c>
      <c r="G2223" s="257" t="s">
        <v>6021</v>
      </c>
    </row>
    <row r="2224" customHeight="1" spans="4:7">
      <c r="D2224" s="256">
        <v>48024</v>
      </c>
      <c r="E2224" s="257" t="s">
        <v>5994</v>
      </c>
      <c r="F2224" s="257" t="s">
        <v>6022</v>
      </c>
      <c r="G2224" s="257" t="s">
        <v>2477</v>
      </c>
    </row>
    <row r="2225" customHeight="1" spans="4:7">
      <c r="D2225" s="256">
        <v>48024</v>
      </c>
      <c r="E2225" s="257" t="s">
        <v>5994</v>
      </c>
      <c r="F2225" s="257" t="s">
        <v>6023</v>
      </c>
      <c r="G2225" s="257" t="s">
        <v>6024</v>
      </c>
    </row>
    <row r="2226" customHeight="1" spans="4:7">
      <c r="D2226" s="256">
        <v>48024</v>
      </c>
      <c r="E2226" s="257" t="s">
        <v>5994</v>
      </c>
      <c r="F2226" s="257" t="s">
        <v>6025</v>
      </c>
      <c r="G2226" s="257" t="s">
        <v>6026</v>
      </c>
    </row>
    <row r="2227" customHeight="1" spans="4:7">
      <c r="D2227" s="256">
        <v>48024</v>
      </c>
      <c r="E2227" s="257" t="s">
        <v>5994</v>
      </c>
      <c r="F2227" s="257" t="s">
        <v>6027</v>
      </c>
      <c r="G2227" s="257" t="s">
        <v>2979</v>
      </c>
    </row>
    <row r="2228" customHeight="1" spans="4:7">
      <c r="D2228" s="256">
        <v>48024</v>
      </c>
      <c r="E2228" s="257" t="s">
        <v>5994</v>
      </c>
      <c r="F2228" s="257" t="s">
        <v>6028</v>
      </c>
      <c r="G2228" s="257" t="s">
        <v>4575</v>
      </c>
    </row>
    <row r="2229" customHeight="1" spans="4:7">
      <c r="D2229" s="256">
        <v>51019</v>
      </c>
      <c r="E2229" s="257" t="s">
        <v>6029</v>
      </c>
      <c r="F2229" s="257" t="s">
        <v>6030</v>
      </c>
      <c r="G2229" s="257" t="s">
        <v>3597</v>
      </c>
    </row>
    <row r="2230" customHeight="1" spans="4:7">
      <c r="D2230" s="256">
        <v>51019</v>
      </c>
      <c r="E2230" s="257" t="s">
        <v>6029</v>
      </c>
      <c r="F2230" s="257" t="s">
        <v>6031</v>
      </c>
      <c r="G2230" s="257" t="s">
        <v>6032</v>
      </c>
    </row>
    <row r="2231" customHeight="1" spans="4:7">
      <c r="D2231" s="256">
        <v>51019</v>
      </c>
      <c r="E2231" s="257" t="s">
        <v>6029</v>
      </c>
      <c r="F2231" s="257" t="s">
        <v>6033</v>
      </c>
      <c r="G2231" s="257" t="s">
        <v>6034</v>
      </c>
    </row>
    <row r="2232" customHeight="1" spans="4:7">
      <c r="D2232" s="256">
        <v>51019</v>
      </c>
      <c r="E2232" s="257" t="s">
        <v>6029</v>
      </c>
      <c r="F2232" s="257" t="s">
        <v>6035</v>
      </c>
      <c r="G2232" s="257" t="s">
        <v>6036</v>
      </c>
    </row>
    <row r="2233" customHeight="1" spans="4:7">
      <c r="D2233" s="256">
        <v>51019</v>
      </c>
      <c r="E2233" s="257" t="s">
        <v>6029</v>
      </c>
      <c r="F2233" s="257" t="s">
        <v>6037</v>
      </c>
      <c r="G2233" s="257" t="s">
        <v>6038</v>
      </c>
    </row>
    <row r="2234" customHeight="1" spans="4:7">
      <c r="D2234" s="256">
        <v>51019</v>
      </c>
      <c r="E2234" s="257" t="s">
        <v>6029</v>
      </c>
      <c r="F2234" s="257" t="s">
        <v>6039</v>
      </c>
      <c r="G2234" s="257" t="s">
        <v>6040</v>
      </c>
    </row>
    <row r="2235" customHeight="1" spans="4:7">
      <c r="D2235" s="256">
        <v>51019</v>
      </c>
      <c r="E2235" s="257" t="s">
        <v>6029</v>
      </c>
      <c r="F2235" s="257" t="s">
        <v>6041</v>
      </c>
      <c r="G2235" s="257" t="s">
        <v>6042</v>
      </c>
    </row>
    <row r="2236" customHeight="1" spans="4:7">
      <c r="D2236" s="256">
        <v>51019</v>
      </c>
      <c r="E2236" s="257" t="s">
        <v>6029</v>
      </c>
      <c r="F2236" s="257" t="s">
        <v>6043</v>
      </c>
      <c r="G2236" s="257" t="s">
        <v>6044</v>
      </c>
    </row>
    <row r="2237" customHeight="1" spans="4:7">
      <c r="D2237" s="256">
        <v>51019</v>
      </c>
      <c r="E2237" s="257" t="s">
        <v>6029</v>
      </c>
      <c r="F2237" s="257" t="s">
        <v>6045</v>
      </c>
      <c r="G2237" s="257" t="s">
        <v>6046</v>
      </c>
    </row>
    <row r="2238" customHeight="1" spans="4:7">
      <c r="D2238" s="256">
        <v>51019</v>
      </c>
      <c r="E2238" s="257" t="s">
        <v>6029</v>
      </c>
      <c r="F2238" s="257" t="s">
        <v>6047</v>
      </c>
      <c r="G2238" s="257" t="s">
        <v>6048</v>
      </c>
    </row>
    <row r="2239" customHeight="1" spans="4:7">
      <c r="D2239" s="256">
        <v>45009</v>
      </c>
      <c r="E2239" s="257" t="s">
        <v>6049</v>
      </c>
      <c r="F2239" s="257" t="s">
        <v>6050</v>
      </c>
      <c r="G2239" s="257" t="s">
        <v>6051</v>
      </c>
    </row>
    <row r="2240" customHeight="1" spans="4:7">
      <c r="D2240" s="256">
        <v>45009</v>
      </c>
      <c r="E2240" s="257" t="s">
        <v>6049</v>
      </c>
      <c r="F2240" s="257" t="s">
        <v>6052</v>
      </c>
      <c r="G2240" s="257" t="s">
        <v>6053</v>
      </c>
    </row>
    <row r="2241" customHeight="1" spans="4:7">
      <c r="D2241" s="256">
        <v>45009</v>
      </c>
      <c r="E2241" s="257" t="s">
        <v>6049</v>
      </c>
      <c r="F2241" s="257" t="s">
        <v>6054</v>
      </c>
      <c r="G2241" s="257" t="s">
        <v>6055</v>
      </c>
    </row>
    <row r="2242" customHeight="1" spans="4:7">
      <c r="D2242" s="256">
        <v>45009</v>
      </c>
      <c r="E2242" s="257" t="s">
        <v>6049</v>
      </c>
      <c r="F2242" s="257" t="s">
        <v>6056</v>
      </c>
      <c r="G2242" s="257" t="s">
        <v>4858</v>
      </c>
    </row>
    <row r="2243" customHeight="1" spans="4:7">
      <c r="D2243" s="256">
        <v>45009</v>
      </c>
      <c r="E2243" s="257" t="s">
        <v>6049</v>
      </c>
      <c r="F2243" s="257" t="s">
        <v>6057</v>
      </c>
      <c r="G2243" s="257" t="s">
        <v>6058</v>
      </c>
    </row>
    <row r="2244" customHeight="1" spans="4:7">
      <c r="D2244" s="256">
        <v>45009</v>
      </c>
      <c r="E2244" s="257" t="s">
        <v>6049</v>
      </c>
      <c r="F2244" s="257" t="s">
        <v>6059</v>
      </c>
      <c r="G2244" s="257" t="s">
        <v>6060</v>
      </c>
    </row>
    <row r="2245" customHeight="1" spans="4:7">
      <c r="D2245" s="256">
        <v>45009</v>
      </c>
      <c r="E2245" s="257" t="s">
        <v>6049</v>
      </c>
      <c r="F2245" s="257" t="s">
        <v>6061</v>
      </c>
      <c r="G2245" s="257" t="s">
        <v>6062</v>
      </c>
    </row>
    <row r="2246" customHeight="1" spans="4:7">
      <c r="D2246" s="256">
        <v>45009</v>
      </c>
      <c r="E2246" s="257" t="s">
        <v>6049</v>
      </c>
      <c r="F2246" s="257" t="s">
        <v>6063</v>
      </c>
      <c r="G2246" s="257" t="s">
        <v>6064</v>
      </c>
    </row>
    <row r="2247" customHeight="1" spans="4:7">
      <c r="D2247" s="256">
        <v>45009</v>
      </c>
      <c r="E2247" s="257" t="s">
        <v>6049</v>
      </c>
      <c r="F2247" s="257" t="s">
        <v>6065</v>
      </c>
      <c r="G2247" s="257" t="s">
        <v>6066</v>
      </c>
    </row>
    <row r="2248" customHeight="1" spans="4:7">
      <c r="D2248" s="256">
        <v>45009</v>
      </c>
      <c r="E2248" s="257" t="s">
        <v>6049</v>
      </c>
      <c r="F2248" s="257" t="s">
        <v>6067</v>
      </c>
      <c r="G2248" s="257" t="s">
        <v>6068</v>
      </c>
    </row>
    <row r="2249" customHeight="1" spans="4:7">
      <c r="D2249" s="256">
        <v>45009</v>
      </c>
      <c r="E2249" s="257" t="s">
        <v>6049</v>
      </c>
      <c r="F2249" s="257" t="s">
        <v>6069</v>
      </c>
      <c r="G2249" s="257" t="s">
        <v>6070</v>
      </c>
    </row>
    <row r="2250" customHeight="1" spans="4:7">
      <c r="D2250" s="256">
        <v>45009</v>
      </c>
      <c r="E2250" s="257" t="s">
        <v>6049</v>
      </c>
      <c r="F2250" s="257" t="s">
        <v>6071</v>
      </c>
      <c r="G2250" s="257" t="s">
        <v>6072</v>
      </c>
    </row>
    <row r="2251" customHeight="1" spans="4:7">
      <c r="D2251" s="256">
        <v>45009</v>
      </c>
      <c r="E2251" s="257" t="s">
        <v>6049</v>
      </c>
      <c r="F2251" s="257" t="s">
        <v>6073</v>
      </c>
      <c r="G2251" s="257" t="s">
        <v>6074</v>
      </c>
    </row>
    <row r="2252" customHeight="1" spans="4:7">
      <c r="D2252" s="256">
        <v>45009</v>
      </c>
      <c r="E2252" s="257" t="s">
        <v>6049</v>
      </c>
      <c r="F2252" s="257" t="s">
        <v>6075</v>
      </c>
      <c r="G2252" s="257" t="s">
        <v>6076</v>
      </c>
    </row>
    <row r="2253" customHeight="1" spans="4:7">
      <c r="D2253" s="256">
        <v>45009</v>
      </c>
      <c r="E2253" s="257" t="s">
        <v>6049</v>
      </c>
      <c r="F2253" s="257" t="s">
        <v>6077</v>
      </c>
      <c r="G2253" s="257" t="s">
        <v>6078</v>
      </c>
    </row>
    <row r="2254" customHeight="1" spans="4:7">
      <c r="D2254" s="256">
        <v>45009</v>
      </c>
      <c r="E2254" s="257" t="s">
        <v>6049</v>
      </c>
      <c r="F2254" s="257" t="s">
        <v>6079</v>
      </c>
      <c r="G2254" s="257" t="s">
        <v>6080</v>
      </c>
    </row>
    <row r="2255" customHeight="1" spans="4:7">
      <c r="D2255" s="256">
        <v>45009</v>
      </c>
      <c r="E2255" s="257" t="s">
        <v>6049</v>
      </c>
      <c r="F2255" s="257" t="s">
        <v>6081</v>
      </c>
      <c r="G2255" s="257" t="s">
        <v>5528</v>
      </c>
    </row>
    <row r="2256" customHeight="1" spans="4:7">
      <c r="D2256" s="256">
        <v>45009</v>
      </c>
      <c r="E2256" s="257" t="s">
        <v>6049</v>
      </c>
      <c r="F2256" s="257" t="s">
        <v>6082</v>
      </c>
      <c r="G2256" s="257" t="s">
        <v>2836</v>
      </c>
    </row>
    <row r="2257" customHeight="1" spans="4:7">
      <c r="D2257" s="256">
        <v>45009</v>
      </c>
      <c r="E2257" s="257" t="s">
        <v>6049</v>
      </c>
      <c r="F2257" s="257" t="s">
        <v>6083</v>
      </c>
      <c r="G2257" s="257" t="s">
        <v>6084</v>
      </c>
    </row>
    <row r="2258" customHeight="1" spans="4:7">
      <c r="D2258" s="256">
        <v>45009</v>
      </c>
      <c r="E2258" s="257" t="s">
        <v>6049</v>
      </c>
      <c r="F2258" s="257" t="s">
        <v>6085</v>
      </c>
      <c r="G2258" s="257" t="s">
        <v>6086</v>
      </c>
    </row>
    <row r="2259" customHeight="1" spans="4:7">
      <c r="D2259" s="256">
        <v>45009</v>
      </c>
      <c r="E2259" s="257" t="s">
        <v>6049</v>
      </c>
      <c r="F2259" s="257" t="s">
        <v>6087</v>
      </c>
      <c r="G2259" s="257" t="s">
        <v>6088</v>
      </c>
    </row>
    <row r="2260" customHeight="1" spans="4:7">
      <c r="D2260" s="256">
        <v>45009</v>
      </c>
      <c r="E2260" s="257" t="s">
        <v>6049</v>
      </c>
      <c r="F2260" s="257" t="s">
        <v>6089</v>
      </c>
      <c r="G2260" s="257" t="s">
        <v>6090</v>
      </c>
    </row>
    <row r="2261" customHeight="1" spans="4:7">
      <c r="D2261" s="256">
        <v>45009</v>
      </c>
      <c r="E2261" s="257" t="s">
        <v>6049</v>
      </c>
      <c r="F2261" s="257" t="s">
        <v>6091</v>
      </c>
      <c r="G2261" s="257" t="s">
        <v>6092</v>
      </c>
    </row>
    <row r="2262" customHeight="1" spans="4:7">
      <c r="D2262" s="256">
        <v>45009</v>
      </c>
      <c r="E2262" s="257" t="s">
        <v>6049</v>
      </c>
      <c r="F2262" s="257" t="s">
        <v>6093</v>
      </c>
      <c r="G2262" s="257" t="s">
        <v>1506</v>
      </c>
    </row>
    <row r="2263" customHeight="1" spans="4:7">
      <c r="D2263" s="256">
        <v>45009</v>
      </c>
      <c r="E2263" s="257" t="s">
        <v>6049</v>
      </c>
      <c r="F2263" s="257" t="s">
        <v>6094</v>
      </c>
      <c r="G2263" s="257" t="s">
        <v>1771</v>
      </c>
    </row>
    <row r="2264" customHeight="1" spans="4:7">
      <c r="D2264" s="256">
        <v>45009</v>
      </c>
      <c r="E2264" s="257" t="s">
        <v>6049</v>
      </c>
      <c r="F2264" s="257" t="s">
        <v>6095</v>
      </c>
      <c r="G2264" s="257" t="s">
        <v>6096</v>
      </c>
    </row>
    <row r="2265" customHeight="1" spans="4:7">
      <c r="D2265" s="256">
        <v>45009</v>
      </c>
      <c r="E2265" s="257" t="s">
        <v>6049</v>
      </c>
      <c r="F2265" s="257" t="s">
        <v>6097</v>
      </c>
      <c r="G2265" s="257" t="s">
        <v>6098</v>
      </c>
    </row>
    <row r="2266" customHeight="1" spans="4:7">
      <c r="D2266" s="256">
        <v>45009</v>
      </c>
      <c r="E2266" s="257" t="s">
        <v>6049</v>
      </c>
      <c r="F2266" s="257" t="s">
        <v>6099</v>
      </c>
      <c r="G2266" s="257" t="s">
        <v>6100</v>
      </c>
    </row>
    <row r="2267" customHeight="1" spans="4:7">
      <c r="D2267" s="256">
        <v>49009</v>
      </c>
      <c r="E2267" s="257" t="s">
        <v>6101</v>
      </c>
      <c r="F2267" s="257" t="s">
        <v>6102</v>
      </c>
      <c r="G2267" s="257" t="s">
        <v>4056</v>
      </c>
    </row>
    <row r="2268" customHeight="1" spans="4:7">
      <c r="D2268" s="256">
        <v>49009</v>
      </c>
      <c r="E2268" s="257" t="s">
        <v>6101</v>
      </c>
      <c r="F2268" s="257" t="s">
        <v>6103</v>
      </c>
      <c r="G2268" s="257" t="s">
        <v>6104</v>
      </c>
    </row>
    <row r="2269" customHeight="1" spans="4:7">
      <c r="D2269" s="256">
        <v>49009</v>
      </c>
      <c r="E2269" s="257" t="s">
        <v>6101</v>
      </c>
      <c r="F2269" s="257" t="s">
        <v>6105</v>
      </c>
      <c r="G2269" s="257" t="s">
        <v>6106</v>
      </c>
    </row>
    <row r="2270" customHeight="1" spans="4:7">
      <c r="D2270" s="256">
        <v>49009</v>
      </c>
      <c r="E2270" s="257" t="s">
        <v>6101</v>
      </c>
      <c r="F2270" s="257" t="s">
        <v>6107</v>
      </c>
      <c r="G2270" s="257" t="s">
        <v>6108</v>
      </c>
    </row>
    <row r="2271" customHeight="1" spans="4:7">
      <c r="D2271" s="256">
        <v>49009</v>
      </c>
      <c r="E2271" s="257" t="s">
        <v>6101</v>
      </c>
      <c r="F2271" s="257" t="s">
        <v>6109</v>
      </c>
      <c r="G2271" s="257" t="s">
        <v>6110</v>
      </c>
    </row>
    <row r="2272" customHeight="1" spans="4:7">
      <c r="D2272" s="256">
        <v>49009</v>
      </c>
      <c r="E2272" s="257" t="s">
        <v>6101</v>
      </c>
      <c r="F2272" s="257" t="s">
        <v>6111</v>
      </c>
      <c r="G2272" s="257" t="s">
        <v>6112</v>
      </c>
    </row>
    <row r="2273" customHeight="1" spans="4:7">
      <c r="D2273" s="256">
        <v>49009</v>
      </c>
      <c r="E2273" s="257" t="s">
        <v>6101</v>
      </c>
      <c r="F2273" s="257" t="s">
        <v>6113</v>
      </c>
      <c r="G2273" s="257" t="s">
        <v>6114</v>
      </c>
    </row>
    <row r="2274" customHeight="1" spans="4:7">
      <c r="D2274" s="256">
        <v>49009</v>
      </c>
      <c r="E2274" s="257" t="s">
        <v>6101</v>
      </c>
      <c r="F2274" s="257" t="s">
        <v>6115</v>
      </c>
      <c r="G2274" s="257" t="s">
        <v>6116</v>
      </c>
    </row>
    <row r="2275" customHeight="1" spans="4:7">
      <c r="D2275" s="256">
        <v>49009</v>
      </c>
      <c r="E2275" s="257" t="s">
        <v>6101</v>
      </c>
      <c r="F2275" s="257" t="s">
        <v>6117</v>
      </c>
      <c r="G2275" s="257" t="s">
        <v>6118</v>
      </c>
    </row>
    <row r="2276" customHeight="1" spans="4:7">
      <c r="D2276" s="256">
        <v>49009</v>
      </c>
      <c r="E2276" s="257" t="s">
        <v>6101</v>
      </c>
      <c r="F2276" s="257" t="s">
        <v>6119</v>
      </c>
      <c r="G2276" s="257" t="s">
        <v>6120</v>
      </c>
    </row>
    <row r="2277" customHeight="1" spans="4:7">
      <c r="D2277" s="256">
        <v>49009</v>
      </c>
      <c r="E2277" s="257" t="s">
        <v>6101</v>
      </c>
      <c r="F2277" s="257" t="s">
        <v>6121</v>
      </c>
      <c r="G2277" s="257" t="s">
        <v>6122</v>
      </c>
    </row>
    <row r="2278" customHeight="1" spans="4:7">
      <c r="D2278" s="256">
        <v>49009</v>
      </c>
      <c r="E2278" s="257" t="s">
        <v>6101</v>
      </c>
      <c r="F2278" s="257" t="s">
        <v>6123</v>
      </c>
      <c r="G2278" s="257" t="s">
        <v>6124</v>
      </c>
    </row>
    <row r="2279" customHeight="1" spans="4:7">
      <c r="D2279" s="256">
        <v>49009</v>
      </c>
      <c r="E2279" s="257" t="s">
        <v>6101</v>
      </c>
      <c r="F2279" s="257" t="s">
        <v>6125</v>
      </c>
      <c r="G2279" s="257" t="s">
        <v>6126</v>
      </c>
    </row>
    <row r="2280" customHeight="1" spans="4:7">
      <c r="D2280" s="256">
        <v>49009</v>
      </c>
      <c r="E2280" s="257" t="s">
        <v>6101</v>
      </c>
      <c r="F2280" s="257" t="s">
        <v>6127</v>
      </c>
      <c r="G2280" s="257" t="s">
        <v>6128</v>
      </c>
    </row>
    <row r="2281" customHeight="1" spans="4:7">
      <c r="D2281" s="256">
        <v>49009</v>
      </c>
      <c r="E2281" s="257" t="s">
        <v>6101</v>
      </c>
      <c r="F2281" s="257" t="s">
        <v>6129</v>
      </c>
      <c r="G2281" s="257" t="s">
        <v>6130</v>
      </c>
    </row>
    <row r="2282" customHeight="1" spans="4:7">
      <c r="D2282" s="256">
        <v>49009</v>
      </c>
      <c r="E2282" s="257" t="s">
        <v>6101</v>
      </c>
      <c r="F2282" s="257" t="s">
        <v>6131</v>
      </c>
      <c r="G2282" s="257" t="s">
        <v>6132</v>
      </c>
    </row>
    <row r="2283" customHeight="1" spans="4:7">
      <c r="D2283" s="256">
        <v>49009</v>
      </c>
      <c r="E2283" s="257" t="s">
        <v>6101</v>
      </c>
      <c r="F2283" s="257" t="s">
        <v>6133</v>
      </c>
      <c r="G2283" s="257" t="s">
        <v>5859</v>
      </c>
    </row>
    <row r="2284" customHeight="1" spans="4:7">
      <c r="D2284" s="256">
        <v>49009</v>
      </c>
      <c r="E2284" s="257" t="s">
        <v>6101</v>
      </c>
      <c r="F2284" s="257" t="s">
        <v>6134</v>
      </c>
      <c r="G2284" s="257" t="s">
        <v>6135</v>
      </c>
    </row>
    <row r="2285" customHeight="1" spans="4:7">
      <c r="D2285" s="256">
        <v>49009</v>
      </c>
      <c r="E2285" s="257" t="s">
        <v>6101</v>
      </c>
      <c r="F2285" s="257" t="s">
        <v>6136</v>
      </c>
      <c r="G2285" s="257" t="s">
        <v>6137</v>
      </c>
    </row>
    <row r="2286" customHeight="1" spans="4:7">
      <c r="D2286" s="256">
        <v>49009</v>
      </c>
      <c r="E2286" s="257" t="s">
        <v>6101</v>
      </c>
      <c r="F2286" s="257" t="s">
        <v>6138</v>
      </c>
      <c r="G2286" s="257" t="s">
        <v>6139</v>
      </c>
    </row>
    <row r="2287" customHeight="1" spans="4:7">
      <c r="D2287" s="256">
        <v>49009</v>
      </c>
      <c r="E2287" s="257" t="s">
        <v>6101</v>
      </c>
      <c r="F2287" s="257" t="s">
        <v>6140</v>
      </c>
      <c r="G2287" s="257" t="s">
        <v>6141</v>
      </c>
    </row>
    <row r="2288" customHeight="1" spans="4:7">
      <c r="D2288" s="256">
        <v>48025</v>
      </c>
      <c r="E2288" s="257" t="s">
        <v>6142</v>
      </c>
      <c r="F2288" s="257" t="s">
        <v>6143</v>
      </c>
      <c r="G2288" s="257" t="s">
        <v>3551</v>
      </c>
    </row>
    <row r="2289" customHeight="1" spans="4:7">
      <c r="D2289" s="256">
        <v>48025</v>
      </c>
      <c r="E2289" s="257" t="s">
        <v>6142</v>
      </c>
      <c r="F2289" s="257" t="s">
        <v>6144</v>
      </c>
      <c r="G2289" s="257" t="s">
        <v>6145</v>
      </c>
    </row>
    <row r="2290" customHeight="1" spans="4:7">
      <c r="D2290" s="256">
        <v>48025</v>
      </c>
      <c r="E2290" s="257" t="s">
        <v>6142</v>
      </c>
      <c r="F2290" s="257" t="s">
        <v>6146</v>
      </c>
      <c r="G2290" s="257" t="s">
        <v>4143</v>
      </c>
    </row>
    <row r="2291" customHeight="1" spans="4:7">
      <c r="D2291" s="256">
        <v>48025</v>
      </c>
      <c r="E2291" s="257" t="s">
        <v>6142</v>
      </c>
      <c r="F2291" s="257" t="s">
        <v>6147</v>
      </c>
      <c r="G2291" s="257" t="s">
        <v>6148</v>
      </c>
    </row>
    <row r="2292" customHeight="1" spans="4:7">
      <c r="D2292" s="256">
        <v>48025</v>
      </c>
      <c r="E2292" s="257" t="s">
        <v>6142</v>
      </c>
      <c r="F2292" s="257" t="s">
        <v>6149</v>
      </c>
      <c r="G2292" s="257" t="s">
        <v>6150</v>
      </c>
    </row>
    <row r="2293" customHeight="1" spans="4:7">
      <c r="D2293" s="256">
        <v>50018</v>
      </c>
      <c r="E2293" s="257" t="s">
        <v>6151</v>
      </c>
      <c r="F2293" s="257" t="s">
        <v>6152</v>
      </c>
      <c r="G2293" s="257" t="s">
        <v>6153</v>
      </c>
    </row>
    <row r="2294" customHeight="1" spans="4:7">
      <c r="D2294" s="256">
        <v>50018</v>
      </c>
      <c r="E2294" s="257" t="s">
        <v>6151</v>
      </c>
      <c r="F2294" s="257" t="s">
        <v>6154</v>
      </c>
      <c r="G2294" s="257" t="s">
        <v>6155</v>
      </c>
    </row>
    <row r="2295" customHeight="1" spans="4:7">
      <c r="D2295" s="256">
        <v>50018</v>
      </c>
      <c r="E2295" s="257" t="s">
        <v>6151</v>
      </c>
      <c r="F2295" s="257" t="s">
        <v>6156</v>
      </c>
      <c r="G2295" s="257" t="s">
        <v>4289</v>
      </c>
    </row>
    <row r="2296" customHeight="1" spans="4:7">
      <c r="D2296" s="256">
        <v>50018</v>
      </c>
      <c r="E2296" s="257" t="s">
        <v>6151</v>
      </c>
      <c r="F2296" s="257" t="s">
        <v>6157</v>
      </c>
      <c r="G2296" s="257" t="s">
        <v>6158</v>
      </c>
    </row>
    <row r="2297" customHeight="1" spans="4:7">
      <c r="D2297" s="256">
        <v>50018</v>
      </c>
      <c r="E2297" s="257" t="s">
        <v>6151</v>
      </c>
      <c r="F2297" s="257" t="s">
        <v>6159</v>
      </c>
      <c r="G2297" s="257" t="s">
        <v>6160</v>
      </c>
    </row>
    <row r="2298" customHeight="1" spans="4:7">
      <c r="D2298" s="256">
        <v>50018</v>
      </c>
      <c r="E2298" s="257" t="s">
        <v>6151</v>
      </c>
      <c r="F2298" s="257" t="s">
        <v>6161</v>
      </c>
      <c r="G2298" s="257" t="s">
        <v>6162</v>
      </c>
    </row>
    <row r="2299" customHeight="1" spans="4:7">
      <c r="D2299" s="256">
        <v>50018</v>
      </c>
      <c r="E2299" s="257" t="s">
        <v>6151</v>
      </c>
      <c r="F2299" s="257" t="s">
        <v>6163</v>
      </c>
      <c r="G2299" s="257" t="s">
        <v>6164</v>
      </c>
    </row>
    <row r="2300" customHeight="1" spans="4:7">
      <c r="D2300" s="256">
        <v>50018</v>
      </c>
      <c r="E2300" s="257" t="s">
        <v>6151</v>
      </c>
      <c r="F2300" s="257" t="s">
        <v>6165</v>
      </c>
      <c r="G2300" s="257" t="s">
        <v>6166</v>
      </c>
    </row>
    <row r="2301" customHeight="1" spans="4:7">
      <c r="D2301" s="256">
        <v>50018</v>
      </c>
      <c r="E2301" s="257" t="s">
        <v>6151</v>
      </c>
      <c r="F2301" s="257" t="s">
        <v>6167</v>
      </c>
      <c r="G2301" s="257" t="s">
        <v>6168</v>
      </c>
    </row>
    <row r="2302" customHeight="1" spans="4:7">
      <c r="D2302" s="256">
        <v>51020</v>
      </c>
      <c r="E2302" s="257" t="s">
        <v>6169</v>
      </c>
      <c r="F2302" s="257" t="s">
        <v>6170</v>
      </c>
      <c r="G2302" s="257" t="s">
        <v>6171</v>
      </c>
    </row>
    <row r="2303" customHeight="1" spans="4:7">
      <c r="D2303" s="256">
        <v>51020</v>
      </c>
      <c r="E2303" s="257" t="s">
        <v>6169</v>
      </c>
      <c r="F2303" s="257" t="s">
        <v>6172</v>
      </c>
      <c r="G2303" s="257" t="s">
        <v>6173</v>
      </c>
    </row>
    <row r="2304" customHeight="1" spans="4:7">
      <c r="D2304" s="256">
        <v>51020</v>
      </c>
      <c r="E2304" s="257" t="s">
        <v>6169</v>
      </c>
      <c r="F2304" s="257" t="s">
        <v>6174</v>
      </c>
      <c r="G2304" s="257" t="s">
        <v>6175</v>
      </c>
    </row>
    <row r="2305" customHeight="1" spans="4:7">
      <c r="D2305" s="256">
        <v>51020</v>
      </c>
      <c r="E2305" s="257" t="s">
        <v>6169</v>
      </c>
      <c r="F2305" s="257" t="s">
        <v>6176</v>
      </c>
      <c r="G2305" s="257" t="s">
        <v>6177</v>
      </c>
    </row>
    <row r="2306" customHeight="1" spans="4:7">
      <c r="D2306" s="256">
        <v>51020</v>
      </c>
      <c r="E2306" s="257" t="s">
        <v>6169</v>
      </c>
      <c r="F2306" s="257" t="s">
        <v>6178</v>
      </c>
      <c r="G2306" s="257" t="s">
        <v>6179</v>
      </c>
    </row>
    <row r="2307" customHeight="1" spans="4:7">
      <c r="D2307" s="256">
        <v>51020</v>
      </c>
      <c r="E2307" s="257" t="s">
        <v>6169</v>
      </c>
      <c r="F2307" s="257" t="s">
        <v>6180</v>
      </c>
      <c r="G2307" s="257" t="s">
        <v>6181</v>
      </c>
    </row>
    <row r="2308" customHeight="1" spans="4:7">
      <c r="D2308" s="256">
        <v>51020</v>
      </c>
      <c r="E2308" s="257" t="s">
        <v>6169</v>
      </c>
      <c r="F2308" s="257" t="s">
        <v>6182</v>
      </c>
      <c r="G2308" s="257" t="s">
        <v>6183</v>
      </c>
    </row>
    <row r="2309" customHeight="1" spans="4:7">
      <c r="D2309" s="256">
        <v>51020</v>
      </c>
      <c r="E2309" s="257" t="s">
        <v>6169</v>
      </c>
      <c r="F2309" s="257" t="s">
        <v>6184</v>
      </c>
      <c r="G2309" s="257" t="s">
        <v>6185</v>
      </c>
    </row>
    <row r="2310" customHeight="1" spans="4:7">
      <c r="D2310" s="256">
        <v>51020</v>
      </c>
      <c r="E2310" s="257" t="s">
        <v>6169</v>
      </c>
      <c r="F2310" s="257" t="s">
        <v>6186</v>
      </c>
      <c r="G2310" s="257" t="s">
        <v>6187</v>
      </c>
    </row>
    <row r="2311" customHeight="1" spans="4:7">
      <c r="D2311" s="256">
        <v>51020</v>
      </c>
      <c r="E2311" s="257" t="s">
        <v>6169</v>
      </c>
      <c r="F2311" s="257" t="s">
        <v>6188</v>
      </c>
      <c r="G2311" s="257" t="s">
        <v>4289</v>
      </c>
    </row>
    <row r="2312" customHeight="1" spans="4:7">
      <c r="D2312" s="256">
        <v>51020</v>
      </c>
      <c r="E2312" s="257" t="s">
        <v>6169</v>
      </c>
      <c r="F2312" s="257" t="s">
        <v>6189</v>
      </c>
      <c r="G2312" s="257" t="s">
        <v>6190</v>
      </c>
    </row>
    <row r="2313" customHeight="1" spans="4:7">
      <c r="D2313" s="256">
        <v>51020</v>
      </c>
      <c r="E2313" s="257" t="s">
        <v>6169</v>
      </c>
      <c r="F2313" s="257" t="s">
        <v>6191</v>
      </c>
      <c r="G2313" s="257" t="s">
        <v>6192</v>
      </c>
    </row>
    <row r="2314" customHeight="1" spans="4:7">
      <c r="D2314" s="256">
        <v>51020</v>
      </c>
      <c r="E2314" s="257" t="s">
        <v>6169</v>
      </c>
      <c r="F2314" s="257" t="s">
        <v>6193</v>
      </c>
      <c r="G2314" s="257" t="s">
        <v>6194</v>
      </c>
    </row>
    <row r="2315" customHeight="1" spans="4:7">
      <c r="D2315" s="256">
        <v>51020</v>
      </c>
      <c r="E2315" s="257" t="s">
        <v>6169</v>
      </c>
      <c r="F2315" s="257" t="s">
        <v>6195</v>
      </c>
      <c r="G2315" s="257" t="s">
        <v>6196</v>
      </c>
    </row>
    <row r="2316" customHeight="1" spans="4:7">
      <c r="D2316" s="256">
        <v>51020</v>
      </c>
      <c r="E2316" s="257" t="s">
        <v>6169</v>
      </c>
      <c r="F2316" s="257" t="s">
        <v>6197</v>
      </c>
      <c r="G2316" s="257" t="s">
        <v>6198</v>
      </c>
    </row>
    <row r="2317" customHeight="1" spans="4:7">
      <c r="D2317" s="256">
        <v>51020</v>
      </c>
      <c r="E2317" s="257" t="s">
        <v>6169</v>
      </c>
      <c r="F2317" s="257" t="s">
        <v>6199</v>
      </c>
      <c r="G2317" s="257" t="s">
        <v>6200</v>
      </c>
    </row>
    <row r="2318" customHeight="1" spans="4:7">
      <c r="D2318" s="256">
        <v>51020</v>
      </c>
      <c r="E2318" s="257" t="s">
        <v>6169</v>
      </c>
      <c r="F2318" s="257" t="s">
        <v>6201</v>
      </c>
      <c r="G2318" s="257" t="s">
        <v>6202</v>
      </c>
    </row>
    <row r="2319" customHeight="1" spans="4:7">
      <c r="D2319" s="256">
        <v>51020</v>
      </c>
      <c r="E2319" s="257" t="s">
        <v>6169</v>
      </c>
      <c r="F2319" s="257" t="s">
        <v>6203</v>
      </c>
      <c r="G2319" s="257" t="s">
        <v>6204</v>
      </c>
    </row>
    <row r="2320" customHeight="1" spans="4:7">
      <c r="D2320" s="256">
        <v>51020</v>
      </c>
      <c r="E2320" s="257" t="s">
        <v>6169</v>
      </c>
      <c r="F2320" s="257" t="s">
        <v>6205</v>
      </c>
      <c r="G2320" s="257" t="s">
        <v>3162</v>
      </c>
    </row>
    <row r="2321" customHeight="1" spans="4:7">
      <c r="D2321" s="256">
        <v>51020</v>
      </c>
      <c r="E2321" s="257" t="s">
        <v>6169</v>
      </c>
      <c r="F2321" s="257" t="s">
        <v>6206</v>
      </c>
      <c r="G2321" s="257" t="s">
        <v>6207</v>
      </c>
    </row>
    <row r="2322" customHeight="1" spans="4:7">
      <c r="D2322" s="256">
        <v>51020</v>
      </c>
      <c r="E2322" s="257" t="s">
        <v>6169</v>
      </c>
      <c r="F2322" s="257" t="s">
        <v>6208</v>
      </c>
      <c r="G2322" s="257" t="s">
        <v>2740</v>
      </c>
    </row>
    <row r="2323" customHeight="1" spans="4:7">
      <c r="D2323" s="256">
        <v>46017</v>
      </c>
      <c r="E2323" s="257" t="s">
        <v>6209</v>
      </c>
      <c r="F2323" s="257" t="s">
        <v>6210</v>
      </c>
      <c r="G2323" s="257" t="s">
        <v>6211</v>
      </c>
    </row>
    <row r="2324" customHeight="1" spans="4:7">
      <c r="D2324" s="256">
        <v>46017</v>
      </c>
      <c r="E2324" s="257" t="s">
        <v>6209</v>
      </c>
      <c r="F2324" s="257" t="s">
        <v>6212</v>
      </c>
      <c r="G2324" s="257" t="s">
        <v>6213</v>
      </c>
    </row>
    <row r="2325" customHeight="1" spans="4:7">
      <c r="D2325" s="256">
        <v>46017</v>
      </c>
      <c r="E2325" s="257" t="s">
        <v>6209</v>
      </c>
      <c r="F2325" s="257" t="s">
        <v>6214</v>
      </c>
      <c r="G2325" s="257" t="s">
        <v>6215</v>
      </c>
    </row>
    <row r="2326" customHeight="1" spans="4:7">
      <c r="D2326" s="256">
        <v>46017</v>
      </c>
      <c r="E2326" s="257" t="s">
        <v>6209</v>
      </c>
      <c r="F2326" s="257" t="s">
        <v>6216</v>
      </c>
      <c r="G2326" s="257" t="s">
        <v>6217</v>
      </c>
    </row>
    <row r="2327" customHeight="1" spans="4:7">
      <c r="D2327" s="256">
        <v>46017</v>
      </c>
      <c r="E2327" s="257" t="s">
        <v>6209</v>
      </c>
      <c r="F2327" s="257" t="s">
        <v>6218</v>
      </c>
      <c r="G2327" s="257" t="s">
        <v>6219</v>
      </c>
    </row>
    <row r="2328" customHeight="1" spans="4:7">
      <c r="D2328" s="256">
        <v>46017</v>
      </c>
      <c r="E2328" s="257" t="s">
        <v>6209</v>
      </c>
      <c r="F2328" s="257" t="s">
        <v>6220</v>
      </c>
      <c r="G2328" s="257" t="s">
        <v>6221</v>
      </c>
    </row>
    <row r="2329" customHeight="1" spans="4:7">
      <c r="D2329" s="256">
        <v>46017</v>
      </c>
      <c r="E2329" s="257" t="s">
        <v>6209</v>
      </c>
      <c r="F2329" s="257" t="s">
        <v>6222</v>
      </c>
      <c r="G2329" s="257" t="s">
        <v>6223</v>
      </c>
    </row>
    <row r="2330" customHeight="1" spans="4:7">
      <c r="D2330" s="256">
        <v>46017</v>
      </c>
      <c r="E2330" s="257" t="s">
        <v>6209</v>
      </c>
      <c r="F2330" s="257" t="s">
        <v>6224</v>
      </c>
      <c r="G2330" s="257" t="s">
        <v>6225</v>
      </c>
    </row>
    <row r="2331" customHeight="1" spans="4:7">
      <c r="D2331" s="256">
        <v>46017</v>
      </c>
      <c r="E2331" s="257" t="s">
        <v>6209</v>
      </c>
      <c r="F2331" s="257" t="s">
        <v>6226</v>
      </c>
      <c r="G2331" s="257" t="s">
        <v>6227</v>
      </c>
    </row>
    <row r="2332" customHeight="1" spans="4:7">
      <c r="D2332" s="256">
        <v>46017</v>
      </c>
      <c r="E2332" s="257" t="s">
        <v>6209</v>
      </c>
      <c r="F2332" s="257" t="s">
        <v>6228</v>
      </c>
      <c r="G2332" s="257" t="s">
        <v>6229</v>
      </c>
    </row>
    <row r="2333" customHeight="1" spans="4:7">
      <c r="D2333" s="256">
        <v>46017</v>
      </c>
      <c r="E2333" s="257" t="s">
        <v>6209</v>
      </c>
      <c r="F2333" s="257" t="s">
        <v>6230</v>
      </c>
      <c r="G2333" s="257" t="s">
        <v>6231</v>
      </c>
    </row>
    <row r="2334" customHeight="1" spans="4:7">
      <c r="D2334" s="256">
        <v>46017</v>
      </c>
      <c r="E2334" s="257" t="s">
        <v>6209</v>
      </c>
      <c r="F2334" s="257" t="s">
        <v>6232</v>
      </c>
      <c r="G2334" s="257" t="s">
        <v>6233</v>
      </c>
    </row>
    <row r="2335" customHeight="1" spans="4:7">
      <c r="D2335" s="256">
        <v>46017</v>
      </c>
      <c r="E2335" s="257" t="s">
        <v>6209</v>
      </c>
      <c r="F2335" s="257" t="s">
        <v>6234</v>
      </c>
      <c r="G2335" s="257" t="s">
        <v>6235</v>
      </c>
    </row>
    <row r="2336" customHeight="1" spans="4:7">
      <c r="D2336" s="256">
        <v>46017</v>
      </c>
      <c r="E2336" s="257" t="s">
        <v>6209</v>
      </c>
      <c r="F2336" s="257" t="s">
        <v>6236</v>
      </c>
      <c r="G2336" s="257" t="s">
        <v>6237</v>
      </c>
    </row>
    <row r="2337" customHeight="1" spans="4:7">
      <c r="D2337" s="256">
        <v>46017</v>
      </c>
      <c r="E2337" s="257" t="s">
        <v>6209</v>
      </c>
      <c r="F2337" s="257" t="s">
        <v>6238</v>
      </c>
      <c r="G2337" s="257" t="s">
        <v>6239</v>
      </c>
    </row>
    <row r="2338" customHeight="1" spans="4:7">
      <c r="D2338" s="256">
        <v>46017</v>
      </c>
      <c r="E2338" s="257" t="s">
        <v>6209</v>
      </c>
      <c r="F2338" s="257" t="s">
        <v>6240</v>
      </c>
      <c r="G2338" s="257" t="s">
        <v>6241</v>
      </c>
    </row>
    <row r="2339" customHeight="1" spans="4:7">
      <c r="D2339" s="256">
        <v>46017</v>
      </c>
      <c r="E2339" s="257" t="s">
        <v>6209</v>
      </c>
      <c r="F2339" s="257" t="s">
        <v>6242</v>
      </c>
      <c r="G2339" s="257" t="s">
        <v>6243</v>
      </c>
    </row>
    <row r="2340" customHeight="1" spans="4:7">
      <c r="D2340" s="256">
        <v>46017</v>
      </c>
      <c r="E2340" s="257" t="s">
        <v>6209</v>
      </c>
      <c r="F2340" s="257" t="s">
        <v>6244</v>
      </c>
      <c r="G2340" s="257" t="s">
        <v>6245</v>
      </c>
    </row>
    <row r="2341" customHeight="1" spans="4:7">
      <c r="D2341" s="256">
        <v>46017</v>
      </c>
      <c r="E2341" s="257" t="s">
        <v>6209</v>
      </c>
      <c r="F2341" s="257" t="s">
        <v>6246</v>
      </c>
      <c r="G2341" s="257" t="s">
        <v>6247</v>
      </c>
    </row>
    <row r="2342" customHeight="1" spans="4:7">
      <c r="D2342" s="256">
        <v>46017</v>
      </c>
      <c r="E2342" s="257" t="s">
        <v>6209</v>
      </c>
      <c r="F2342" s="257" t="s">
        <v>6248</v>
      </c>
      <c r="G2342" s="257" t="s">
        <v>4605</v>
      </c>
    </row>
    <row r="2343" customHeight="1" spans="4:7">
      <c r="D2343" s="256">
        <v>46017</v>
      </c>
      <c r="E2343" s="257" t="s">
        <v>6209</v>
      </c>
      <c r="F2343" s="257" t="s">
        <v>6249</v>
      </c>
      <c r="G2343" s="257" t="s">
        <v>6250</v>
      </c>
    </row>
    <row r="2344" customHeight="1" spans="4:7">
      <c r="D2344" s="256">
        <v>46017</v>
      </c>
      <c r="E2344" s="257" t="s">
        <v>6209</v>
      </c>
      <c r="F2344" s="257" t="s">
        <v>6251</v>
      </c>
      <c r="G2344" s="257" t="s">
        <v>2753</v>
      </c>
    </row>
    <row r="2345" customHeight="1" spans="4:7">
      <c r="D2345" s="256">
        <v>46017</v>
      </c>
      <c r="E2345" s="257" t="s">
        <v>6209</v>
      </c>
      <c r="F2345" s="257" t="s">
        <v>6252</v>
      </c>
      <c r="G2345" s="257" t="s">
        <v>3230</v>
      </c>
    </row>
    <row r="2346" customHeight="1" spans="4:7">
      <c r="D2346" s="256">
        <v>46017</v>
      </c>
      <c r="E2346" s="257" t="s">
        <v>6209</v>
      </c>
      <c r="F2346" s="257" t="s">
        <v>6253</v>
      </c>
      <c r="G2346" s="257" t="s">
        <v>6254</v>
      </c>
    </row>
    <row r="2347" customHeight="1" spans="4:7">
      <c r="D2347" s="256">
        <v>46017</v>
      </c>
      <c r="E2347" s="257" t="s">
        <v>6209</v>
      </c>
      <c r="F2347" s="257" t="s">
        <v>6255</v>
      </c>
      <c r="G2347" s="257" t="s">
        <v>6256</v>
      </c>
    </row>
    <row r="2348" customHeight="1" spans="4:7">
      <c r="D2348" s="256">
        <v>46017</v>
      </c>
      <c r="E2348" s="257" t="s">
        <v>6209</v>
      </c>
      <c r="F2348" s="257" t="s">
        <v>6257</v>
      </c>
      <c r="G2348" s="257" t="s">
        <v>6258</v>
      </c>
    </row>
    <row r="2349" customHeight="1" spans="4:7">
      <c r="D2349" s="256">
        <v>46017</v>
      </c>
      <c r="E2349" s="257" t="s">
        <v>6209</v>
      </c>
      <c r="F2349" s="257" t="s">
        <v>6259</v>
      </c>
      <c r="G2349" s="257" t="s">
        <v>6260</v>
      </c>
    </row>
    <row r="2350" customHeight="1" spans="4:7">
      <c r="D2350" s="256">
        <v>46017</v>
      </c>
      <c r="E2350" s="257" t="s">
        <v>6209</v>
      </c>
      <c r="F2350" s="257" t="s">
        <v>6261</v>
      </c>
      <c r="G2350" s="257" t="s">
        <v>6262</v>
      </c>
    </row>
    <row r="2351" customHeight="1" spans="4:7">
      <c r="D2351" s="256">
        <v>46017</v>
      </c>
      <c r="E2351" s="257" t="s">
        <v>6209</v>
      </c>
      <c r="F2351" s="257" t="s">
        <v>6263</v>
      </c>
      <c r="G2351" s="257" t="s">
        <v>6264</v>
      </c>
    </row>
    <row r="2352" customHeight="1" spans="4:7">
      <c r="D2352" s="256">
        <v>46017</v>
      </c>
      <c r="E2352" s="257" t="s">
        <v>6209</v>
      </c>
      <c r="F2352" s="257" t="s">
        <v>6265</v>
      </c>
      <c r="G2352" s="257" t="s">
        <v>6266</v>
      </c>
    </row>
    <row r="2353" customHeight="1" spans="4:7">
      <c r="D2353" s="256">
        <v>46017</v>
      </c>
      <c r="E2353" s="257" t="s">
        <v>6209</v>
      </c>
      <c r="F2353" s="257" t="s">
        <v>6267</v>
      </c>
      <c r="G2353" s="257" t="s">
        <v>6268</v>
      </c>
    </row>
    <row r="2354" customHeight="1" spans="4:7">
      <c r="D2354" s="256">
        <v>46017</v>
      </c>
      <c r="E2354" s="257" t="s">
        <v>6209</v>
      </c>
      <c r="F2354" s="257" t="s">
        <v>6269</v>
      </c>
      <c r="G2354" s="257" t="s">
        <v>2599</v>
      </c>
    </row>
    <row r="2355" customHeight="1" spans="4:7">
      <c r="D2355" s="256">
        <v>46017</v>
      </c>
      <c r="E2355" s="257" t="s">
        <v>6209</v>
      </c>
      <c r="F2355" s="257" t="s">
        <v>6270</v>
      </c>
      <c r="G2355" s="257" t="s">
        <v>6271</v>
      </c>
    </row>
    <row r="2356" customHeight="1" spans="4:7">
      <c r="D2356" s="256">
        <v>46017</v>
      </c>
      <c r="E2356" s="257" t="s">
        <v>6209</v>
      </c>
      <c r="F2356" s="257" t="s">
        <v>6272</v>
      </c>
      <c r="G2356" s="257" t="s">
        <v>2525</v>
      </c>
    </row>
    <row r="2357" customHeight="1" spans="4:7">
      <c r="D2357" s="256">
        <v>46017</v>
      </c>
      <c r="E2357" s="257" t="s">
        <v>6209</v>
      </c>
      <c r="F2357" s="257" t="s">
        <v>6273</v>
      </c>
      <c r="G2357" s="257" t="s">
        <v>6274</v>
      </c>
    </row>
    <row r="2358" customHeight="1" spans="4:7">
      <c r="D2358" s="256">
        <v>46017</v>
      </c>
      <c r="E2358" s="257" t="s">
        <v>6209</v>
      </c>
      <c r="F2358" s="257" t="s">
        <v>6275</v>
      </c>
      <c r="G2358" s="257" t="s">
        <v>5483</v>
      </c>
    </row>
    <row r="2359" customHeight="1" spans="4:7">
      <c r="D2359" s="256">
        <v>46017</v>
      </c>
      <c r="E2359" s="257" t="s">
        <v>6209</v>
      </c>
      <c r="F2359" s="257" t="s">
        <v>6276</v>
      </c>
      <c r="G2359" s="257" t="s">
        <v>6277</v>
      </c>
    </row>
    <row r="2360" customHeight="1" spans="4:7">
      <c r="D2360" s="256">
        <v>46017</v>
      </c>
      <c r="E2360" s="257" t="s">
        <v>6209</v>
      </c>
      <c r="F2360" s="257" t="s">
        <v>6278</v>
      </c>
      <c r="G2360" s="257" t="s">
        <v>6279</v>
      </c>
    </row>
    <row r="2361" customHeight="1" spans="4:7">
      <c r="D2361" s="256">
        <v>46017</v>
      </c>
      <c r="E2361" s="257" t="s">
        <v>6209</v>
      </c>
      <c r="F2361" s="257" t="s">
        <v>6280</v>
      </c>
      <c r="G2361" s="257" t="s">
        <v>6281</v>
      </c>
    </row>
    <row r="2362" customHeight="1" spans="4:7">
      <c r="D2362" s="256">
        <v>46017</v>
      </c>
      <c r="E2362" s="257" t="s">
        <v>6209</v>
      </c>
      <c r="F2362" s="257" t="s">
        <v>6282</v>
      </c>
      <c r="G2362" s="257" t="s">
        <v>6283</v>
      </c>
    </row>
    <row r="2363" customHeight="1" spans="4:7">
      <c r="D2363" s="256">
        <v>46017</v>
      </c>
      <c r="E2363" s="257" t="s">
        <v>6209</v>
      </c>
      <c r="F2363" s="257" t="s">
        <v>6284</v>
      </c>
      <c r="G2363" s="257" t="s">
        <v>2539</v>
      </c>
    </row>
    <row r="2364" customHeight="1" spans="4:7">
      <c r="D2364" s="256">
        <v>46017</v>
      </c>
      <c r="E2364" s="257" t="s">
        <v>6209</v>
      </c>
      <c r="F2364" s="257" t="s">
        <v>6285</v>
      </c>
      <c r="G2364" s="257" t="s">
        <v>2740</v>
      </c>
    </row>
    <row r="2365" customHeight="1" spans="4:7">
      <c r="D2365" s="256">
        <v>46017</v>
      </c>
      <c r="E2365" s="257" t="s">
        <v>6209</v>
      </c>
      <c r="F2365" s="257" t="s">
        <v>6286</v>
      </c>
      <c r="G2365" s="257" t="s">
        <v>6287</v>
      </c>
    </row>
    <row r="2366" customHeight="1" spans="4:7">
      <c r="D2366" s="256">
        <v>46017</v>
      </c>
      <c r="E2366" s="257" t="s">
        <v>6209</v>
      </c>
      <c r="F2366" s="257" t="s">
        <v>6288</v>
      </c>
      <c r="G2366" s="257" t="s">
        <v>6289</v>
      </c>
    </row>
    <row r="2367" customHeight="1" spans="4:7">
      <c r="D2367" s="256">
        <v>51021</v>
      </c>
      <c r="E2367" s="257" t="s">
        <v>6290</v>
      </c>
      <c r="F2367" s="257" t="s">
        <v>6291</v>
      </c>
      <c r="G2367" s="257" t="s">
        <v>6292</v>
      </c>
    </row>
    <row r="2368" customHeight="1" spans="4:7">
      <c r="D2368" s="256">
        <v>51021</v>
      </c>
      <c r="E2368" s="257" t="s">
        <v>6290</v>
      </c>
      <c r="F2368" s="257" t="s">
        <v>6293</v>
      </c>
      <c r="G2368" s="257" t="s">
        <v>6294</v>
      </c>
    </row>
    <row r="2369" customHeight="1" spans="4:7">
      <c r="D2369" s="256">
        <v>51021</v>
      </c>
      <c r="E2369" s="257" t="s">
        <v>6290</v>
      </c>
      <c r="F2369" s="257" t="s">
        <v>6295</v>
      </c>
      <c r="G2369" s="257" t="s">
        <v>6296</v>
      </c>
    </row>
    <row r="2370" customHeight="1" spans="4:7">
      <c r="D2370" s="256">
        <v>51021</v>
      </c>
      <c r="E2370" s="257" t="s">
        <v>6290</v>
      </c>
      <c r="F2370" s="257" t="s">
        <v>6297</v>
      </c>
      <c r="G2370" s="257" t="s">
        <v>4605</v>
      </c>
    </row>
    <row r="2371" customHeight="1" spans="4:7">
      <c r="D2371" s="256">
        <v>51021</v>
      </c>
      <c r="E2371" s="257" t="s">
        <v>6290</v>
      </c>
      <c r="F2371" s="257" t="s">
        <v>6298</v>
      </c>
      <c r="G2371" s="257" t="s">
        <v>6299</v>
      </c>
    </row>
    <row r="2372" customHeight="1" spans="4:7">
      <c r="D2372" s="256">
        <v>51021</v>
      </c>
      <c r="E2372" s="257" t="s">
        <v>6290</v>
      </c>
      <c r="F2372" s="257" t="s">
        <v>6300</v>
      </c>
      <c r="G2372" s="257" t="s">
        <v>5524</v>
      </c>
    </row>
    <row r="2373" customHeight="1" spans="4:7">
      <c r="D2373" s="256">
        <v>51021</v>
      </c>
      <c r="E2373" s="257" t="s">
        <v>6290</v>
      </c>
      <c r="F2373" s="257" t="s">
        <v>6301</v>
      </c>
      <c r="G2373" s="257" t="s">
        <v>6302</v>
      </c>
    </row>
    <row r="2374" customHeight="1" spans="4:7">
      <c r="D2374" s="256">
        <v>51021</v>
      </c>
      <c r="E2374" s="257" t="s">
        <v>6290</v>
      </c>
      <c r="F2374" s="257" t="s">
        <v>6303</v>
      </c>
      <c r="G2374" s="257" t="s">
        <v>6304</v>
      </c>
    </row>
    <row r="2375" customHeight="1" spans="4:7">
      <c r="D2375" s="256">
        <v>51021</v>
      </c>
      <c r="E2375" s="257" t="s">
        <v>6290</v>
      </c>
      <c r="F2375" s="257" t="s">
        <v>6305</v>
      </c>
      <c r="G2375" s="257" t="s">
        <v>6306</v>
      </c>
    </row>
    <row r="2376" customHeight="1" spans="4:7">
      <c r="D2376" s="256">
        <v>51021</v>
      </c>
      <c r="E2376" s="257" t="s">
        <v>6290</v>
      </c>
      <c r="F2376" s="257" t="s">
        <v>6307</v>
      </c>
      <c r="G2376" s="257" t="s">
        <v>6308</v>
      </c>
    </row>
    <row r="2377" customHeight="1" spans="4:7">
      <c r="D2377" s="256">
        <v>51021</v>
      </c>
      <c r="E2377" s="257" t="s">
        <v>6290</v>
      </c>
      <c r="F2377" s="257" t="s">
        <v>6309</v>
      </c>
      <c r="G2377" s="257" t="s">
        <v>2387</v>
      </c>
    </row>
    <row r="2378" customHeight="1" spans="4:7">
      <c r="D2378" s="256">
        <v>51021</v>
      </c>
      <c r="E2378" s="257" t="s">
        <v>6290</v>
      </c>
      <c r="F2378" s="257" t="s">
        <v>6310</v>
      </c>
      <c r="G2378" s="257" t="s">
        <v>6311</v>
      </c>
    </row>
    <row r="2379" customHeight="1" spans="4:7">
      <c r="D2379" s="256">
        <v>53013</v>
      </c>
      <c r="E2379" s="257" t="s">
        <v>6312</v>
      </c>
      <c r="F2379" s="257" t="s">
        <v>6313</v>
      </c>
      <c r="G2379" s="257" t="s">
        <v>6314</v>
      </c>
    </row>
    <row r="2380" customHeight="1" spans="4:7">
      <c r="D2380" s="256">
        <v>53013</v>
      </c>
      <c r="E2380" s="257" t="s">
        <v>6312</v>
      </c>
      <c r="F2380" s="257" t="s">
        <v>6315</v>
      </c>
      <c r="G2380" s="257" t="s">
        <v>6316</v>
      </c>
    </row>
    <row r="2381" customHeight="1" spans="4:7">
      <c r="D2381" s="256">
        <v>53013</v>
      </c>
      <c r="E2381" s="257" t="s">
        <v>6312</v>
      </c>
      <c r="F2381" s="257" t="s">
        <v>6317</v>
      </c>
      <c r="G2381" s="257" t="s">
        <v>6318</v>
      </c>
    </row>
    <row r="2382" customHeight="1" spans="4:7">
      <c r="D2382" s="256">
        <v>53013</v>
      </c>
      <c r="E2382" s="257" t="s">
        <v>6312</v>
      </c>
      <c r="F2382" s="257" t="s">
        <v>6319</v>
      </c>
      <c r="G2382" s="257" t="s">
        <v>6320</v>
      </c>
    </row>
    <row r="2383" customHeight="1" spans="4:7">
      <c r="D2383" s="256">
        <v>53013</v>
      </c>
      <c r="E2383" s="257" t="s">
        <v>6312</v>
      </c>
      <c r="F2383" s="257" t="s">
        <v>6321</v>
      </c>
      <c r="G2383" s="257" t="s">
        <v>6322</v>
      </c>
    </row>
    <row r="2384" customHeight="1" spans="4:7">
      <c r="D2384" s="256">
        <v>53013</v>
      </c>
      <c r="E2384" s="257" t="s">
        <v>6312</v>
      </c>
      <c r="F2384" s="257" t="s">
        <v>6323</v>
      </c>
      <c r="G2384" s="257" t="s">
        <v>6324</v>
      </c>
    </row>
    <row r="2385" customHeight="1" spans="4:7">
      <c r="D2385" s="256">
        <v>53013</v>
      </c>
      <c r="E2385" s="257" t="s">
        <v>6312</v>
      </c>
      <c r="F2385" s="257" t="s">
        <v>6325</v>
      </c>
      <c r="G2385" s="257" t="s">
        <v>6326</v>
      </c>
    </row>
    <row r="2386" customHeight="1" spans="4:7">
      <c r="D2386" s="256">
        <v>53013</v>
      </c>
      <c r="E2386" s="257" t="s">
        <v>6312</v>
      </c>
      <c r="F2386" s="257" t="s">
        <v>6327</v>
      </c>
      <c r="G2386" s="257" t="s">
        <v>1960</v>
      </c>
    </row>
    <row r="2387" customHeight="1" spans="4:7">
      <c r="D2387" s="256">
        <v>53013</v>
      </c>
      <c r="E2387" s="257" t="s">
        <v>6312</v>
      </c>
      <c r="F2387" s="257" t="s">
        <v>6328</v>
      </c>
      <c r="G2387" s="257" t="s">
        <v>6329</v>
      </c>
    </row>
    <row r="2388" customHeight="1" spans="4:7">
      <c r="D2388" s="256">
        <v>53014</v>
      </c>
      <c r="E2388" s="257" t="s">
        <v>6330</v>
      </c>
      <c r="F2388" s="257" t="s">
        <v>6331</v>
      </c>
      <c r="G2388" s="257" t="s">
        <v>2803</v>
      </c>
    </row>
    <row r="2389" customHeight="1" spans="4:7">
      <c r="D2389" s="256">
        <v>53014</v>
      </c>
      <c r="E2389" s="257" t="s">
        <v>6330</v>
      </c>
      <c r="F2389" s="257" t="s">
        <v>6332</v>
      </c>
      <c r="G2389" s="257" t="s">
        <v>6333</v>
      </c>
    </row>
    <row r="2390" customHeight="1" spans="4:7">
      <c r="D2390" s="256">
        <v>53014</v>
      </c>
      <c r="E2390" s="257" t="s">
        <v>6330</v>
      </c>
      <c r="F2390" s="257" t="s">
        <v>6334</v>
      </c>
      <c r="G2390" s="257" t="s">
        <v>6335</v>
      </c>
    </row>
    <row r="2391" customHeight="1" spans="4:7">
      <c r="D2391" s="256">
        <v>53014</v>
      </c>
      <c r="E2391" s="257" t="s">
        <v>6330</v>
      </c>
      <c r="F2391" s="257" t="s">
        <v>6336</v>
      </c>
      <c r="G2391" s="257" t="s">
        <v>3934</v>
      </c>
    </row>
    <row r="2392" customHeight="1" spans="4:7">
      <c r="D2392" s="256">
        <v>53014</v>
      </c>
      <c r="E2392" s="257" t="s">
        <v>6330</v>
      </c>
      <c r="F2392" s="257" t="s">
        <v>6337</v>
      </c>
      <c r="G2392" s="257" t="s">
        <v>6338</v>
      </c>
    </row>
    <row r="2393" customHeight="1" spans="4:7">
      <c r="D2393" s="256">
        <v>53014</v>
      </c>
      <c r="E2393" s="257" t="s">
        <v>6330</v>
      </c>
      <c r="F2393" s="257" t="s">
        <v>6339</v>
      </c>
      <c r="G2393" s="257" t="s">
        <v>6340</v>
      </c>
    </row>
    <row r="2394" customHeight="1" spans="4:7">
      <c r="D2394" s="256">
        <v>53014</v>
      </c>
      <c r="E2394" s="257" t="s">
        <v>6330</v>
      </c>
      <c r="F2394" s="257" t="s">
        <v>6341</v>
      </c>
      <c r="G2394" s="257" t="s">
        <v>6342</v>
      </c>
    </row>
    <row r="2395" customHeight="1" spans="4:7">
      <c r="D2395" s="256">
        <v>53014</v>
      </c>
      <c r="E2395" s="257" t="s">
        <v>6330</v>
      </c>
      <c r="F2395" s="257" t="s">
        <v>6343</v>
      </c>
      <c r="G2395" s="257" t="s">
        <v>6344</v>
      </c>
    </row>
    <row r="2396" customHeight="1" spans="4:7">
      <c r="D2396" s="256">
        <v>53014</v>
      </c>
      <c r="E2396" s="257" t="s">
        <v>6330</v>
      </c>
      <c r="F2396" s="257" t="s">
        <v>6345</v>
      </c>
      <c r="G2396" s="257" t="s">
        <v>6346</v>
      </c>
    </row>
    <row r="2397" customHeight="1" spans="4:7">
      <c r="D2397" s="256">
        <v>53014</v>
      </c>
      <c r="E2397" s="257" t="s">
        <v>6330</v>
      </c>
      <c r="F2397" s="257" t="s">
        <v>6347</v>
      </c>
      <c r="G2397" s="257" t="s">
        <v>6348</v>
      </c>
    </row>
    <row r="2398" customHeight="1" spans="4:7">
      <c r="D2398" s="256">
        <v>53014</v>
      </c>
      <c r="E2398" s="257" t="s">
        <v>6330</v>
      </c>
      <c r="F2398" s="257" t="s">
        <v>6349</v>
      </c>
      <c r="G2398" s="257" t="s">
        <v>6350</v>
      </c>
    </row>
    <row r="2399" customHeight="1" spans="4:7">
      <c r="D2399" s="256">
        <v>53014</v>
      </c>
      <c r="E2399" s="257" t="s">
        <v>6330</v>
      </c>
      <c r="F2399" s="257" t="s">
        <v>6351</v>
      </c>
      <c r="G2399" s="257" t="s">
        <v>6352</v>
      </c>
    </row>
    <row r="2400" customHeight="1" spans="4:7">
      <c r="D2400" s="256">
        <v>49010</v>
      </c>
      <c r="E2400" s="257" t="s">
        <v>6353</v>
      </c>
      <c r="F2400" s="257" t="s">
        <v>6354</v>
      </c>
      <c r="G2400" s="257" t="s">
        <v>6355</v>
      </c>
    </row>
    <row r="2401" customHeight="1" spans="4:7">
      <c r="D2401" s="256">
        <v>49010</v>
      </c>
      <c r="E2401" s="257" t="s">
        <v>6353</v>
      </c>
      <c r="F2401" s="257" t="s">
        <v>6356</v>
      </c>
      <c r="G2401" s="257" t="s">
        <v>6357</v>
      </c>
    </row>
    <row r="2402" customHeight="1" spans="4:7">
      <c r="D2402" s="256">
        <v>49010</v>
      </c>
      <c r="E2402" s="257" t="s">
        <v>6353</v>
      </c>
      <c r="F2402" s="257" t="s">
        <v>6358</v>
      </c>
      <c r="G2402" s="257" t="s">
        <v>6359</v>
      </c>
    </row>
    <row r="2403" customHeight="1" spans="4:7">
      <c r="D2403" s="256">
        <v>49010</v>
      </c>
      <c r="E2403" s="257" t="s">
        <v>6353</v>
      </c>
      <c r="F2403" s="257" t="s">
        <v>6360</v>
      </c>
      <c r="G2403" s="257" t="s">
        <v>6361</v>
      </c>
    </row>
    <row r="2404" customHeight="1" spans="4:7">
      <c r="D2404" s="256">
        <v>49010</v>
      </c>
      <c r="E2404" s="257" t="s">
        <v>6353</v>
      </c>
      <c r="F2404" s="257" t="s">
        <v>6362</v>
      </c>
      <c r="G2404" s="257" t="s">
        <v>6363</v>
      </c>
    </row>
    <row r="2405" customHeight="1" spans="4:7">
      <c r="D2405" s="256">
        <v>49010</v>
      </c>
      <c r="E2405" s="257" t="s">
        <v>6353</v>
      </c>
      <c r="F2405" s="257" t="s">
        <v>6364</v>
      </c>
      <c r="G2405" s="257" t="s">
        <v>6365</v>
      </c>
    </row>
    <row r="2406" customHeight="1" spans="4:7">
      <c r="D2406" s="256">
        <v>49010</v>
      </c>
      <c r="E2406" s="257" t="s">
        <v>6353</v>
      </c>
      <c r="F2406" s="257" t="s">
        <v>6366</v>
      </c>
      <c r="G2406" s="257" t="s">
        <v>6367</v>
      </c>
    </row>
    <row r="2407" customHeight="1" spans="4:7">
      <c r="D2407" s="256">
        <v>49010</v>
      </c>
      <c r="E2407" s="257" t="s">
        <v>6353</v>
      </c>
      <c r="F2407" s="257" t="s">
        <v>6368</v>
      </c>
      <c r="G2407" s="257" t="s">
        <v>3004</v>
      </c>
    </row>
    <row r="2408" customHeight="1" spans="4:7">
      <c r="D2408" s="256">
        <v>49010</v>
      </c>
      <c r="E2408" s="257" t="s">
        <v>6353</v>
      </c>
      <c r="F2408" s="257" t="s">
        <v>6369</v>
      </c>
      <c r="G2408" s="257" t="s">
        <v>2975</v>
      </c>
    </row>
    <row r="2409" customHeight="1" spans="4:7">
      <c r="D2409" s="256">
        <v>49010</v>
      </c>
      <c r="E2409" s="257" t="s">
        <v>6353</v>
      </c>
      <c r="F2409" s="257" t="s">
        <v>6370</v>
      </c>
      <c r="G2409" s="257" t="s">
        <v>6371</v>
      </c>
    </row>
    <row r="2410" customHeight="1" spans="4:7">
      <c r="D2410" s="256">
        <v>49010</v>
      </c>
      <c r="E2410" s="257" t="s">
        <v>6353</v>
      </c>
      <c r="F2410" s="257" t="s">
        <v>6372</v>
      </c>
      <c r="G2410" s="257" t="s">
        <v>6373</v>
      </c>
    </row>
    <row r="2411" customHeight="1" spans="4:7">
      <c r="D2411" s="256">
        <v>49011</v>
      </c>
      <c r="E2411" s="257" t="s">
        <v>6374</v>
      </c>
      <c r="F2411" s="257" t="s">
        <v>6375</v>
      </c>
      <c r="G2411" s="257" t="s">
        <v>6376</v>
      </c>
    </row>
    <row r="2412" customHeight="1" spans="4:7">
      <c r="D2412" s="256">
        <v>49011</v>
      </c>
      <c r="E2412" s="257" t="s">
        <v>6374</v>
      </c>
      <c r="F2412" s="257" t="s">
        <v>6377</v>
      </c>
      <c r="G2412" s="257" t="s">
        <v>6378</v>
      </c>
    </row>
    <row r="2413" customHeight="1" spans="4:7">
      <c r="D2413" s="256">
        <v>49011</v>
      </c>
      <c r="E2413" s="257" t="s">
        <v>6374</v>
      </c>
      <c r="F2413" s="257" t="s">
        <v>6379</v>
      </c>
      <c r="G2413" s="257" t="s">
        <v>6380</v>
      </c>
    </row>
    <row r="2414" customHeight="1" spans="4:7">
      <c r="D2414" s="256">
        <v>49011</v>
      </c>
      <c r="E2414" s="257" t="s">
        <v>6374</v>
      </c>
      <c r="F2414" s="257" t="s">
        <v>6381</v>
      </c>
      <c r="G2414" s="257" t="s">
        <v>6382</v>
      </c>
    </row>
    <row r="2415" customHeight="1" spans="4:7">
      <c r="D2415" s="256">
        <v>51022</v>
      </c>
      <c r="E2415" s="257" t="s">
        <v>6383</v>
      </c>
      <c r="F2415" s="257" t="s">
        <v>6384</v>
      </c>
      <c r="G2415" s="257" t="s">
        <v>6385</v>
      </c>
    </row>
    <row r="2416" customHeight="1" spans="4:7">
      <c r="D2416" s="256">
        <v>51022</v>
      </c>
      <c r="E2416" s="257" t="s">
        <v>6383</v>
      </c>
      <c r="F2416" s="257" t="s">
        <v>6386</v>
      </c>
      <c r="G2416" s="257" t="s">
        <v>4930</v>
      </c>
    </row>
    <row r="2417" customHeight="1" spans="4:7">
      <c r="D2417" s="256">
        <v>51022</v>
      </c>
      <c r="E2417" s="257" t="s">
        <v>6383</v>
      </c>
      <c r="F2417" s="257" t="s">
        <v>6387</v>
      </c>
      <c r="G2417" s="257" t="s">
        <v>6388</v>
      </c>
    </row>
    <row r="2418" customHeight="1" spans="4:7">
      <c r="D2418" s="256">
        <v>51022</v>
      </c>
      <c r="E2418" s="257" t="s">
        <v>6383</v>
      </c>
      <c r="F2418" s="257" t="s">
        <v>6389</v>
      </c>
      <c r="G2418" s="257" t="s">
        <v>6390</v>
      </c>
    </row>
    <row r="2419" customHeight="1" spans="4:7">
      <c r="D2419" s="256">
        <v>51022</v>
      </c>
      <c r="E2419" s="257" t="s">
        <v>6383</v>
      </c>
      <c r="F2419" s="257" t="s">
        <v>6391</v>
      </c>
      <c r="G2419" s="257" t="s">
        <v>6392</v>
      </c>
    </row>
    <row r="2420" customHeight="1" spans="4:7">
      <c r="D2420" s="256">
        <v>51022</v>
      </c>
      <c r="E2420" s="257" t="s">
        <v>6383</v>
      </c>
      <c r="F2420" s="257" t="s">
        <v>6393</v>
      </c>
      <c r="G2420" s="257" t="s">
        <v>2425</v>
      </c>
    </row>
    <row r="2421" customHeight="1" spans="4:7">
      <c r="D2421" s="256">
        <v>51022</v>
      </c>
      <c r="E2421" s="257" t="s">
        <v>6383</v>
      </c>
      <c r="F2421" s="257" t="s">
        <v>6394</v>
      </c>
      <c r="G2421" s="257" t="s">
        <v>6395</v>
      </c>
    </row>
    <row r="2422" customHeight="1" spans="4:7">
      <c r="D2422" s="256">
        <v>51022</v>
      </c>
      <c r="E2422" s="257" t="s">
        <v>6383</v>
      </c>
      <c r="F2422" s="257" t="s">
        <v>6396</v>
      </c>
      <c r="G2422" s="257" t="s">
        <v>5887</v>
      </c>
    </row>
    <row r="2423" customHeight="1" spans="4:7">
      <c r="D2423" s="256">
        <v>51022</v>
      </c>
      <c r="E2423" s="257" t="s">
        <v>6383</v>
      </c>
      <c r="F2423" s="257" t="s">
        <v>6397</v>
      </c>
      <c r="G2423" s="257" t="s">
        <v>6398</v>
      </c>
    </row>
    <row r="2424" customHeight="1" spans="4:7">
      <c r="D2424" s="256">
        <v>47007</v>
      </c>
      <c r="E2424" s="257" t="s">
        <v>6399</v>
      </c>
      <c r="F2424" s="257" t="s">
        <v>6400</v>
      </c>
      <c r="G2424" s="257" t="s">
        <v>6401</v>
      </c>
    </row>
    <row r="2425" customHeight="1" spans="4:7">
      <c r="D2425" s="256">
        <v>47007</v>
      </c>
      <c r="E2425" s="257" t="s">
        <v>6399</v>
      </c>
      <c r="F2425" s="257" t="s">
        <v>6402</v>
      </c>
      <c r="G2425" s="257" t="s">
        <v>6403</v>
      </c>
    </row>
    <row r="2426" customHeight="1" spans="4:7">
      <c r="D2426" s="256">
        <v>47007</v>
      </c>
      <c r="E2426" s="257" t="s">
        <v>6399</v>
      </c>
      <c r="F2426" s="257" t="s">
        <v>6404</v>
      </c>
      <c r="G2426" s="257" t="s">
        <v>6405</v>
      </c>
    </row>
    <row r="2427" customHeight="1" spans="4:7">
      <c r="D2427" s="256">
        <v>47007</v>
      </c>
      <c r="E2427" s="257" t="s">
        <v>6399</v>
      </c>
      <c r="F2427" s="257" t="s">
        <v>6406</v>
      </c>
      <c r="G2427" s="257" t="s">
        <v>6407</v>
      </c>
    </row>
    <row r="2428" customHeight="1" spans="4:7">
      <c r="D2428" s="256">
        <v>47007</v>
      </c>
      <c r="E2428" s="257" t="s">
        <v>6399</v>
      </c>
      <c r="F2428" s="257" t="s">
        <v>6408</v>
      </c>
      <c r="G2428" s="257" t="s">
        <v>6409</v>
      </c>
    </row>
    <row r="2429" customHeight="1" spans="4:7">
      <c r="D2429" s="256">
        <v>47007</v>
      </c>
      <c r="E2429" s="257" t="s">
        <v>6399</v>
      </c>
      <c r="F2429" s="257" t="s">
        <v>6410</v>
      </c>
      <c r="G2429" s="257" t="s">
        <v>6411</v>
      </c>
    </row>
    <row r="2430" customHeight="1" spans="4:7">
      <c r="D2430" s="256">
        <v>47007</v>
      </c>
      <c r="E2430" s="257" t="s">
        <v>6399</v>
      </c>
      <c r="F2430" s="257" t="s">
        <v>6412</v>
      </c>
      <c r="G2430" s="257" t="s">
        <v>6413</v>
      </c>
    </row>
    <row r="2431" customHeight="1" spans="4:7">
      <c r="D2431" s="256">
        <v>47007</v>
      </c>
      <c r="E2431" s="257" t="s">
        <v>6399</v>
      </c>
      <c r="F2431" s="257" t="s">
        <v>6414</v>
      </c>
      <c r="G2431" s="257" t="s">
        <v>6415</v>
      </c>
    </row>
    <row r="2432" customHeight="1" spans="4:7">
      <c r="D2432" s="256">
        <v>47007</v>
      </c>
      <c r="E2432" s="257" t="s">
        <v>6399</v>
      </c>
      <c r="F2432" s="257" t="s">
        <v>6416</v>
      </c>
      <c r="G2432" s="257" t="s">
        <v>6417</v>
      </c>
    </row>
    <row r="2433" customHeight="1" spans="4:7">
      <c r="D2433" s="256">
        <v>47007</v>
      </c>
      <c r="E2433" s="257" t="s">
        <v>6399</v>
      </c>
      <c r="F2433" s="257" t="s">
        <v>6418</v>
      </c>
      <c r="G2433" s="257" t="s">
        <v>6419</v>
      </c>
    </row>
    <row r="2434" customHeight="1" spans="4:7">
      <c r="D2434" s="256">
        <v>47007</v>
      </c>
      <c r="E2434" s="257" t="s">
        <v>6399</v>
      </c>
      <c r="F2434" s="257" t="s">
        <v>6420</v>
      </c>
      <c r="G2434" s="257" t="s">
        <v>6421</v>
      </c>
    </row>
    <row r="2435" customHeight="1" spans="4:7">
      <c r="D2435" s="256">
        <v>47007</v>
      </c>
      <c r="E2435" s="257" t="s">
        <v>6399</v>
      </c>
      <c r="F2435" s="257" t="s">
        <v>6422</v>
      </c>
      <c r="G2435" s="257" t="s">
        <v>6423</v>
      </c>
    </row>
    <row r="2436" customHeight="1" spans="4:7">
      <c r="D2436" s="256">
        <v>47007</v>
      </c>
      <c r="E2436" s="257" t="s">
        <v>6399</v>
      </c>
      <c r="F2436" s="257" t="s">
        <v>6424</v>
      </c>
      <c r="G2436" s="257" t="s">
        <v>6425</v>
      </c>
    </row>
    <row r="2437" customHeight="1" spans="4:7">
      <c r="D2437" s="256">
        <v>47007</v>
      </c>
      <c r="E2437" s="257" t="s">
        <v>6399</v>
      </c>
      <c r="F2437" s="257" t="s">
        <v>6426</v>
      </c>
      <c r="G2437" s="257" t="s">
        <v>6427</v>
      </c>
    </row>
    <row r="2438" customHeight="1" spans="4:7">
      <c r="D2438" s="256">
        <v>47007</v>
      </c>
      <c r="E2438" s="257" t="s">
        <v>6399</v>
      </c>
      <c r="F2438" s="257" t="s">
        <v>6428</v>
      </c>
      <c r="G2438" s="257" t="s">
        <v>6429</v>
      </c>
    </row>
    <row r="2439" customHeight="1" spans="4:7">
      <c r="D2439" s="256">
        <v>47007</v>
      </c>
      <c r="E2439" s="257" t="s">
        <v>6399</v>
      </c>
      <c r="F2439" s="257" t="s">
        <v>6430</v>
      </c>
      <c r="G2439" s="257" t="s">
        <v>6431</v>
      </c>
    </row>
    <row r="2440" customHeight="1" spans="4:7">
      <c r="D2440" s="256">
        <v>47007</v>
      </c>
      <c r="E2440" s="257" t="s">
        <v>6399</v>
      </c>
      <c r="F2440" s="257" t="s">
        <v>6432</v>
      </c>
      <c r="G2440" s="257" t="s">
        <v>6433</v>
      </c>
    </row>
    <row r="2441" customHeight="1" spans="4:7">
      <c r="D2441" s="256">
        <v>47007</v>
      </c>
      <c r="E2441" s="257" t="s">
        <v>6399</v>
      </c>
      <c r="F2441" s="257" t="s">
        <v>6434</v>
      </c>
      <c r="G2441" s="257" t="s">
        <v>6435</v>
      </c>
    </row>
    <row r="2442" customHeight="1" spans="4:7">
      <c r="D2442" s="256">
        <v>47007</v>
      </c>
      <c r="E2442" s="257" t="s">
        <v>6399</v>
      </c>
      <c r="F2442" s="257" t="s">
        <v>6436</v>
      </c>
      <c r="G2442" s="257" t="s">
        <v>6437</v>
      </c>
    </row>
    <row r="2443" customHeight="1" spans="4:7">
      <c r="D2443" s="256">
        <v>47007</v>
      </c>
      <c r="E2443" s="257" t="s">
        <v>6399</v>
      </c>
      <c r="F2443" s="257" t="s">
        <v>6438</v>
      </c>
      <c r="G2443" s="257" t="s">
        <v>6439</v>
      </c>
    </row>
    <row r="2444" customHeight="1" spans="4:7">
      <c r="D2444" s="256">
        <v>47007</v>
      </c>
      <c r="E2444" s="257" t="s">
        <v>6399</v>
      </c>
      <c r="F2444" s="257" t="s">
        <v>6440</v>
      </c>
      <c r="G2444" s="257" t="s">
        <v>6441</v>
      </c>
    </row>
    <row r="2445" customHeight="1" spans="4:7">
      <c r="D2445" s="256">
        <v>47007</v>
      </c>
      <c r="E2445" s="257" t="s">
        <v>6399</v>
      </c>
      <c r="F2445" s="257" t="s">
        <v>6442</v>
      </c>
      <c r="G2445" s="257" t="s">
        <v>6443</v>
      </c>
    </row>
    <row r="2446" customHeight="1" spans="4:7">
      <c r="D2446" s="256">
        <v>47007</v>
      </c>
      <c r="E2446" s="257" t="s">
        <v>6399</v>
      </c>
      <c r="F2446" s="257" t="s">
        <v>6444</v>
      </c>
      <c r="G2446" s="257" t="s">
        <v>6445</v>
      </c>
    </row>
    <row r="2447" customHeight="1" spans="4:7">
      <c r="D2447" s="256">
        <v>47007</v>
      </c>
      <c r="E2447" s="257" t="s">
        <v>6399</v>
      </c>
      <c r="F2447" s="257" t="s">
        <v>6446</v>
      </c>
      <c r="G2447" s="257" t="s">
        <v>6447</v>
      </c>
    </row>
    <row r="2448" customHeight="1" spans="4:7">
      <c r="D2448" s="256">
        <v>47007</v>
      </c>
      <c r="E2448" s="257" t="s">
        <v>6399</v>
      </c>
      <c r="F2448" s="257" t="s">
        <v>6448</v>
      </c>
      <c r="G2448" s="257" t="s">
        <v>6449</v>
      </c>
    </row>
    <row r="2449" customHeight="1" spans="4:7">
      <c r="D2449" s="256">
        <v>47007</v>
      </c>
      <c r="E2449" s="257" t="s">
        <v>6399</v>
      </c>
      <c r="F2449" s="257" t="s">
        <v>6450</v>
      </c>
      <c r="G2449" s="257" t="s">
        <v>6451</v>
      </c>
    </row>
    <row r="2450" customHeight="1" spans="4:7">
      <c r="D2450" s="256">
        <v>47007</v>
      </c>
      <c r="E2450" s="257" t="s">
        <v>6399</v>
      </c>
      <c r="F2450" s="257" t="s">
        <v>6452</v>
      </c>
      <c r="G2450" s="257" t="s">
        <v>6453</v>
      </c>
    </row>
    <row r="2451" customHeight="1" spans="4:7">
      <c r="D2451" s="256">
        <v>47007</v>
      </c>
      <c r="E2451" s="257" t="s">
        <v>6399</v>
      </c>
      <c r="F2451" s="257" t="s">
        <v>6454</v>
      </c>
      <c r="G2451" s="257" t="s">
        <v>2256</v>
      </c>
    </row>
    <row r="2452" customHeight="1" spans="4:7">
      <c r="D2452" s="256">
        <v>47007</v>
      </c>
      <c r="E2452" s="257" t="s">
        <v>6399</v>
      </c>
      <c r="F2452" s="257" t="s">
        <v>6455</v>
      </c>
      <c r="G2452" s="257" t="s">
        <v>6456</v>
      </c>
    </row>
    <row r="2453" customHeight="1" spans="4:7">
      <c r="D2453" s="256">
        <v>48026</v>
      </c>
      <c r="E2453" s="257" t="s">
        <v>6457</v>
      </c>
      <c r="F2453" s="257" t="s">
        <v>6458</v>
      </c>
      <c r="G2453" s="257" t="s">
        <v>6459</v>
      </c>
    </row>
    <row r="2454" customHeight="1" spans="4:7">
      <c r="D2454" s="256">
        <v>48026</v>
      </c>
      <c r="E2454" s="257" t="s">
        <v>6457</v>
      </c>
      <c r="F2454" s="257" t="s">
        <v>6460</v>
      </c>
      <c r="G2454" s="257" t="s">
        <v>6461</v>
      </c>
    </row>
    <row r="2455" customHeight="1" spans="4:7">
      <c r="D2455" s="256">
        <v>48026</v>
      </c>
      <c r="E2455" s="257" t="s">
        <v>6457</v>
      </c>
      <c r="F2455" s="257" t="s">
        <v>6462</v>
      </c>
      <c r="G2455" s="257" t="s">
        <v>6463</v>
      </c>
    </row>
    <row r="2456" customHeight="1" spans="4:7">
      <c r="D2456" s="256">
        <v>48026</v>
      </c>
      <c r="E2456" s="257" t="s">
        <v>6457</v>
      </c>
      <c r="F2456" s="257" t="s">
        <v>6464</v>
      </c>
      <c r="G2456" s="257" t="s">
        <v>6465</v>
      </c>
    </row>
    <row r="2457" customHeight="1" spans="4:7">
      <c r="D2457" s="256">
        <v>48026</v>
      </c>
      <c r="E2457" s="257" t="s">
        <v>6457</v>
      </c>
      <c r="F2457" s="257" t="s">
        <v>6466</v>
      </c>
      <c r="G2457" s="257" t="s">
        <v>6467</v>
      </c>
    </row>
    <row r="2458" customHeight="1" spans="4:7">
      <c r="D2458" s="256">
        <v>48026</v>
      </c>
      <c r="E2458" s="257" t="s">
        <v>6457</v>
      </c>
      <c r="F2458" s="257" t="s">
        <v>6468</v>
      </c>
      <c r="G2458" s="257" t="s">
        <v>6469</v>
      </c>
    </row>
    <row r="2459" customHeight="1" spans="4:7">
      <c r="D2459" s="256">
        <v>48026</v>
      </c>
      <c r="E2459" s="257" t="s">
        <v>6457</v>
      </c>
      <c r="F2459" s="257" t="s">
        <v>6470</v>
      </c>
      <c r="G2459" s="257" t="s">
        <v>6471</v>
      </c>
    </row>
    <row r="2460" customHeight="1" spans="4:7">
      <c r="D2460" s="256">
        <v>48026</v>
      </c>
      <c r="E2460" s="257" t="s">
        <v>6457</v>
      </c>
      <c r="F2460" s="257" t="s">
        <v>6472</v>
      </c>
      <c r="G2460" s="257" t="s">
        <v>6473</v>
      </c>
    </row>
    <row r="2461" customHeight="1" spans="4:7">
      <c r="D2461" s="256">
        <v>48026</v>
      </c>
      <c r="E2461" s="257" t="s">
        <v>6457</v>
      </c>
      <c r="F2461" s="257" t="s">
        <v>6474</v>
      </c>
      <c r="G2461" s="257" t="s">
        <v>6475</v>
      </c>
    </row>
    <row r="2462" customHeight="1" spans="4:7">
      <c r="D2462" s="256">
        <v>48026</v>
      </c>
      <c r="E2462" s="257" t="s">
        <v>6457</v>
      </c>
      <c r="F2462" s="257" t="s">
        <v>6476</v>
      </c>
      <c r="G2462" s="257" t="s">
        <v>6477</v>
      </c>
    </row>
    <row r="2463" customHeight="1" spans="4:7">
      <c r="D2463" s="256">
        <v>48026</v>
      </c>
      <c r="E2463" s="257" t="s">
        <v>6457</v>
      </c>
      <c r="F2463" s="257" t="s">
        <v>6478</v>
      </c>
      <c r="G2463" s="257" t="s">
        <v>6479</v>
      </c>
    </row>
    <row r="2464" customHeight="1" spans="4:7">
      <c r="D2464" s="256">
        <v>45010</v>
      </c>
      <c r="E2464" s="257" t="s">
        <v>6480</v>
      </c>
      <c r="F2464" s="257" t="s">
        <v>6481</v>
      </c>
      <c r="G2464" s="257" t="s">
        <v>6482</v>
      </c>
    </row>
    <row r="2465" customHeight="1" spans="4:7">
      <c r="D2465" s="256">
        <v>45010</v>
      </c>
      <c r="E2465" s="257" t="s">
        <v>6480</v>
      </c>
      <c r="F2465" s="257" t="s">
        <v>6483</v>
      </c>
      <c r="G2465" s="257" t="s">
        <v>6484</v>
      </c>
    </row>
    <row r="2466" customHeight="1" spans="4:7">
      <c r="D2466" s="256">
        <v>45010</v>
      </c>
      <c r="E2466" s="257" t="s">
        <v>6480</v>
      </c>
      <c r="F2466" s="257" t="s">
        <v>6485</v>
      </c>
      <c r="G2466" s="257" t="s">
        <v>6486</v>
      </c>
    </row>
    <row r="2467" customHeight="1" spans="4:7">
      <c r="D2467" s="256">
        <v>45010</v>
      </c>
      <c r="E2467" s="257" t="s">
        <v>6480</v>
      </c>
      <c r="F2467" s="257" t="s">
        <v>6487</v>
      </c>
      <c r="G2467" s="257" t="s">
        <v>6488</v>
      </c>
    </row>
    <row r="2468" customHeight="1" spans="4:7">
      <c r="D2468" s="256">
        <v>45010</v>
      </c>
      <c r="E2468" s="257" t="s">
        <v>6480</v>
      </c>
      <c r="F2468" s="257" t="s">
        <v>6489</v>
      </c>
      <c r="G2468" s="257" t="s">
        <v>6490</v>
      </c>
    </row>
    <row r="2469" customHeight="1" spans="4:7">
      <c r="D2469" s="256">
        <v>45010</v>
      </c>
      <c r="E2469" s="257" t="s">
        <v>6480</v>
      </c>
      <c r="F2469" s="257" t="s">
        <v>6491</v>
      </c>
      <c r="G2469" s="257" t="s">
        <v>6492</v>
      </c>
    </row>
    <row r="2470" customHeight="1" spans="4:7">
      <c r="D2470" s="256">
        <v>45010</v>
      </c>
      <c r="E2470" s="257" t="s">
        <v>6480</v>
      </c>
      <c r="F2470" s="257" t="s">
        <v>6493</v>
      </c>
      <c r="G2470" s="257" t="s">
        <v>6494</v>
      </c>
    </row>
    <row r="2471" customHeight="1" spans="4:7">
      <c r="D2471" s="256">
        <v>45010</v>
      </c>
      <c r="E2471" s="257" t="s">
        <v>6480</v>
      </c>
      <c r="F2471" s="257" t="s">
        <v>6495</v>
      </c>
      <c r="G2471" s="257" t="s">
        <v>6496</v>
      </c>
    </row>
    <row r="2472" customHeight="1" spans="4:7">
      <c r="D2472" s="256">
        <v>45010</v>
      </c>
      <c r="E2472" s="257" t="s">
        <v>6480</v>
      </c>
      <c r="F2472" s="257" t="s">
        <v>6497</v>
      </c>
      <c r="G2472" s="257" t="s">
        <v>6498</v>
      </c>
    </row>
    <row r="2473" customHeight="1" spans="4:7">
      <c r="D2473" s="256">
        <v>45010</v>
      </c>
      <c r="E2473" s="257" t="s">
        <v>6480</v>
      </c>
      <c r="F2473" s="257" t="s">
        <v>6499</v>
      </c>
      <c r="G2473" s="257" t="s">
        <v>6500</v>
      </c>
    </row>
    <row r="2474" customHeight="1" spans="4:7">
      <c r="D2474" s="256">
        <v>45010</v>
      </c>
      <c r="E2474" s="257" t="s">
        <v>6480</v>
      </c>
      <c r="F2474" s="257" t="s">
        <v>6501</v>
      </c>
      <c r="G2474" s="257" t="s">
        <v>2888</v>
      </c>
    </row>
    <row r="2475" customHeight="1" spans="4:7">
      <c r="D2475" s="256">
        <v>45010</v>
      </c>
      <c r="E2475" s="257" t="s">
        <v>6480</v>
      </c>
      <c r="F2475" s="257" t="s">
        <v>6502</v>
      </c>
      <c r="G2475" s="257" t="s">
        <v>6503</v>
      </c>
    </row>
    <row r="2476" customHeight="1" spans="4:7">
      <c r="D2476" s="256">
        <v>45010</v>
      </c>
      <c r="E2476" s="257" t="s">
        <v>6480</v>
      </c>
      <c r="F2476" s="257" t="s">
        <v>6504</v>
      </c>
      <c r="G2476" s="257" t="s">
        <v>6505</v>
      </c>
    </row>
    <row r="2477" customHeight="1" spans="4:7">
      <c r="D2477" s="256">
        <v>45010</v>
      </c>
      <c r="E2477" s="257" t="s">
        <v>6480</v>
      </c>
      <c r="F2477" s="257" t="s">
        <v>6506</v>
      </c>
      <c r="G2477" s="257" t="s">
        <v>6507</v>
      </c>
    </row>
    <row r="2478" customHeight="1" spans="4:7">
      <c r="D2478" s="256">
        <v>45010</v>
      </c>
      <c r="E2478" s="257" t="s">
        <v>6480</v>
      </c>
      <c r="F2478" s="257" t="s">
        <v>6508</v>
      </c>
      <c r="G2478" s="257" t="s">
        <v>4076</v>
      </c>
    </row>
    <row r="2479" customHeight="1" spans="4:7">
      <c r="D2479" s="256">
        <v>45010</v>
      </c>
      <c r="E2479" s="257" t="s">
        <v>6480</v>
      </c>
      <c r="F2479" s="257" t="s">
        <v>6509</v>
      </c>
      <c r="G2479" s="257" t="s">
        <v>6510</v>
      </c>
    </row>
    <row r="2480" customHeight="1" spans="4:7">
      <c r="D2480" s="256">
        <v>45010</v>
      </c>
      <c r="E2480" s="257" t="s">
        <v>6480</v>
      </c>
      <c r="F2480" s="257" t="s">
        <v>6511</v>
      </c>
      <c r="G2480" s="257" t="s">
        <v>6512</v>
      </c>
    </row>
    <row r="2481" customHeight="1" spans="4:7">
      <c r="D2481" s="256">
        <v>45010</v>
      </c>
      <c r="E2481" s="257" t="s">
        <v>6480</v>
      </c>
      <c r="F2481" s="257" t="s">
        <v>6513</v>
      </c>
      <c r="G2481" s="257" t="s">
        <v>6514</v>
      </c>
    </row>
    <row r="2482" customHeight="1" spans="4:7">
      <c r="D2482" s="256">
        <v>45010</v>
      </c>
      <c r="E2482" s="257" t="s">
        <v>6480</v>
      </c>
      <c r="F2482" s="257" t="s">
        <v>6515</v>
      </c>
      <c r="G2482" s="257" t="s">
        <v>6516</v>
      </c>
    </row>
    <row r="2483" customHeight="1" spans="4:7">
      <c r="D2483" s="256">
        <v>45010</v>
      </c>
      <c r="E2483" s="257" t="s">
        <v>6480</v>
      </c>
      <c r="F2483" s="257" t="s">
        <v>6517</v>
      </c>
      <c r="G2483" s="257" t="s">
        <v>6518</v>
      </c>
    </row>
    <row r="2484" customHeight="1" spans="4:7">
      <c r="D2484" s="256">
        <v>45010</v>
      </c>
      <c r="E2484" s="257" t="s">
        <v>6480</v>
      </c>
      <c r="F2484" s="257" t="s">
        <v>6519</v>
      </c>
      <c r="G2484" s="257" t="s">
        <v>6520</v>
      </c>
    </row>
    <row r="2485" customHeight="1" spans="4:7">
      <c r="D2485" s="256">
        <v>47008</v>
      </c>
      <c r="E2485" s="257" t="s">
        <v>6521</v>
      </c>
      <c r="F2485" s="257" t="s">
        <v>6522</v>
      </c>
      <c r="G2485" s="257" t="s">
        <v>6523</v>
      </c>
    </row>
    <row r="2486" customHeight="1" spans="4:7">
      <c r="D2486" s="256">
        <v>47008</v>
      </c>
      <c r="E2486" s="257" t="s">
        <v>6521</v>
      </c>
      <c r="F2486" s="257" t="s">
        <v>6524</v>
      </c>
      <c r="G2486" s="257" t="s">
        <v>6525</v>
      </c>
    </row>
    <row r="2487" customHeight="1" spans="4:7">
      <c r="D2487" s="256">
        <v>47008</v>
      </c>
      <c r="E2487" s="257" t="s">
        <v>6521</v>
      </c>
      <c r="F2487" s="257" t="s">
        <v>6526</v>
      </c>
      <c r="G2487" s="257" t="s">
        <v>4971</v>
      </c>
    </row>
    <row r="2488" customHeight="1" spans="4:7">
      <c r="D2488" s="256">
        <v>47008</v>
      </c>
      <c r="E2488" s="257" t="s">
        <v>6521</v>
      </c>
      <c r="F2488" s="257" t="s">
        <v>6527</v>
      </c>
      <c r="G2488" s="257" t="s">
        <v>6528</v>
      </c>
    </row>
    <row r="2489" customHeight="1" spans="4:7">
      <c r="D2489" s="256">
        <v>47008</v>
      </c>
      <c r="E2489" s="257" t="s">
        <v>6521</v>
      </c>
      <c r="F2489" s="257" t="s">
        <v>6529</v>
      </c>
      <c r="G2489" s="257" t="s">
        <v>4076</v>
      </c>
    </row>
    <row r="2490" customHeight="1" spans="4:7">
      <c r="D2490" s="256">
        <v>53015</v>
      </c>
      <c r="E2490" s="257" t="s">
        <v>6530</v>
      </c>
      <c r="F2490" s="257" t="s">
        <v>6531</v>
      </c>
      <c r="G2490" s="257" t="s">
        <v>2803</v>
      </c>
    </row>
    <row r="2491" customHeight="1" spans="4:7">
      <c r="D2491" s="256">
        <v>53015</v>
      </c>
      <c r="E2491" s="257" t="s">
        <v>6530</v>
      </c>
      <c r="F2491" s="257" t="s">
        <v>6532</v>
      </c>
      <c r="G2491" s="257" t="s">
        <v>6533</v>
      </c>
    </row>
    <row r="2492" customHeight="1" spans="4:7">
      <c r="D2492" s="256">
        <v>53015</v>
      </c>
      <c r="E2492" s="257" t="s">
        <v>6530</v>
      </c>
      <c r="F2492" s="257" t="s">
        <v>6534</v>
      </c>
      <c r="G2492" s="257" t="s">
        <v>6535</v>
      </c>
    </row>
    <row r="2493" customHeight="1" spans="4:7">
      <c r="D2493" s="256">
        <v>53015</v>
      </c>
      <c r="E2493" s="257" t="s">
        <v>6530</v>
      </c>
      <c r="F2493" s="257" t="s">
        <v>6536</v>
      </c>
      <c r="G2493" s="257" t="s">
        <v>6537</v>
      </c>
    </row>
    <row r="2494" customHeight="1" spans="4:7">
      <c r="D2494" s="256">
        <v>53015</v>
      </c>
      <c r="E2494" s="257" t="s">
        <v>6530</v>
      </c>
      <c r="F2494" s="257" t="s">
        <v>6538</v>
      </c>
      <c r="G2494" s="257" t="s">
        <v>6539</v>
      </c>
    </row>
    <row r="2495" customHeight="1" spans="4:7">
      <c r="D2495" s="256">
        <v>53015</v>
      </c>
      <c r="E2495" s="257" t="s">
        <v>6530</v>
      </c>
      <c r="F2495" s="257" t="s">
        <v>6540</v>
      </c>
      <c r="G2495" s="257" t="s">
        <v>6541</v>
      </c>
    </row>
    <row r="2496" customHeight="1" spans="4:7">
      <c r="D2496" s="256">
        <v>53015</v>
      </c>
      <c r="E2496" s="257" t="s">
        <v>6530</v>
      </c>
      <c r="F2496" s="257" t="s">
        <v>6542</v>
      </c>
      <c r="G2496" s="257" t="s">
        <v>6543</v>
      </c>
    </row>
    <row r="2497" customHeight="1" spans="4:7">
      <c r="D2497" s="256">
        <v>53015</v>
      </c>
      <c r="E2497" s="257" t="s">
        <v>6530</v>
      </c>
      <c r="F2497" s="257" t="s">
        <v>6544</v>
      </c>
      <c r="G2497" s="257" t="s">
        <v>6545</v>
      </c>
    </row>
    <row r="2498" customHeight="1" spans="4:7">
      <c r="D2498" s="256">
        <v>53015</v>
      </c>
      <c r="E2498" s="257" t="s">
        <v>6530</v>
      </c>
      <c r="F2498" s="257" t="s">
        <v>6546</v>
      </c>
      <c r="G2498" s="257" t="s">
        <v>6547</v>
      </c>
    </row>
    <row r="2499" customHeight="1" spans="4:7">
      <c r="D2499" s="256">
        <v>53015</v>
      </c>
      <c r="E2499" s="257" t="s">
        <v>6530</v>
      </c>
      <c r="F2499" s="257" t="s">
        <v>6548</v>
      </c>
      <c r="G2499" s="257" t="s">
        <v>6549</v>
      </c>
    </row>
    <row r="2500" customHeight="1" spans="4:7">
      <c r="D2500" s="256">
        <v>53015</v>
      </c>
      <c r="E2500" s="257" t="s">
        <v>6530</v>
      </c>
      <c r="F2500" s="257" t="s">
        <v>6550</v>
      </c>
      <c r="G2500" s="257" t="s">
        <v>6551</v>
      </c>
    </row>
    <row r="2501" customHeight="1" spans="4:7">
      <c r="D2501" s="256">
        <v>53015</v>
      </c>
      <c r="E2501" s="257" t="s">
        <v>6530</v>
      </c>
      <c r="F2501" s="257" t="s">
        <v>6552</v>
      </c>
      <c r="G2501" s="257" t="s">
        <v>6553</v>
      </c>
    </row>
    <row r="2502" customHeight="1" spans="4:7">
      <c r="D2502" s="256">
        <v>53015</v>
      </c>
      <c r="E2502" s="257" t="s">
        <v>6530</v>
      </c>
      <c r="F2502" s="257" t="s">
        <v>6554</v>
      </c>
      <c r="G2502" s="257" t="s">
        <v>6555</v>
      </c>
    </row>
    <row r="2503" customHeight="1" spans="4:7">
      <c r="D2503" s="256">
        <v>46018</v>
      </c>
      <c r="E2503" s="257" t="s">
        <v>6556</v>
      </c>
      <c r="F2503" s="257" t="s">
        <v>6557</v>
      </c>
      <c r="G2503" s="257" t="s">
        <v>6558</v>
      </c>
    </row>
    <row r="2504" customHeight="1" spans="4:7">
      <c r="D2504" s="256">
        <v>46018</v>
      </c>
      <c r="E2504" s="257" t="s">
        <v>6556</v>
      </c>
      <c r="F2504" s="257" t="s">
        <v>6559</v>
      </c>
      <c r="G2504" s="257" t="s">
        <v>6560</v>
      </c>
    </row>
    <row r="2505" customHeight="1" spans="4:7">
      <c r="D2505" s="256">
        <v>46018</v>
      </c>
      <c r="E2505" s="257" t="s">
        <v>6556</v>
      </c>
      <c r="F2505" s="257" t="s">
        <v>6561</v>
      </c>
      <c r="G2505" s="257" t="s">
        <v>6562</v>
      </c>
    </row>
    <row r="2506" customHeight="1" spans="4:7">
      <c r="D2506" s="256">
        <v>46018</v>
      </c>
      <c r="E2506" s="257" t="s">
        <v>6556</v>
      </c>
      <c r="F2506" s="257" t="s">
        <v>6563</v>
      </c>
      <c r="G2506" s="257" t="s">
        <v>6564</v>
      </c>
    </row>
    <row r="2507" customHeight="1" spans="4:7">
      <c r="D2507" s="256">
        <v>46018</v>
      </c>
      <c r="E2507" s="257" t="s">
        <v>6556</v>
      </c>
      <c r="F2507" s="257" t="s">
        <v>6565</v>
      </c>
      <c r="G2507" s="257" t="s">
        <v>6566</v>
      </c>
    </row>
    <row r="2508" customHeight="1" spans="4:7">
      <c r="D2508" s="256">
        <v>46018</v>
      </c>
      <c r="E2508" s="257" t="s">
        <v>6556</v>
      </c>
      <c r="F2508" s="257" t="s">
        <v>6567</v>
      </c>
      <c r="G2508" s="257" t="s">
        <v>6568</v>
      </c>
    </row>
    <row r="2509" customHeight="1" spans="4:7">
      <c r="D2509" s="256">
        <v>46018</v>
      </c>
      <c r="E2509" s="257" t="s">
        <v>6556</v>
      </c>
      <c r="F2509" s="257" t="s">
        <v>6569</v>
      </c>
      <c r="G2509" s="257" t="s">
        <v>6570</v>
      </c>
    </row>
    <row r="2510" customHeight="1" spans="4:7">
      <c r="D2510" s="256">
        <v>46018</v>
      </c>
      <c r="E2510" s="257" t="s">
        <v>6556</v>
      </c>
      <c r="F2510" s="257" t="s">
        <v>6571</v>
      </c>
      <c r="G2510" s="257" t="s">
        <v>6572</v>
      </c>
    </row>
    <row r="2511" customHeight="1" spans="4:7">
      <c r="D2511" s="256">
        <v>46018</v>
      </c>
      <c r="E2511" s="257" t="s">
        <v>6556</v>
      </c>
      <c r="F2511" s="257" t="s">
        <v>6573</v>
      </c>
      <c r="G2511" s="257" t="s">
        <v>6574</v>
      </c>
    </row>
    <row r="2512" customHeight="1" spans="4:7">
      <c r="D2512" s="256">
        <v>46018</v>
      </c>
      <c r="E2512" s="257" t="s">
        <v>6556</v>
      </c>
      <c r="F2512" s="257" t="s">
        <v>6575</v>
      </c>
      <c r="G2512" s="257" t="s">
        <v>6576</v>
      </c>
    </row>
    <row r="2513" customHeight="1" spans="4:7">
      <c r="D2513" s="256">
        <v>46018</v>
      </c>
      <c r="E2513" s="257" t="s">
        <v>6556</v>
      </c>
      <c r="F2513" s="257" t="s">
        <v>6577</v>
      </c>
      <c r="G2513" s="257" t="s">
        <v>6578</v>
      </c>
    </row>
    <row r="2514" customHeight="1" spans="4:7">
      <c r="D2514" s="256">
        <v>46018</v>
      </c>
      <c r="E2514" s="257" t="s">
        <v>6556</v>
      </c>
      <c r="F2514" s="257" t="s">
        <v>6579</v>
      </c>
      <c r="G2514" s="257" t="s">
        <v>6580</v>
      </c>
    </row>
    <row r="2515" customHeight="1" spans="4:7">
      <c r="D2515" s="256">
        <v>46018</v>
      </c>
      <c r="E2515" s="257" t="s">
        <v>6556</v>
      </c>
      <c r="F2515" s="257" t="s">
        <v>6581</v>
      </c>
      <c r="G2515" s="257" t="s">
        <v>6582</v>
      </c>
    </row>
    <row r="2516" customHeight="1" spans="4:7">
      <c r="D2516" s="256">
        <v>46018</v>
      </c>
      <c r="E2516" s="257" t="s">
        <v>6556</v>
      </c>
      <c r="F2516" s="257" t="s">
        <v>6583</v>
      </c>
      <c r="G2516" s="257" t="s">
        <v>6584</v>
      </c>
    </row>
    <row r="2517" customHeight="1" spans="4:7">
      <c r="D2517" s="256">
        <v>46018</v>
      </c>
      <c r="E2517" s="257" t="s">
        <v>6556</v>
      </c>
      <c r="F2517" s="257" t="s">
        <v>6585</v>
      </c>
      <c r="G2517" s="257" t="s">
        <v>6586</v>
      </c>
    </row>
    <row r="2518" customHeight="1" spans="4:7">
      <c r="D2518" s="256">
        <v>46018</v>
      </c>
      <c r="E2518" s="257" t="s">
        <v>6556</v>
      </c>
      <c r="F2518" s="257" t="s">
        <v>6587</v>
      </c>
      <c r="G2518" s="257" t="s">
        <v>6588</v>
      </c>
    </row>
    <row r="2519" customHeight="1" spans="4:7">
      <c r="D2519" s="256">
        <v>46018</v>
      </c>
      <c r="E2519" s="257" t="s">
        <v>6556</v>
      </c>
      <c r="F2519" s="257" t="s">
        <v>6589</v>
      </c>
      <c r="G2519" s="257" t="s">
        <v>6590</v>
      </c>
    </row>
    <row r="2520" customHeight="1" spans="4:7">
      <c r="D2520" s="256">
        <v>46018</v>
      </c>
      <c r="E2520" s="257" t="s">
        <v>6556</v>
      </c>
      <c r="F2520" s="257" t="s">
        <v>6591</v>
      </c>
      <c r="G2520" s="257" t="s">
        <v>6592</v>
      </c>
    </row>
    <row r="2521" customHeight="1" spans="4:7">
      <c r="D2521" s="256">
        <v>46018</v>
      </c>
      <c r="E2521" s="257" t="s">
        <v>6556</v>
      </c>
      <c r="F2521" s="257" t="s">
        <v>6593</v>
      </c>
      <c r="G2521" s="257" t="s">
        <v>2854</v>
      </c>
    </row>
    <row r="2522" customHeight="1" spans="4:7">
      <c r="D2522" s="256">
        <v>46019</v>
      </c>
      <c r="E2522" s="257" t="s">
        <v>6594</v>
      </c>
      <c r="F2522" s="257" t="s">
        <v>6595</v>
      </c>
      <c r="G2522" s="257" t="s">
        <v>6596</v>
      </c>
    </row>
    <row r="2523" customHeight="1" spans="4:7">
      <c r="D2523" s="256">
        <v>46019</v>
      </c>
      <c r="E2523" s="257" t="s">
        <v>6594</v>
      </c>
      <c r="F2523" s="257" t="s">
        <v>6597</v>
      </c>
      <c r="G2523" s="257" t="s">
        <v>2335</v>
      </c>
    </row>
    <row r="2524" customHeight="1" spans="4:7">
      <c r="D2524" s="256">
        <v>46019</v>
      </c>
      <c r="E2524" s="257" t="s">
        <v>6594</v>
      </c>
      <c r="F2524" s="257" t="s">
        <v>6598</v>
      </c>
      <c r="G2524" s="257" t="s">
        <v>6599</v>
      </c>
    </row>
    <row r="2525" customHeight="1" spans="4:7">
      <c r="D2525" s="256">
        <v>46019</v>
      </c>
      <c r="E2525" s="257" t="s">
        <v>6594</v>
      </c>
      <c r="F2525" s="257" t="s">
        <v>6600</v>
      </c>
      <c r="G2525" s="257" t="s">
        <v>6601</v>
      </c>
    </row>
    <row r="2526" customHeight="1" spans="4:7">
      <c r="D2526" s="256">
        <v>46019</v>
      </c>
      <c r="E2526" s="257" t="s">
        <v>6594</v>
      </c>
      <c r="F2526" s="257" t="s">
        <v>6602</v>
      </c>
      <c r="G2526" s="257" t="s">
        <v>6603</v>
      </c>
    </row>
    <row r="2527" customHeight="1" spans="4:7">
      <c r="D2527" s="256">
        <v>46019</v>
      </c>
      <c r="E2527" s="257" t="s">
        <v>6594</v>
      </c>
      <c r="F2527" s="257" t="s">
        <v>6604</v>
      </c>
      <c r="G2527" s="257" t="s">
        <v>6605</v>
      </c>
    </row>
    <row r="2528" customHeight="1" spans="4:7">
      <c r="D2528" s="256">
        <v>46019</v>
      </c>
      <c r="E2528" s="257" t="s">
        <v>6594</v>
      </c>
      <c r="F2528" s="257" t="s">
        <v>6606</v>
      </c>
      <c r="G2528" s="257" t="s">
        <v>6607</v>
      </c>
    </row>
    <row r="2529" customHeight="1" spans="4:7">
      <c r="D2529" s="256">
        <v>46019</v>
      </c>
      <c r="E2529" s="257" t="s">
        <v>6594</v>
      </c>
      <c r="F2529" s="257" t="s">
        <v>6608</v>
      </c>
      <c r="G2529" s="257" t="s">
        <v>6609</v>
      </c>
    </row>
    <row r="2530" customHeight="1" spans="4:7">
      <c r="D2530" s="256">
        <v>46019</v>
      </c>
      <c r="E2530" s="257" t="s">
        <v>6594</v>
      </c>
      <c r="F2530" s="257" t="s">
        <v>6610</v>
      </c>
      <c r="G2530" s="257" t="s">
        <v>6611</v>
      </c>
    </row>
    <row r="2531" customHeight="1" spans="4:7">
      <c r="D2531" s="256">
        <v>46019</v>
      </c>
      <c r="E2531" s="257" t="s">
        <v>6594</v>
      </c>
      <c r="F2531" s="257" t="s">
        <v>6612</v>
      </c>
      <c r="G2531" s="257" t="s">
        <v>6613</v>
      </c>
    </row>
    <row r="2532" customHeight="1" spans="4:7">
      <c r="D2532" s="256">
        <v>46019</v>
      </c>
      <c r="E2532" s="257" t="s">
        <v>6594</v>
      </c>
      <c r="F2532" s="257" t="s">
        <v>6614</v>
      </c>
      <c r="G2532" s="257" t="s">
        <v>6615</v>
      </c>
    </row>
    <row r="2533" customHeight="1" spans="4:7">
      <c r="D2533" s="256">
        <v>46019</v>
      </c>
      <c r="E2533" s="257" t="s">
        <v>6594</v>
      </c>
      <c r="F2533" s="257" t="s">
        <v>6616</v>
      </c>
      <c r="G2533" s="257" t="s">
        <v>6617</v>
      </c>
    </row>
    <row r="2534" customHeight="1" spans="4:7">
      <c r="D2534" s="256">
        <v>46019</v>
      </c>
      <c r="E2534" s="257" t="s">
        <v>6594</v>
      </c>
      <c r="F2534" s="257" t="s">
        <v>6618</v>
      </c>
      <c r="G2534" s="257" t="s">
        <v>6619</v>
      </c>
    </row>
    <row r="2535" customHeight="1" spans="4:7">
      <c r="D2535" s="256">
        <v>46019</v>
      </c>
      <c r="E2535" s="257" t="s">
        <v>6594</v>
      </c>
      <c r="F2535" s="257" t="s">
        <v>6620</v>
      </c>
      <c r="G2535" s="257" t="s">
        <v>6621</v>
      </c>
    </row>
    <row r="2536" customHeight="1" spans="4:7">
      <c r="D2536" s="256">
        <v>46020</v>
      </c>
      <c r="E2536" s="257" t="s">
        <v>6622</v>
      </c>
      <c r="F2536" s="257" t="s">
        <v>6623</v>
      </c>
      <c r="G2536" s="257" t="s">
        <v>6624</v>
      </c>
    </row>
    <row r="2537" customHeight="1" spans="4:7">
      <c r="D2537" s="256">
        <v>46020</v>
      </c>
      <c r="E2537" s="257" t="s">
        <v>6622</v>
      </c>
      <c r="F2537" s="257" t="s">
        <v>6625</v>
      </c>
      <c r="G2537" s="257" t="s">
        <v>6626</v>
      </c>
    </row>
    <row r="2538" customHeight="1" spans="4:7">
      <c r="D2538" s="256">
        <v>46020</v>
      </c>
      <c r="E2538" s="257" t="s">
        <v>6622</v>
      </c>
      <c r="F2538" s="257" t="s">
        <v>6627</v>
      </c>
      <c r="G2538" s="257" t="s">
        <v>6628</v>
      </c>
    </row>
    <row r="2539" customHeight="1" spans="4:7">
      <c r="D2539" s="256">
        <v>46020</v>
      </c>
      <c r="E2539" s="257" t="s">
        <v>6622</v>
      </c>
      <c r="F2539" s="257" t="s">
        <v>6629</v>
      </c>
      <c r="G2539" s="257" t="s">
        <v>6630</v>
      </c>
    </row>
    <row r="2540" customHeight="1" spans="4:7">
      <c r="D2540" s="256">
        <v>46020</v>
      </c>
      <c r="E2540" s="257" t="s">
        <v>6622</v>
      </c>
      <c r="F2540" s="257" t="s">
        <v>6631</v>
      </c>
      <c r="G2540" s="257" t="s">
        <v>6632</v>
      </c>
    </row>
    <row r="2541" customHeight="1" spans="4:7">
      <c r="D2541" s="256">
        <v>46020</v>
      </c>
      <c r="E2541" s="257" t="s">
        <v>6622</v>
      </c>
      <c r="F2541" s="257" t="s">
        <v>6633</v>
      </c>
      <c r="G2541" s="257" t="s">
        <v>6634</v>
      </c>
    </row>
    <row r="2542" customHeight="1" spans="4:7">
      <c r="D2542" s="256">
        <v>46020</v>
      </c>
      <c r="E2542" s="257" t="s">
        <v>6622</v>
      </c>
      <c r="F2542" s="257" t="s">
        <v>6635</v>
      </c>
      <c r="G2542" s="257" t="s">
        <v>6636</v>
      </c>
    </row>
    <row r="2543" customHeight="1" spans="4:7">
      <c r="D2543" s="256">
        <v>46020</v>
      </c>
      <c r="E2543" s="257" t="s">
        <v>6622</v>
      </c>
      <c r="F2543" s="257" t="s">
        <v>6637</v>
      </c>
      <c r="G2543" s="257" t="s">
        <v>6638</v>
      </c>
    </row>
    <row r="2544" customHeight="1" spans="4:7">
      <c r="D2544" s="256">
        <v>46020</v>
      </c>
      <c r="E2544" s="257" t="s">
        <v>6622</v>
      </c>
      <c r="F2544" s="257" t="s">
        <v>6639</v>
      </c>
      <c r="G2544" s="257" t="s">
        <v>6640</v>
      </c>
    </row>
    <row r="2545" customHeight="1" spans="4:7">
      <c r="D2545" s="256">
        <v>46020</v>
      </c>
      <c r="E2545" s="257" t="s">
        <v>6622</v>
      </c>
      <c r="F2545" s="257" t="s">
        <v>6641</v>
      </c>
      <c r="G2545" s="257" t="s">
        <v>6642</v>
      </c>
    </row>
    <row r="2546" customHeight="1" spans="4:7">
      <c r="D2546" s="256">
        <v>46020</v>
      </c>
      <c r="E2546" s="257" t="s">
        <v>6622</v>
      </c>
      <c r="F2546" s="257" t="s">
        <v>6643</v>
      </c>
      <c r="G2546" s="257" t="s">
        <v>6644</v>
      </c>
    </row>
    <row r="2547" customHeight="1" spans="4:7">
      <c r="D2547" s="256">
        <v>46020</v>
      </c>
      <c r="E2547" s="257" t="s">
        <v>6622</v>
      </c>
      <c r="F2547" s="257" t="s">
        <v>6645</v>
      </c>
      <c r="G2547" s="257" t="s">
        <v>6646</v>
      </c>
    </row>
    <row r="2548" customHeight="1" spans="4:7">
      <c r="D2548" s="256">
        <v>46020</v>
      </c>
      <c r="E2548" s="257" t="s">
        <v>6622</v>
      </c>
      <c r="F2548" s="257" t="s">
        <v>6647</v>
      </c>
      <c r="G2548" s="257" t="s">
        <v>6648</v>
      </c>
    </row>
    <row r="2549" customHeight="1" spans="4:7">
      <c r="D2549" s="256">
        <v>46020</v>
      </c>
      <c r="E2549" s="257" t="s">
        <v>6622</v>
      </c>
      <c r="F2549" s="257" t="s">
        <v>6649</v>
      </c>
      <c r="G2549" s="257" t="s">
        <v>6650</v>
      </c>
    </row>
    <row r="2550" customHeight="1" spans="4:7">
      <c r="D2550" s="256">
        <v>47009</v>
      </c>
      <c r="E2550" s="257" t="s">
        <v>6651</v>
      </c>
      <c r="F2550" s="257" t="s">
        <v>6652</v>
      </c>
      <c r="G2550" s="257" t="s">
        <v>6653</v>
      </c>
    </row>
    <row r="2551" customHeight="1" spans="4:7">
      <c r="D2551" s="256">
        <v>47009</v>
      </c>
      <c r="E2551" s="257" t="s">
        <v>6651</v>
      </c>
      <c r="F2551" s="257" t="s">
        <v>6654</v>
      </c>
      <c r="G2551" s="257" t="s">
        <v>6655</v>
      </c>
    </row>
    <row r="2552" customHeight="1" spans="4:7">
      <c r="D2552" s="256">
        <v>47009</v>
      </c>
      <c r="E2552" s="257" t="s">
        <v>6651</v>
      </c>
      <c r="F2552" s="257" t="s">
        <v>6656</v>
      </c>
      <c r="G2552" s="257" t="s">
        <v>6657</v>
      </c>
    </row>
    <row r="2553" customHeight="1" spans="4:7">
      <c r="D2553" s="256">
        <v>47009</v>
      </c>
      <c r="E2553" s="257" t="s">
        <v>6651</v>
      </c>
      <c r="F2553" s="257" t="s">
        <v>6658</v>
      </c>
      <c r="G2553" s="257" t="s">
        <v>6659</v>
      </c>
    </row>
    <row r="2554" customHeight="1" spans="4:7">
      <c r="D2554" s="256">
        <v>47009</v>
      </c>
      <c r="E2554" s="257" t="s">
        <v>6651</v>
      </c>
      <c r="F2554" s="257" t="s">
        <v>6660</v>
      </c>
      <c r="G2554" s="257" t="s">
        <v>6661</v>
      </c>
    </row>
    <row r="2555" customHeight="1" spans="4:7">
      <c r="D2555" s="256">
        <v>47009</v>
      </c>
      <c r="E2555" s="257" t="s">
        <v>6651</v>
      </c>
      <c r="F2555" s="257" t="s">
        <v>6662</v>
      </c>
      <c r="G2555" s="257" t="s">
        <v>6663</v>
      </c>
    </row>
    <row r="2556" customHeight="1" spans="4:7">
      <c r="D2556" s="256">
        <v>47009</v>
      </c>
      <c r="E2556" s="257" t="s">
        <v>6651</v>
      </c>
      <c r="F2556" s="257" t="s">
        <v>6664</v>
      </c>
      <c r="G2556" s="257" t="s">
        <v>6665</v>
      </c>
    </row>
    <row r="2557" customHeight="1" spans="4:7">
      <c r="D2557" s="256">
        <v>47009</v>
      </c>
      <c r="E2557" s="257" t="s">
        <v>6651</v>
      </c>
      <c r="F2557" s="257" t="s">
        <v>6666</v>
      </c>
      <c r="G2557" s="257" t="s">
        <v>6667</v>
      </c>
    </row>
    <row r="2558" customHeight="1" spans="4:7">
      <c r="D2558" s="256">
        <v>47009</v>
      </c>
      <c r="E2558" s="257" t="s">
        <v>6651</v>
      </c>
      <c r="F2558" s="257" t="s">
        <v>6668</v>
      </c>
      <c r="G2558" s="257" t="s">
        <v>6669</v>
      </c>
    </row>
    <row r="2559" customHeight="1" spans="4:7">
      <c r="D2559" s="256">
        <v>47009</v>
      </c>
      <c r="E2559" s="257" t="s">
        <v>6651</v>
      </c>
      <c r="F2559" s="257" t="s">
        <v>6670</v>
      </c>
      <c r="G2559" s="257" t="s">
        <v>6671</v>
      </c>
    </row>
    <row r="2560" customHeight="1" spans="4:7">
      <c r="D2560" s="256">
        <v>47009</v>
      </c>
      <c r="E2560" s="257" t="s">
        <v>6651</v>
      </c>
      <c r="F2560" s="257" t="s">
        <v>6672</v>
      </c>
      <c r="G2560" s="257" t="s">
        <v>6673</v>
      </c>
    </row>
    <row r="2561" customHeight="1" spans="4:7">
      <c r="D2561" s="256">
        <v>48027</v>
      </c>
      <c r="E2561" s="257" t="s">
        <v>6674</v>
      </c>
      <c r="F2561" s="257" t="s">
        <v>6675</v>
      </c>
      <c r="G2561" s="257" t="s">
        <v>6676</v>
      </c>
    </row>
    <row r="2562" customHeight="1" spans="4:7">
      <c r="D2562" s="256">
        <v>48027</v>
      </c>
      <c r="E2562" s="257" t="s">
        <v>6674</v>
      </c>
      <c r="F2562" s="257" t="s">
        <v>6677</v>
      </c>
      <c r="G2562" s="257" t="s">
        <v>6678</v>
      </c>
    </row>
    <row r="2563" customHeight="1" spans="4:7">
      <c r="D2563" s="256">
        <v>48027</v>
      </c>
      <c r="E2563" s="257" t="s">
        <v>6674</v>
      </c>
      <c r="F2563" s="257" t="s">
        <v>6679</v>
      </c>
      <c r="G2563" s="257" t="s">
        <v>6680</v>
      </c>
    </row>
    <row r="2564" customHeight="1" spans="4:7">
      <c r="D2564" s="256">
        <v>48027</v>
      </c>
      <c r="E2564" s="257" t="s">
        <v>6674</v>
      </c>
      <c r="F2564" s="257" t="s">
        <v>6681</v>
      </c>
      <c r="G2564" s="257" t="s">
        <v>6682</v>
      </c>
    </row>
    <row r="2565" customHeight="1" spans="4:7">
      <c r="D2565" s="256">
        <v>48027</v>
      </c>
      <c r="E2565" s="257" t="s">
        <v>6674</v>
      </c>
      <c r="F2565" s="257" t="s">
        <v>6683</v>
      </c>
      <c r="G2565" s="257" t="s">
        <v>6684</v>
      </c>
    </row>
    <row r="2566" customHeight="1" spans="4:7">
      <c r="D2566" s="256">
        <v>48027</v>
      </c>
      <c r="E2566" s="257" t="s">
        <v>6674</v>
      </c>
      <c r="F2566" s="257" t="s">
        <v>6685</v>
      </c>
      <c r="G2566" s="257" t="s">
        <v>6686</v>
      </c>
    </row>
    <row r="2567" customHeight="1" spans="4:7">
      <c r="D2567" s="256">
        <v>48027</v>
      </c>
      <c r="E2567" s="257" t="s">
        <v>6674</v>
      </c>
      <c r="F2567" s="257" t="s">
        <v>6687</v>
      </c>
      <c r="G2567" s="257" t="s">
        <v>6688</v>
      </c>
    </row>
    <row r="2568" customHeight="1" spans="4:7">
      <c r="D2568" s="256">
        <v>48027</v>
      </c>
      <c r="E2568" s="257" t="s">
        <v>6674</v>
      </c>
      <c r="F2568" s="257" t="s">
        <v>6689</v>
      </c>
      <c r="G2568" s="257" t="s">
        <v>6690</v>
      </c>
    </row>
    <row r="2569" customHeight="1" spans="4:7">
      <c r="D2569" s="256">
        <v>48027</v>
      </c>
      <c r="E2569" s="257" t="s">
        <v>6674</v>
      </c>
      <c r="F2569" s="257" t="s">
        <v>6691</v>
      </c>
      <c r="G2569" s="257" t="s">
        <v>6692</v>
      </c>
    </row>
    <row r="2570" customHeight="1" spans="4:7">
      <c r="D2570" s="256">
        <v>48027</v>
      </c>
      <c r="E2570" s="257" t="s">
        <v>6674</v>
      </c>
      <c r="F2570" s="257" t="s">
        <v>6693</v>
      </c>
      <c r="G2570" s="257" t="s">
        <v>6694</v>
      </c>
    </row>
    <row r="2571" customHeight="1" spans="4:7">
      <c r="D2571" s="256">
        <v>48027</v>
      </c>
      <c r="E2571" s="257" t="s">
        <v>6674</v>
      </c>
      <c r="F2571" s="257" t="s">
        <v>6695</v>
      </c>
      <c r="G2571" s="257" t="s">
        <v>2875</v>
      </c>
    </row>
    <row r="2572" customHeight="1" spans="4:7">
      <c r="D2572" s="256">
        <v>48027</v>
      </c>
      <c r="E2572" s="257" t="s">
        <v>6674</v>
      </c>
      <c r="F2572" s="257" t="s">
        <v>6696</v>
      </c>
      <c r="G2572" s="257" t="s">
        <v>6697</v>
      </c>
    </row>
    <row r="2573" customHeight="1" spans="4:7">
      <c r="D2573" s="256">
        <v>48027</v>
      </c>
      <c r="E2573" s="257" t="s">
        <v>6674</v>
      </c>
      <c r="F2573" s="257" t="s">
        <v>6698</v>
      </c>
      <c r="G2573" s="257" t="s">
        <v>6699</v>
      </c>
    </row>
    <row r="2574" customHeight="1" spans="4:7">
      <c r="D2574" s="256">
        <v>52014</v>
      </c>
      <c r="E2574" s="257" t="s">
        <v>6700</v>
      </c>
      <c r="F2574" s="257" t="s">
        <v>6701</v>
      </c>
      <c r="G2574" s="257" t="s">
        <v>6702</v>
      </c>
    </row>
    <row r="2575" customHeight="1" spans="4:7">
      <c r="D2575" s="256">
        <v>52014</v>
      </c>
      <c r="E2575" s="257" t="s">
        <v>6700</v>
      </c>
      <c r="F2575" s="257" t="s">
        <v>6703</v>
      </c>
      <c r="G2575" s="257" t="s">
        <v>6704</v>
      </c>
    </row>
    <row r="2576" customHeight="1" spans="4:7">
      <c r="D2576" s="256">
        <v>52014</v>
      </c>
      <c r="E2576" s="257" t="s">
        <v>6700</v>
      </c>
      <c r="F2576" s="257" t="s">
        <v>6705</v>
      </c>
      <c r="G2576" s="257" t="s">
        <v>6706</v>
      </c>
    </row>
    <row r="2577" customHeight="1" spans="4:7">
      <c r="D2577" s="256">
        <v>52014</v>
      </c>
      <c r="E2577" s="257" t="s">
        <v>6700</v>
      </c>
      <c r="F2577" s="257" t="s">
        <v>6707</v>
      </c>
      <c r="G2577" s="257" t="s">
        <v>6708</v>
      </c>
    </row>
    <row r="2578" customHeight="1" spans="4:7">
      <c r="D2578" s="256">
        <v>52014</v>
      </c>
      <c r="E2578" s="257" t="s">
        <v>6700</v>
      </c>
      <c r="F2578" s="257" t="s">
        <v>6709</v>
      </c>
      <c r="G2578" s="257" t="s">
        <v>4041</v>
      </c>
    </row>
    <row r="2579" customHeight="1" spans="4:7">
      <c r="D2579" s="256">
        <v>52014</v>
      </c>
      <c r="E2579" s="257" t="s">
        <v>6700</v>
      </c>
      <c r="F2579" s="257" t="s">
        <v>6710</v>
      </c>
      <c r="G2579" s="257" t="s">
        <v>6711</v>
      </c>
    </row>
    <row r="2580" customHeight="1" spans="4:7">
      <c r="D2580" s="256">
        <v>52014</v>
      </c>
      <c r="E2580" s="257" t="s">
        <v>6700</v>
      </c>
      <c r="F2580" s="257" t="s">
        <v>6712</v>
      </c>
      <c r="G2580" s="257" t="s">
        <v>6713</v>
      </c>
    </row>
    <row r="2581" customHeight="1" spans="4:7">
      <c r="D2581" s="256">
        <v>52014</v>
      </c>
      <c r="E2581" s="257" t="s">
        <v>6700</v>
      </c>
      <c r="F2581" s="257" t="s">
        <v>6714</v>
      </c>
      <c r="G2581" s="257" t="s">
        <v>1506</v>
      </c>
    </row>
    <row r="2582" customHeight="1" spans="4:7">
      <c r="D2582" s="256">
        <v>52014</v>
      </c>
      <c r="E2582" s="257" t="s">
        <v>6700</v>
      </c>
      <c r="F2582" s="257" t="s">
        <v>6715</v>
      </c>
      <c r="G2582" s="257" t="s">
        <v>6716</v>
      </c>
    </row>
    <row r="2583" customHeight="1" spans="4:7">
      <c r="D2583" s="256">
        <v>47010</v>
      </c>
      <c r="E2583" s="257" t="s">
        <v>6717</v>
      </c>
      <c r="F2583" s="257" t="s">
        <v>6718</v>
      </c>
      <c r="G2583" s="257" t="s">
        <v>6719</v>
      </c>
    </row>
    <row r="2584" customHeight="1" spans="4:7">
      <c r="D2584" s="256">
        <v>47010</v>
      </c>
      <c r="E2584" s="257" t="s">
        <v>6717</v>
      </c>
      <c r="F2584" s="257" t="s">
        <v>6720</v>
      </c>
      <c r="G2584" s="257" t="s">
        <v>5131</v>
      </c>
    </row>
    <row r="2585" customHeight="1" spans="4:7">
      <c r="D2585" s="256">
        <v>47010</v>
      </c>
      <c r="E2585" s="257" t="s">
        <v>6717</v>
      </c>
      <c r="F2585" s="257" t="s">
        <v>6721</v>
      </c>
      <c r="G2585" s="257" t="s">
        <v>4613</v>
      </c>
    </row>
    <row r="2586" customHeight="1" spans="4:7">
      <c r="D2586" s="256">
        <v>47010</v>
      </c>
      <c r="E2586" s="257" t="s">
        <v>6717</v>
      </c>
      <c r="F2586" s="257" t="s">
        <v>6722</v>
      </c>
      <c r="G2586" s="257" t="s">
        <v>3308</v>
      </c>
    </row>
    <row r="2587" customHeight="1" spans="4:7">
      <c r="D2587" s="256">
        <v>47010</v>
      </c>
      <c r="E2587" s="257" t="s">
        <v>6717</v>
      </c>
      <c r="F2587" s="257" t="s">
        <v>6723</v>
      </c>
      <c r="G2587" s="257" t="s">
        <v>6724</v>
      </c>
    </row>
    <row r="2588" customHeight="1" spans="4:7">
      <c r="D2588" s="256">
        <v>53016</v>
      </c>
      <c r="E2588" s="257" t="s">
        <v>6725</v>
      </c>
      <c r="F2588" s="257" t="s">
        <v>6726</v>
      </c>
      <c r="G2588" s="257" t="s">
        <v>6727</v>
      </c>
    </row>
    <row r="2589" customHeight="1" spans="4:7">
      <c r="D2589" s="256">
        <v>53016</v>
      </c>
      <c r="E2589" s="257" t="s">
        <v>6725</v>
      </c>
      <c r="F2589" s="257" t="s">
        <v>6728</v>
      </c>
      <c r="G2589" s="257" t="s">
        <v>6729</v>
      </c>
    </row>
    <row r="2590" customHeight="1" spans="4:7">
      <c r="D2590" s="256">
        <v>53016</v>
      </c>
      <c r="E2590" s="257" t="s">
        <v>6725</v>
      </c>
      <c r="F2590" s="257" t="s">
        <v>6730</v>
      </c>
      <c r="G2590" s="257" t="s">
        <v>6731</v>
      </c>
    </row>
    <row r="2591" customHeight="1" spans="4:7">
      <c r="D2591" s="256">
        <v>53016</v>
      </c>
      <c r="E2591" s="257" t="s">
        <v>6725</v>
      </c>
      <c r="F2591" s="257" t="s">
        <v>6732</v>
      </c>
      <c r="G2591" s="257" t="s">
        <v>6733</v>
      </c>
    </row>
    <row r="2592" customHeight="1" spans="4:7">
      <c r="D2592" s="256">
        <v>53016</v>
      </c>
      <c r="E2592" s="257" t="s">
        <v>6725</v>
      </c>
      <c r="F2592" s="257" t="s">
        <v>6734</v>
      </c>
      <c r="G2592" s="257" t="s">
        <v>6735</v>
      </c>
    </row>
    <row r="2593" customHeight="1" spans="4:7">
      <c r="D2593" s="256">
        <v>53016</v>
      </c>
      <c r="E2593" s="257" t="s">
        <v>6725</v>
      </c>
      <c r="F2593" s="257" t="s">
        <v>6736</v>
      </c>
      <c r="G2593" s="257" t="s">
        <v>6737</v>
      </c>
    </row>
    <row r="2594" customHeight="1" spans="4:7">
      <c r="D2594" s="256">
        <v>53016</v>
      </c>
      <c r="E2594" s="257" t="s">
        <v>6725</v>
      </c>
      <c r="F2594" s="257" t="s">
        <v>6738</v>
      </c>
      <c r="G2594" s="257" t="s">
        <v>6739</v>
      </c>
    </row>
    <row r="2595" customHeight="1" spans="4:7">
      <c r="D2595" s="256">
        <v>53016</v>
      </c>
      <c r="E2595" s="257" t="s">
        <v>6725</v>
      </c>
      <c r="F2595" s="257" t="s">
        <v>6740</v>
      </c>
      <c r="G2595" s="257" t="s">
        <v>6741</v>
      </c>
    </row>
    <row r="2596" customHeight="1" spans="4:7">
      <c r="D2596" s="256">
        <v>53016</v>
      </c>
      <c r="E2596" s="257" t="s">
        <v>6725</v>
      </c>
      <c r="F2596" s="257" t="s">
        <v>6742</v>
      </c>
      <c r="G2596" s="257" t="s">
        <v>6743</v>
      </c>
    </row>
    <row r="2597" customHeight="1" spans="4:7">
      <c r="D2597" s="256">
        <v>53016</v>
      </c>
      <c r="E2597" s="257" t="s">
        <v>6725</v>
      </c>
      <c r="F2597" s="257" t="s">
        <v>6744</v>
      </c>
      <c r="G2597" s="257" t="s">
        <v>6745</v>
      </c>
    </row>
    <row r="2598" customHeight="1" spans="4:7">
      <c r="D2598" s="256">
        <v>53016</v>
      </c>
      <c r="E2598" s="257" t="s">
        <v>6725</v>
      </c>
      <c r="F2598" s="257" t="s">
        <v>6746</v>
      </c>
      <c r="G2598" s="257" t="s">
        <v>6747</v>
      </c>
    </row>
    <row r="2599" customHeight="1" spans="4:7">
      <c r="D2599" s="256">
        <v>53016</v>
      </c>
      <c r="E2599" s="257" t="s">
        <v>6725</v>
      </c>
      <c r="F2599" s="257" t="s">
        <v>6748</v>
      </c>
      <c r="G2599" s="257" t="s">
        <v>6749</v>
      </c>
    </row>
    <row r="2600" customHeight="1" spans="4:7">
      <c r="D2600" s="256">
        <v>53016</v>
      </c>
      <c r="E2600" s="257" t="s">
        <v>6725</v>
      </c>
      <c r="F2600" s="257" t="s">
        <v>6750</v>
      </c>
      <c r="G2600" s="257" t="s">
        <v>6751</v>
      </c>
    </row>
    <row r="2601" customHeight="1" spans="4:7">
      <c r="D2601" s="256">
        <v>53016</v>
      </c>
      <c r="E2601" s="257" t="s">
        <v>6725</v>
      </c>
      <c r="F2601" s="257" t="s">
        <v>6752</v>
      </c>
      <c r="G2601" s="257" t="s">
        <v>1771</v>
      </c>
    </row>
    <row r="2602" customHeight="1" spans="4:7">
      <c r="D2602" s="256">
        <v>51025</v>
      </c>
      <c r="E2602" s="257" t="s">
        <v>6753</v>
      </c>
      <c r="F2602" s="257" t="s">
        <v>6754</v>
      </c>
      <c r="G2602" s="257" t="s">
        <v>6755</v>
      </c>
    </row>
    <row r="2603" customHeight="1" spans="4:7">
      <c r="D2603" s="256">
        <v>51025</v>
      </c>
      <c r="E2603" s="257" t="s">
        <v>6753</v>
      </c>
      <c r="F2603" s="257" t="s">
        <v>6756</v>
      </c>
      <c r="G2603" s="257" t="s">
        <v>4000</v>
      </c>
    </row>
    <row r="2604" customHeight="1" spans="4:7">
      <c r="D2604" s="256">
        <v>51025</v>
      </c>
      <c r="E2604" s="257" t="s">
        <v>6753</v>
      </c>
      <c r="F2604" s="257" t="s">
        <v>6757</v>
      </c>
      <c r="G2604" s="257" t="s">
        <v>6758</v>
      </c>
    </row>
    <row r="2605" customHeight="1" spans="4:7">
      <c r="D2605" s="256">
        <v>51025</v>
      </c>
      <c r="E2605" s="257" t="s">
        <v>6753</v>
      </c>
      <c r="F2605" s="257" t="s">
        <v>6759</v>
      </c>
      <c r="G2605" s="257" t="s">
        <v>6760</v>
      </c>
    </row>
    <row r="2606" customHeight="1" spans="4:7">
      <c r="D2606" s="256">
        <v>51025</v>
      </c>
      <c r="E2606" s="257" t="s">
        <v>6753</v>
      </c>
      <c r="F2606" s="257" t="s">
        <v>6761</v>
      </c>
      <c r="G2606" s="257" t="s">
        <v>6762</v>
      </c>
    </row>
    <row r="2607" customHeight="1" spans="4:7">
      <c r="D2607" s="256">
        <v>51025</v>
      </c>
      <c r="E2607" s="257" t="s">
        <v>6753</v>
      </c>
      <c r="F2607" s="257" t="s">
        <v>6763</v>
      </c>
      <c r="G2607" s="257" t="s">
        <v>6764</v>
      </c>
    </row>
    <row r="2608" customHeight="1" spans="4:7">
      <c r="D2608" s="256">
        <v>51025</v>
      </c>
      <c r="E2608" s="257" t="s">
        <v>6753</v>
      </c>
      <c r="F2608" s="257" t="s">
        <v>6765</v>
      </c>
      <c r="G2608" s="257" t="s">
        <v>6766</v>
      </c>
    </row>
    <row r="2609" customHeight="1" spans="4:7">
      <c r="D2609" s="256">
        <v>51025</v>
      </c>
      <c r="E2609" s="257" t="s">
        <v>6753</v>
      </c>
      <c r="F2609" s="257" t="s">
        <v>6767</v>
      </c>
      <c r="G2609" s="257" t="s">
        <v>6768</v>
      </c>
    </row>
    <row r="2610" customHeight="1" spans="4:7">
      <c r="D2610" s="256">
        <v>51025</v>
      </c>
      <c r="E2610" s="257" t="s">
        <v>6753</v>
      </c>
      <c r="F2610" s="257" t="s">
        <v>6769</v>
      </c>
      <c r="G2610" s="257" t="s">
        <v>6770</v>
      </c>
    </row>
    <row r="2611" customHeight="1" spans="4:7">
      <c r="D2611" s="256">
        <v>51025</v>
      </c>
      <c r="E2611" s="257" t="s">
        <v>6753</v>
      </c>
      <c r="F2611" s="257" t="s">
        <v>6771</v>
      </c>
      <c r="G2611" s="257" t="s">
        <v>6772</v>
      </c>
    </row>
    <row r="2612" customHeight="1" spans="4:7">
      <c r="D2612" s="256">
        <v>51025</v>
      </c>
      <c r="E2612" s="257" t="s">
        <v>6753</v>
      </c>
      <c r="F2612" s="257" t="s">
        <v>6773</v>
      </c>
      <c r="G2612" s="257" t="s">
        <v>6774</v>
      </c>
    </row>
    <row r="2613" customHeight="1" spans="4:7">
      <c r="D2613" s="256">
        <v>51025</v>
      </c>
      <c r="E2613" s="257" t="s">
        <v>6753</v>
      </c>
      <c r="F2613" s="257" t="s">
        <v>6775</v>
      </c>
      <c r="G2613" s="257" t="s">
        <v>6776</v>
      </c>
    </row>
    <row r="2614" customHeight="1" spans="4:7">
      <c r="D2614" s="256">
        <v>51025</v>
      </c>
      <c r="E2614" s="257" t="s">
        <v>6753</v>
      </c>
      <c r="F2614" s="257" t="s">
        <v>6777</v>
      </c>
      <c r="G2614" s="257" t="s">
        <v>6778</v>
      </c>
    </row>
    <row r="2615" customHeight="1" spans="4:7">
      <c r="D2615" s="256">
        <v>51025</v>
      </c>
      <c r="E2615" s="257" t="s">
        <v>6753</v>
      </c>
      <c r="F2615" s="257" t="s">
        <v>6779</v>
      </c>
      <c r="G2615" s="257" t="s">
        <v>6780</v>
      </c>
    </row>
    <row r="2616" customHeight="1" spans="4:7">
      <c r="D2616" s="256">
        <v>51025</v>
      </c>
      <c r="E2616" s="257" t="s">
        <v>6753</v>
      </c>
      <c r="F2616" s="257" t="s">
        <v>6781</v>
      </c>
      <c r="G2616" s="257" t="s">
        <v>6782</v>
      </c>
    </row>
    <row r="2617" customHeight="1" spans="4:7">
      <c r="D2617" s="256">
        <v>51025</v>
      </c>
      <c r="E2617" s="257" t="s">
        <v>6753</v>
      </c>
      <c r="F2617" s="257" t="s">
        <v>6783</v>
      </c>
      <c r="G2617" s="257" t="s">
        <v>6784</v>
      </c>
    </row>
    <row r="2618" customHeight="1" spans="4:7">
      <c r="D2618" s="256">
        <v>51025</v>
      </c>
      <c r="E2618" s="257" t="s">
        <v>6753</v>
      </c>
      <c r="F2618" s="257" t="s">
        <v>6785</v>
      </c>
      <c r="G2618" s="257" t="s">
        <v>6786</v>
      </c>
    </row>
    <row r="2619" customHeight="1" spans="4:7">
      <c r="D2619" s="256">
        <v>51025</v>
      </c>
      <c r="E2619" s="257" t="s">
        <v>6753</v>
      </c>
      <c r="F2619" s="257" t="s">
        <v>6787</v>
      </c>
      <c r="G2619" s="257" t="s">
        <v>6788</v>
      </c>
    </row>
    <row r="2620" customHeight="1" spans="4:7">
      <c r="D2620" s="256">
        <v>51025</v>
      </c>
      <c r="E2620" s="257" t="s">
        <v>6753</v>
      </c>
      <c r="F2620" s="257" t="s">
        <v>6789</v>
      </c>
      <c r="G2620" s="257" t="s">
        <v>6790</v>
      </c>
    </row>
    <row r="2621" customHeight="1" spans="4:7">
      <c r="D2621" s="256">
        <v>51025</v>
      </c>
      <c r="E2621" s="257" t="s">
        <v>6753</v>
      </c>
      <c r="F2621" s="257" t="s">
        <v>6791</v>
      </c>
      <c r="G2621" s="257" t="s">
        <v>6792</v>
      </c>
    </row>
    <row r="2622" customHeight="1" spans="4:7">
      <c r="D2622" s="256">
        <v>51025</v>
      </c>
      <c r="E2622" s="257" t="s">
        <v>6753</v>
      </c>
      <c r="F2622" s="257" t="s">
        <v>6793</v>
      </c>
      <c r="G2622" s="257" t="s">
        <v>6794</v>
      </c>
    </row>
    <row r="2623" customHeight="1" spans="4:7">
      <c r="D2623" s="256">
        <v>51025</v>
      </c>
      <c r="E2623" s="257" t="s">
        <v>6753</v>
      </c>
      <c r="F2623" s="257" t="s">
        <v>6795</v>
      </c>
      <c r="G2623" s="257" t="s">
        <v>6796</v>
      </c>
    </row>
    <row r="2624" customHeight="1" spans="4:7">
      <c r="D2624" s="256">
        <v>51025</v>
      </c>
      <c r="E2624" s="257" t="s">
        <v>6753</v>
      </c>
      <c r="F2624" s="257" t="s">
        <v>6797</v>
      </c>
      <c r="G2624" s="257" t="s">
        <v>6798</v>
      </c>
    </row>
    <row r="2625" customHeight="1" spans="4:7">
      <c r="D2625" s="256">
        <v>51025</v>
      </c>
      <c r="E2625" s="257" t="s">
        <v>6753</v>
      </c>
      <c r="F2625" s="257" t="s">
        <v>6799</v>
      </c>
      <c r="G2625" s="257" t="s">
        <v>6800</v>
      </c>
    </row>
    <row r="2626" customHeight="1" spans="4:7">
      <c r="D2626" s="256">
        <v>51025</v>
      </c>
      <c r="E2626" s="257" t="s">
        <v>6753</v>
      </c>
      <c r="F2626" s="257" t="s">
        <v>6801</v>
      </c>
      <c r="G2626" s="257" t="s">
        <v>6802</v>
      </c>
    </row>
    <row r="2627" customHeight="1" spans="4:7">
      <c r="D2627" s="256">
        <v>51025</v>
      </c>
      <c r="E2627" s="257" t="s">
        <v>6753</v>
      </c>
      <c r="F2627" s="257" t="s">
        <v>6803</v>
      </c>
      <c r="G2627" s="257" t="s">
        <v>6804</v>
      </c>
    </row>
    <row r="2628" customHeight="1" spans="4:7">
      <c r="D2628" s="256">
        <v>51025</v>
      </c>
      <c r="E2628" s="257" t="s">
        <v>6753</v>
      </c>
      <c r="F2628" s="257" t="s">
        <v>6805</v>
      </c>
      <c r="G2628" s="257" t="s">
        <v>6806</v>
      </c>
    </row>
    <row r="2629" customHeight="1" spans="4:7">
      <c r="D2629" s="256">
        <v>51025</v>
      </c>
      <c r="E2629" s="257" t="s">
        <v>6753</v>
      </c>
      <c r="F2629" s="257" t="s">
        <v>6807</v>
      </c>
      <c r="G2629" s="257" t="s">
        <v>5715</v>
      </c>
    </row>
    <row r="2630" customHeight="1" spans="4:7">
      <c r="D2630" s="256">
        <v>51025</v>
      </c>
      <c r="E2630" s="257" t="s">
        <v>6753</v>
      </c>
      <c r="F2630" s="257" t="s">
        <v>6808</v>
      </c>
      <c r="G2630" s="257" t="s">
        <v>6809</v>
      </c>
    </row>
    <row r="2631" customHeight="1" spans="4:7">
      <c r="D2631" s="256">
        <v>51025</v>
      </c>
      <c r="E2631" s="257" t="s">
        <v>6753</v>
      </c>
      <c r="F2631" s="257" t="s">
        <v>6810</v>
      </c>
      <c r="G2631" s="257" t="s">
        <v>6811</v>
      </c>
    </row>
    <row r="2632" customHeight="1" spans="4:7">
      <c r="D2632" s="256">
        <v>51025</v>
      </c>
      <c r="E2632" s="257" t="s">
        <v>6753</v>
      </c>
      <c r="F2632" s="257" t="s">
        <v>6812</v>
      </c>
      <c r="G2632" s="257" t="s">
        <v>3193</v>
      </c>
    </row>
    <row r="2633" customHeight="1" spans="4:7">
      <c r="D2633" s="256">
        <v>51025</v>
      </c>
      <c r="E2633" s="257" t="s">
        <v>6753</v>
      </c>
      <c r="F2633" s="257" t="s">
        <v>6813</v>
      </c>
      <c r="G2633" s="257" t="s">
        <v>6814</v>
      </c>
    </row>
    <row r="2634" customHeight="1" spans="4:7">
      <c r="D2634" s="256">
        <v>46021</v>
      </c>
      <c r="E2634" s="257" t="s">
        <v>6815</v>
      </c>
      <c r="F2634" s="257" t="s">
        <v>6816</v>
      </c>
      <c r="G2634" s="257" t="s">
        <v>6817</v>
      </c>
    </row>
    <row r="2635" customHeight="1" spans="4:7">
      <c r="D2635" s="256">
        <v>46021</v>
      </c>
      <c r="E2635" s="257" t="s">
        <v>6815</v>
      </c>
      <c r="F2635" s="257" t="s">
        <v>6818</v>
      </c>
      <c r="G2635" s="257" t="s">
        <v>6819</v>
      </c>
    </row>
    <row r="2636" customHeight="1" spans="4:7">
      <c r="D2636" s="256">
        <v>46021</v>
      </c>
      <c r="E2636" s="257" t="s">
        <v>6815</v>
      </c>
      <c r="F2636" s="257" t="s">
        <v>6820</v>
      </c>
      <c r="G2636" s="257" t="s">
        <v>6821</v>
      </c>
    </row>
    <row r="2637" customHeight="1" spans="4:7">
      <c r="D2637" s="256">
        <v>46021</v>
      </c>
      <c r="E2637" s="257" t="s">
        <v>6815</v>
      </c>
      <c r="F2637" s="257" t="s">
        <v>6822</v>
      </c>
      <c r="G2637" s="257" t="s">
        <v>6823</v>
      </c>
    </row>
    <row r="2638" customHeight="1" spans="4:7">
      <c r="D2638" s="256">
        <v>46021</v>
      </c>
      <c r="E2638" s="257" t="s">
        <v>6815</v>
      </c>
      <c r="F2638" s="257" t="s">
        <v>6824</v>
      </c>
      <c r="G2638" s="257" t="s">
        <v>6825</v>
      </c>
    </row>
    <row r="2639" customHeight="1" spans="4:7">
      <c r="D2639" s="256">
        <v>46021</v>
      </c>
      <c r="E2639" s="257" t="s">
        <v>6815</v>
      </c>
      <c r="F2639" s="257" t="s">
        <v>6826</v>
      </c>
      <c r="G2639" s="257" t="s">
        <v>6827</v>
      </c>
    </row>
    <row r="2640" customHeight="1" spans="4:7">
      <c r="D2640" s="256">
        <v>46021</v>
      </c>
      <c r="E2640" s="257" t="s">
        <v>6815</v>
      </c>
      <c r="F2640" s="257" t="s">
        <v>6828</v>
      </c>
      <c r="G2640" s="257" t="s">
        <v>6829</v>
      </c>
    </row>
    <row r="2641" customHeight="1" spans="4:7">
      <c r="D2641" s="256">
        <v>46021</v>
      </c>
      <c r="E2641" s="257" t="s">
        <v>6815</v>
      </c>
      <c r="F2641" s="257" t="s">
        <v>6830</v>
      </c>
      <c r="G2641" s="257" t="s">
        <v>4143</v>
      </c>
    </row>
    <row r="2642" customHeight="1" spans="4:7">
      <c r="D2642" s="256">
        <v>46021</v>
      </c>
      <c r="E2642" s="257" t="s">
        <v>6815</v>
      </c>
      <c r="F2642" s="257" t="s">
        <v>6831</v>
      </c>
      <c r="G2642" s="257" t="s">
        <v>2888</v>
      </c>
    </row>
    <row r="2643" customHeight="1" spans="4:7">
      <c r="D2643" s="256">
        <v>46021</v>
      </c>
      <c r="E2643" s="257" t="s">
        <v>6815</v>
      </c>
      <c r="F2643" s="257" t="s">
        <v>6832</v>
      </c>
      <c r="G2643" s="257" t="s">
        <v>6833</v>
      </c>
    </row>
    <row r="2644" customHeight="1" spans="4:7">
      <c r="D2644" s="256">
        <v>46021</v>
      </c>
      <c r="E2644" s="257" t="s">
        <v>6815</v>
      </c>
      <c r="F2644" s="257" t="s">
        <v>6834</v>
      </c>
      <c r="G2644" s="257" t="s">
        <v>6835</v>
      </c>
    </row>
    <row r="2645" customHeight="1" spans="4:7">
      <c r="D2645" s="256">
        <v>46021</v>
      </c>
      <c r="E2645" s="257" t="s">
        <v>6815</v>
      </c>
      <c r="F2645" s="257" t="s">
        <v>6836</v>
      </c>
      <c r="G2645" s="257" t="s">
        <v>6837</v>
      </c>
    </row>
    <row r="2646" customHeight="1" spans="4:7">
      <c r="D2646" s="256">
        <v>46021</v>
      </c>
      <c r="E2646" s="257" t="s">
        <v>6815</v>
      </c>
      <c r="F2646" s="257" t="s">
        <v>6838</v>
      </c>
      <c r="G2646" s="257" t="s">
        <v>6839</v>
      </c>
    </row>
    <row r="2647" customHeight="1" spans="4:7">
      <c r="D2647" s="256">
        <v>46021</v>
      </c>
      <c r="E2647" s="257" t="s">
        <v>6815</v>
      </c>
      <c r="F2647" s="257" t="s">
        <v>6840</v>
      </c>
      <c r="G2647" s="257" t="s">
        <v>6841</v>
      </c>
    </row>
    <row r="2648" customHeight="1" spans="4:7">
      <c r="D2648" s="256">
        <v>46021</v>
      </c>
      <c r="E2648" s="257" t="s">
        <v>6815</v>
      </c>
      <c r="F2648" s="257" t="s">
        <v>6842</v>
      </c>
      <c r="G2648" s="257" t="s">
        <v>6843</v>
      </c>
    </row>
    <row r="2649" customHeight="1" spans="4:7">
      <c r="D2649" s="256">
        <v>46021</v>
      </c>
      <c r="E2649" s="257" t="s">
        <v>6815</v>
      </c>
      <c r="F2649" s="257" t="s">
        <v>6844</v>
      </c>
      <c r="G2649" s="257" t="s">
        <v>6845</v>
      </c>
    </row>
    <row r="2650" customHeight="1" spans="4:7">
      <c r="D2650" s="256">
        <v>46021</v>
      </c>
      <c r="E2650" s="257" t="s">
        <v>6815</v>
      </c>
      <c r="F2650" s="257" t="s">
        <v>6846</v>
      </c>
      <c r="G2650" s="257" t="s">
        <v>6847</v>
      </c>
    </row>
    <row r="2651" customHeight="1" spans="4:7">
      <c r="D2651" s="256">
        <v>46021</v>
      </c>
      <c r="E2651" s="257" t="s">
        <v>6815</v>
      </c>
      <c r="F2651" s="257" t="s">
        <v>6848</v>
      </c>
      <c r="G2651" s="257" t="s">
        <v>6849</v>
      </c>
    </row>
    <row r="2652" customHeight="1" spans="4:7">
      <c r="D2652" s="256">
        <v>46021</v>
      </c>
      <c r="E2652" s="257" t="s">
        <v>6815</v>
      </c>
      <c r="F2652" s="257" t="s">
        <v>6850</v>
      </c>
      <c r="G2652" s="257" t="s">
        <v>6851</v>
      </c>
    </row>
    <row r="2653" customHeight="1" spans="4:7">
      <c r="D2653" s="256">
        <v>46021</v>
      </c>
      <c r="E2653" s="257" t="s">
        <v>6815</v>
      </c>
      <c r="F2653" s="257" t="s">
        <v>6852</v>
      </c>
      <c r="G2653" s="257" t="s">
        <v>1442</v>
      </c>
    </row>
    <row r="2654" customHeight="1" spans="4:7">
      <c r="D2654" s="256">
        <v>46021</v>
      </c>
      <c r="E2654" s="257" t="s">
        <v>6815</v>
      </c>
      <c r="F2654" s="257" t="s">
        <v>6853</v>
      </c>
      <c r="G2654" s="257" t="s">
        <v>6854</v>
      </c>
    </row>
    <row r="2655" customHeight="1" spans="4:7">
      <c r="D2655" s="256">
        <v>50019</v>
      </c>
      <c r="E2655" s="257" t="s">
        <v>6855</v>
      </c>
      <c r="F2655" s="257" t="s">
        <v>6856</v>
      </c>
      <c r="G2655" s="257" t="s">
        <v>2554</v>
      </c>
    </row>
    <row r="2656" customHeight="1" spans="4:7">
      <c r="D2656" s="256">
        <v>50019</v>
      </c>
      <c r="E2656" s="257" t="s">
        <v>6855</v>
      </c>
      <c r="F2656" s="257" t="s">
        <v>6857</v>
      </c>
      <c r="G2656" s="257" t="s">
        <v>6858</v>
      </c>
    </row>
    <row r="2657" customHeight="1" spans="4:7">
      <c r="D2657" s="256">
        <v>50019</v>
      </c>
      <c r="E2657" s="257" t="s">
        <v>6855</v>
      </c>
      <c r="F2657" s="257" t="s">
        <v>6859</v>
      </c>
      <c r="G2657" s="257" t="s">
        <v>5782</v>
      </c>
    </row>
    <row r="2658" customHeight="1" spans="4:7">
      <c r="D2658" s="256">
        <v>50019</v>
      </c>
      <c r="E2658" s="257" t="s">
        <v>6855</v>
      </c>
      <c r="F2658" s="257" t="s">
        <v>6860</v>
      </c>
      <c r="G2658" s="257" t="s">
        <v>2734</v>
      </c>
    </row>
    <row r="2659" customHeight="1" spans="4:7">
      <c r="D2659" s="256">
        <v>50019</v>
      </c>
      <c r="E2659" s="257" t="s">
        <v>6855</v>
      </c>
      <c r="F2659" s="257" t="s">
        <v>6861</v>
      </c>
      <c r="G2659" s="257" t="s">
        <v>6862</v>
      </c>
    </row>
    <row r="2660" customHeight="1" spans="4:7">
      <c r="D2660" s="256">
        <v>50019</v>
      </c>
      <c r="E2660" s="257" t="s">
        <v>6855</v>
      </c>
      <c r="F2660" s="257" t="s">
        <v>6863</v>
      </c>
      <c r="G2660" s="257" t="s">
        <v>6864</v>
      </c>
    </row>
    <row r="2661" customHeight="1" spans="4:7">
      <c r="D2661" s="256">
        <v>50019</v>
      </c>
      <c r="E2661" s="257" t="s">
        <v>6855</v>
      </c>
      <c r="F2661" s="257" t="s">
        <v>6865</v>
      </c>
      <c r="G2661" s="257" t="s">
        <v>6866</v>
      </c>
    </row>
    <row r="2662" customHeight="1" spans="4:7">
      <c r="D2662" s="256">
        <v>50019</v>
      </c>
      <c r="E2662" s="257" t="s">
        <v>6855</v>
      </c>
      <c r="F2662" s="257" t="s">
        <v>6867</v>
      </c>
      <c r="G2662" s="257" t="s">
        <v>6868</v>
      </c>
    </row>
    <row r="2663" customHeight="1" spans="4:7">
      <c r="D2663" s="256">
        <v>50019</v>
      </c>
      <c r="E2663" s="257" t="s">
        <v>6855</v>
      </c>
      <c r="F2663" s="257" t="s">
        <v>6869</v>
      </c>
      <c r="G2663" s="257" t="s">
        <v>6870</v>
      </c>
    </row>
    <row r="2664" customHeight="1" spans="4:7">
      <c r="D2664" s="256">
        <v>50019</v>
      </c>
      <c r="E2664" s="257" t="s">
        <v>6855</v>
      </c>
      <c r="F2664" s="257" t="s">
        <v>6871</v>
      </c>
      <c r="G2664" s="257" t="s">
        <v>6872</v>
      </c>
    </row>
    <row r="2665" customHeight="1" spans="4:7">
      <c r="D2665" s="256">
        <v>50019</v>
      </c>
      <c r="E2665" s="257" t="s">
        <v>6855</v>
      </c>
      <c r="F2665" s="257" t="s">
        <v>6873</v>
      </c>
      <c r="G2665" s="257" t="s">
        <v>6874</v>
      </c>
    </row>
    <row r="2666" customHeight="1" spans="4:7">
      <c r="D2666" s="256">
        <v>50019</v>
      </c>
      <c r="E2666" s="257" t="s">
        <v>6855</v>
      </c>
      <c r="F2666" s="257" t="s">
        <v>6875</v>
      </c>
      <c r="G2666" s="257" t="s">
        <v>6876</v>
      </c>
    </row>
    <row r="2667" customHeight="1" spans="4:7">
      <c r="D2667" s="256">
        <v>47011</v>
      </c>
      <c r="E2667" s="257" t="s">
        <v>6877</v>
      </c>
      <c r="F2667" s="257" t="s">
        <v>6878</v>
      </c>
      <c r="G2667" s="257" t="s">
        <v>6879</v>
      </c>
    </row>
    <row r="2668" customHeight="1" spans="4:7">
      <c r="D2668" s="256">
        <v>47011</v>
      </c>
      <c r="E2668" s="257" t="s">
        <v>6877</v>
      </c>
      <c r="F2668" s="257" t="s">
        <v>6880</v>
      </c>
      <c r="G2668" s="257" t="s">
        <v>6881</v>
      </c>
    </row>
    <row r="2669" customHeight="1" spans="4:7">
      <c r="D2669" s="256">
        <v>47011</v>
      </c>
      <c r="E2669" s="257" t="s">
        <v>6877</v>
      </c>
      <c r="F2669" s="257" t="s">
        <v>6882</v>
      </c>
      <c r="G2669" s="257" t="s">
        <v>6883</v>
      </c>
    </row>
    <row r="2670" customHeight="1" spans="4:7">
      <c r="D2670" s="256">
        <v>47011</v>
      </c>
      <c r="E2670" s="257" t="s">
        <v>6877</v>
      </c>
      <c r="F2670" s="257" t="s">
        <v>6884</v>
      </c>
      <c r="G2670" s="257" t="s">
        <v>6885</v>
      </c>
    </row>
    <row r="2671" customHeight="1" spans="4:7">
      <c r="D2671" s="256">
        <v>47011</v>
      </c>
      <c r="E2671" s="257" t="s">
        <v>6877</v>
      </c>
      <c r="F2671" s="257" t="s">
        <v>6886</v>
      </c>
      <c r="G2671" s="257" t="s">
        <v>2256</v>
      </c>
    </row>
    <row r="2672" customHeight="1" spans="4:7">
      <c r="D2672" s="256">
        <v>48028</v>
      </c>
      <c r="E2672" s="257" t="s">
        <v>6887</v>
      </c>
      <c r="F2672" s="257" t="s">
        <v>6888</v>
      </c>
      <c r="G2672" s="257" t="s">
        <v>6889</v>
      </c>
    </row>
    <row r="2673" customHeight="1" spans="4:7">
      <c r="D2673" s="256">
        <v>48028</v>
      </c>
      <c r="E2673" s="257" t="s">
        <v>6887</v>
      </c>
      <c r="F2673" s="257" t="s">
        <v>6890</v>
      </c>
      <c r="G2673" s="257" t="s">
        <v>6891</v>
      </c>
    </row>
    <row r="2674" customHeight="1" spans="4:7">
      <c r="D2674" s="256">
        <v>48028</v>
      </c>
      <c r="E2674" s="257" t="s">
        <v>6887</v>
      </c>
      <c r="F2674" s="257" t="s">
        <v>6892</v>
      </c>
      <c r="G2674" s="257" t="s">
        <v>6893</v>
      </c>
    </row>
    <row r="2675" customHeight="1" spans="4:7">
      <c r="D2675" s="256">
        <v>48028</v>
      </c>
      <c r="E2675" s="257" t="s">
        <v>6887</v>
      </c>
      <c r="F2675" s="257" t="s">
        <v>6894</v>
      </c>
      <c r="G2675" s="257" t="s">
        <v>6895</v>
      </c>
    </row>
    <row r="2676" customHeight="1" spans="4:7">
      <c r="D2676" s="256">
        <v>48028</v>
      </c>
      <c r="E2676" s="257" t="s">
        <v>6887</v>
      </c>
      <c r="F2676" s="257" t="s">
        <v>6896</v>
      </c>
      <c r="G2676" s="257" t="s">
        <v>6897</v>
      </c>
    </row>
    <row r="2677" customHeight="1" spans="4:7">
      <c r="D2677" s="256">
        <v>48028</v>
      </c>
      <c r="E2677" s="257" t="s">
        <v>6887</v>
      </c>
      <c r="F2677" s="257" t="s">
        <v>6898</v>
      </c>
      <c r="G2677" s="257" t="s">
        <v>6899</v>
      </c>
    </row>
    <row r="2678" customHeight="1" spans="4:7">
      <c r="D2678" s="256">
        <v>48028</v>
      </c>
      <c r="E2678" s="257" t="s">
        <v>6887</v>
      </c>
      <c r="F2678" s="257" t="s">
        <v>6900</v>
      </c>
      <c r="G2678" s="257" t="s">
        <v>6901</v>
      </c>
    </row>
    <row r="2679" customHeight="1" spans="4:7">
      <c r="D2679" s="256">
        <v>48028</v>
      </c>
      <c r="E2679" s="257" t="s">
        <v>6887</v>
      </c>
      <c r="F2679" s="257" t="s">
        <v>6902</v>
      </c>
      <c r="G2679" s="257" t="s">
        <v>6903</v>
      </c>
    </row>
    <row r="2680" customHeight="1" spans="4:7">
      <c r="D2680" s="256">
        <v>48028</v>
      </c>
      <c r="E2680" s="257" t="s">
        <v>6887</v>
      </c>
      <c r="F2680" s="257" t="s">
        <v>6904</v>
      </c>
      <c r="G2680" s="257" t="s">
        <v>6905</v>
      </c>
    </row>
    <row r="2681" customHeight="1" spans="4:7">
      <c r="D2681" s="256">
        <v>48028</v>
      </c>
      <c r="E2681" s="257" t="s">
        <v>6887</v>
      </c>
      <c r="F2681" s="257" t="s">
        <v>6906</v>
      </c>
      <c r="G2681" s="257" t="s">
        <v>6907</v>
      </c>
    </row>
    <row r="2682" customHeight="1" spans="4:7">
      <c r="D2682" s="256">
        <v>51023</v>
      </c>
      <c r="E2682" s="257" t="s">
        <v>6908</v>
      </c>
      <c r="F2682" s="257" t="s">
        <v>6909</v>
      </c>
      <c r="G2682" s="257" t="s">
        <v>6910</v>
      </c>
    </row>
    <row r="2683" customHeight="1" spans="4:7">
      <c r="D2683" s="256">
        <v>51023</v>
      </c>
      <c r="E2683" s="257" t="s">
        <v>6908</v>
      </c>
      <c r="F2683" s="257" t="s">
        <v>6911</v>
      </c>
      <c r="G2683" s="257" t="s">
        <v>6912</v>
      </c>
    </row>
    <row r="2684" customHeight="1" spans="4:7">
      <c r="D2684" s="256">
        <v>51023</v>
      </c>
      <c r="E2684" s="257" t="s">
        <v>6908</v>
      </c>
      <c r="F2684" s="257" t="s">
        <v>6913</v>
      </c>
      <c r="G2684" s="257" t="s">
        <v>1332</v>
      </c>
    </row>
    <row r="2685" customHeight="1" spans="4:7">
      <c r="D2685" s="256">
        <v>51023</v>
      </c>
      <c r="E2685" s="257" t="s">
        <v>6908</v>
      </c>
      <c r="F2685" s="257" t="s">
        <v>6914</v>
      </c>
      <c r="G2685" s="257" t="s">
        <v>6915</v>
      </c>
    </row>
    <row r="2686" customHeight="1" spans="4:7">
      <c r="D2686" s="256">
        <v>51023</v>
      </c>
      <c r="E2686" s="257" t="s">
        <v>6908</v>
      </c>
      <c r="F2686" s="257" t="s">
        <v>6916</v>
      </c>
      <c r="G2686" s="257" t="s">
        <v>6917</v>
      </c>
    </row>
    <row r="2687" customHeight="1" spans="4:7">
      <c r="D2687" s="256">
        <v>51023</v>
      </c>
      <c r="E2687" s="257" t="s">
        <v>6908</v>
      </c>
      <c r="F2687" s="257" t="s">
        <v>6918</v>
      </c>
      <c r="G2687" s="257" t="s">
        <v>6919</v>
      </c>
    </row>
    <row r="2688" customHeight="1" spans="4:7">
      <c r="D2688" s="256">
        <v>100003</v>
      </c>
      <c r="E2688" s="257" t="s">
        <v>6920</v>
      </c>
      <c r="F2688" s="257" t="s">
        <v>6921</v>
      </c>
      <c r="G2688" s="257" t="s">
        <v>6922</v>
      </c>
    </row>
    <row r="2689" customHeight="1" spans="4:7">
      <c r="D2689" s="256">
        <v>100003</v>
      </c>
      <c r="E2689" s="257" t="s">
        <v>6920</v>
      </c>
      <c r="F2689" s="257" t="s">
        <v>6923</v>
      </c>
      <c r="G2689" s="257" t="s">
        <v>6924</v>
      </c>
    </row>
    <row r="2690" customHeight="1" spans="4:7">
      <c r="D2690" s="256">
        <v>100003</v>
      </c>
      <c r="E2690" s="257" t="s">
        <v>6920</v>
      </c>
      <c r="F2690" s="257" t="s">
        <v>6925</v>
      </c>
      <c r="G2690" s="257" t="s">
        <v>6926</v>
      </c>
    </row>
    <row r="2691" customHeight="1" spans="4:7">
      <c r="D2691" s="256">
        <v>100003</v>
      </c>
      <c r="E2691" s="257" t="s">
        <v>6920</v>
      </c>
      <c r="F2691" s="257" t="s">
        <v>6927</v>
      </c>
      <c r="G2691" s="257" t="s">
        <v>2488</v>
      </c>
    </row>
    <row r="2692" customHeight="1" spans="4:7">
      <c r="D2692" s="256">
        <v>100003</v>
      </c>
      <c r="E2692" s="257" t="s">
        <v>6920</v>
      </c>
      <c r="F2692" s="257" t="s">
        <v>6928</v>
      </c>
      <c r="G2692" s="257" t="s">
        <v>6929</v>
      </c>
    </row>
    <row r="2693" customHeight="1" spans="4:7">
      <c r="D2693" s="256">
        <v>100003</v>
      </c>
      <c r="E2693" s="257" t="s">
        <v>6920</v>
      </c>
      <c r="F2693" s="257" t="s">
        <v>6930</v>
      </c>
      <c r="G2693" s="257" t="s">
        <v>6931</v>
      </c>
    </row>
    <row r="2694" customHeight="1" spans="4:7">
      <c r="D2694" s="256">
        <v>52015</v>
      </c>
      <c r="E2694" s="257" t="s">
        <v>6932</v>
      </c>
      <c r="F2694" s="257" t="s">
        <v>6933</v>
      </c>
      <c r="G2694" s="257" t="s">
        <v>6934</v>
      </c>
    </row>
    <row r="2695" customHeight="1" spans="4:7">
      <c r="D2695" s="256">
        <v>52015</v>
      </c>
      <c r="E2695" s="257" t="s">
        <v>6932</v>
      </c>
      <c r="F2695" s="257" t="s">
        <v>6935</v>
      </c>
      <c r="G2695" s="257" t="s">
        <v>2791</v>
      </c>
    </row>
    <row r="2696" customHeight="1" spans="4:7">
      <c r="D2696" s="256">
        <v>52015</v>
      </c>
      <c r="E2696" s="257" t="s">
        <v>6932</v>
      </c>
      <c r="F2696" s="257" t="s">
        <v>6936</v>
      </c>
      <c r="G2696" s="257" t="s">
        <v>6937</v>
      </c>
    </row>
    <row r="2697" customHeight="1" spans="4:7">
      <c r="D2697" s="256">
        <v>52015</v>
      </c>
      <c r="E2697" s="257" t="s">
        <v>6932</v>
      </c>
      <c r="F2697" s="257" t="s">
        <v>6938</v>
      </c>
      <c r="G2697" s="257" t="s">
        <v>6939</v>
      </c>
    </row>
    <row r="2698" customHeight="1" spans="4:7">
      <c r="D2698" s="256">
        <v>52015</v>
      </c>
      <c r="E2698" s="257" t="s">
        <v>6932</v>
      </c>
      <c r="F2698" s="257" t="s">
        <v>6940</v>
      </c>
      <c r="G2698" s="257" t="s">
        <v>6941</v>
      </c>
    </row>
    <row r="2699" customHeight="1" spans="4:7">
      <c r="D2699" s="256">
        <v>52015</v>
      </c>
      <c r="E2699" s="257" t="s">
        <v>6932</v>
      </c>
      <c r="F2699" s="257" t="s">
        <v>6942</v>
      </c>
      <c r="G2699" s="257" t="s">
        <v>6943</v>
      </c>
    </row>
    <row r="2700" customHeight="1" spans="4:7">
      <c r="D2700" s="256">
        <v>52015</v>
      </c>
      <c r="E2700" s="257" t="s">
        <v>6932</v>
      </c>
      <c r="F2700" s="257" t="s">
        <v>6944</v>
      </c>
      <c r="G2700" s="257" t="s">
        <v>6945</v>
      </c>
    </row>
    <row r="2701" customHeight="1" spans="4:7">
      <c r="D2701" s="256">
        <v>52015</v>
      </c>
      <c r="E2701" s="257" t="s">
        <v>6932</v>
      </c>
      <c r="F2701" s="257" t="s">
        <v>6946</v>
      </c>
      <c r="G2701" s="257" t="s">
        <v>6947</v>
      </c>
    </row>
    <row r="2702" customHeight="1" spans="4:7">
      <c r="D2702" s="256">
        <v>52015</v>
      </c>
      <c r="E2702" s="257" t="s">
        <v>6932</v>
      </c>
      <c r="F2702" s="257" t="s">
        <v>6948</v>
      </c>
      <c r="G2702" s="257" t="s">
        <v>6562</v>
      </c>
    </row>
    <row r="2703" customHeight="1" spans="4:7">
      <c r="D2703" s="256">
        <v>52015</v>
      </c>
      <c r="E2703" s="257" t="s">
        <v>6932</v>
      </c>
      <c r="F2703" s="257" t="s">
        <v>6949</v>
      </c>
      <c r="G2703" s="257" t="s">
        <v>4358</v>
      </c>
    </row>
    <row r="2704" customHeight="1" spans="4:7">
      <c r="D2704" s="256">
        <v>52015</v>
      </c>
      <c r="E2704" s="257" t="s">
        <v>6932</v>
      </c>
      <c r="F2704" s="257" t="s">
        <v>6950</v>
      </c>
      <c r="G2704" s="257" t="s">
        <v>3559</v>
      </c>
    </row>
    <row r="2705" customHeight="1" spans="4:7">
      <c r="D2705" s="256">
        <v>52015</v>
      </c>
      <c r="E2705" s="257" t="s">
        <v>6932</v>
      </c>
      <c r="F2705" s="257" t="s">
        <v>6951</v>
      </c>
      <c r="G2705" s="257" t="s">
        <v>6952</v>
      </c>
    </row>
    <row r="2706" customHeight="1" spans="4:7">
      <c r="D2706" s="256">
        <v>52015</v>
      </c>
      <c r="E2706" s="257" t="s">
        <v>6932</v>
      </c>
      <c r="F2706" s="257" t="s">
        <v>6953</v>
      </c>
      <c r="G2706" s="257" t="s">
        <v>4605</v>
      </c>
    </row>
    <row r="2707" customHeight="1" spans="4:7">
      <c r="D2707" s="256">
        <v>52015</v>
      </c>
      <c r="E2707" s="257" t="s">
        <v>6932</v>
      </c>
      <c r="F2707" s="257" t="s">
        <v>6954</v>
      </c>
      <c r="G2707" s="257" t="s">
        <v>6955</v>
      </c>
    </row>
    <row r="2708" customHeight="1" spans="4:7">
      <c r="D2708" s="256">
        <v>52015</v>
      </c>
      <c r="E2708" s="257" t="s">
        <v>6932</v>
      </c>
      <c r="F2708" s="257" t="s">
        <v>6956</v>
      </c>
      <c r="G2708" s="257" t="s">
        <v>6957</v>
      </c>
    </row>
    <row r="2709" customHeight="1" spans="4:7">
      <c r="D2709" s="256">
        <v>52015</v>
      </c>
      <c r="E2709" s="257" t="s">
        <v>6932</v>
      </c>
      <c r="F2709" s="257" t="s">
        <v>6958</v>
      </c>
      <c r="G2709" s="257" t="s">
        <v>6959</v>
      </c>
    </row>
    <row r="2710" customHeight="1" spans="4:7">
      <c r="D2710" s="256">
        <v>52015</v>
      </c>
      <c r="E2710" s="257" t="s">
        <v>6932</v>
      </c>
      <c r="F2710" s="257" t="s">
        <v>6960</v>
      </c>
      <c r="G2710" s="257" t="s">
        <v>6961</v>
      </c>
    </row>
    <row r="2711" customHeight="1" spans="4:7">
      <c r="D2711" s="256">
        <v>52015</v>
      </c>
      <c r="E2711" s="257" t="s">
        <v>6932</v>
      </c>
      <c r="F2711" s="257" t="s">
        <v>6962</v>
      </c>
      <c r="G2711" s="257" t="s">
        <v>6963</v>
      </c>
    </row>
    <row r="2712" customHeight="1" spans="4:7">
      <c r="D2712" s="256">
        <v>52015</v>
      </c>
      <c r="E2712" s="257" t="s">
        <v>6932</v>
      </c>
      <c r="F2712" s="257" t="s">
        <v>6964</v>
      </c>
      <c r="G2712" s="257" t="s">
        <v>6965</v>
      </c>
    </row>
    <row r="2713" customHeight="1" spans="4:7">
      <c r="D2713" s="256">
        <v>52015</v>
      </c>
      <c r="E2713" s="257" t="s">
        <v>6932</v>
      </c>
      <c r="F2713" s="257" t="s">
        <v>6966</v>
      </c>
      <c r="G2713" s="257" t="s">
        <v>6967</v>
      </c>
    </row>
    <row r="2714" customHeight="1" spans="4:7">
      <c r="D2714" s="256">
        <v>52015</v>
      </c>
      <c r="E2714" s="257" t="s">
        <v>6932</v>
      </c>
      <c r="F2714" s="257" t="s">
        <v>6968</v>
      </c>
      <c r="G2714" s="257" t="s">
        <v>6969</v>
      </c>
    </row>
    <row r="2715" customHeight="1" spans="4:7">
      <c r="D2715" s="256">
        <v>52015</v>
      </c>
      <c r="E2715" s="257" t="s">
        <v>6932</v>
      </c>
      <c r="F2715" s="257" t="s">
        <v>6970</v>
      </c>
      <c r="G2715" s="257" t="s">
        <v>4343</v>
      </c>
    </row>
    <row r="2716" customHeight="1" spans="4:7">
      <c r="D2716" s="256">
        <v>52015</v>
      </c>
      <c r="E2716" s="257" t="s">
        <v>6932</v>
      </c>
      <c r="F2716" s="257" t="s">
        <v>6971</v>
      </c>
      <c r="G2716" s="257" t="s">
        <v>6972</v>
      </c>
    </row>
    <row r="2717" customHeight="1" spans="4:7">
      <c r="D2717" s="256">
        <v>52015</v>
      </c>
      <c r="E2717" s="257" t="s">
        <v>6932</v>
      </c>
      <c r="F2717" s="257" t="s">
        <v>6973</v>
      </c>
      <c r="G2717" s="257" t="s">
        <v>6974</v>
      </c>
    </row>
    <row r="2718" customHeight="1" spans="4:7">
      <c r="D2718" s="256">
        <v>52015</v>
      </c>
      <c r="E2718" s="257" t="s">
        <v>6932</v>
      </c>
      <c r="F2718" s="257" t="s">
        <v>6975</v>
      </c>
      <c r="G2718" s="257" t="s">
        <v>6976</v>
      </c>
    </row>
    <row r="2719" customHeight="1" spans="4:7">
      <c r="D2719" s="256">
        <v>52015</v>
      </c>
      <c r="E2719" s="257" t="s">
        <v>6932</v>
      </c>
      <c r="F2719" s="257" t="s">
        <v>6977</v>
      </c>
      <c r="G2719" s="257" t="s">
        <v>6978</v>
      </c>
    </row>
    <row r="2720" customHeight="1" spans="4:7">
      <c r="D2720" s="256">
        <v>52015</v>
      </c>
      <c r="E2720" s="257" t="s">
        <v>6932</v>
      </c>
      <c r="F2720" s="257" t="s">
        <v>6979</v>
      </c>
      <c r="G2720" s="257" t="s">
        <v>6980</v>
      </c>
    </row>
    <row r="2721" customHeight="1" spans="4:7">
      <c r="D2721" s="256">
        <v>52015</v>
      </c>
      <c r="E2721" s="257" t="s">
        <v>6932</v>
      </c>
      <c r="F2721" s="257" t="s">
        <v>6981</v>
      </c>
      <c r="G2721" s="257" t="s">
        <v>6982</v>
      </c>
    </row>
    <row r="2722" customHeight="1" spans="4:7">
      <c r="D2722" s="256">
        <v>52015</v>
      </c>
      <c r="E2722" s="257" t="s">
        <v>6932</v>
      </c>
      <c r="F2722" s="257" t="s">
        <v>6983</v>
      </c>
      <c r="G2722" s="257" t="s">
        <v>6984</v>
      </c>
    </row>
    <row r="2723" customHeight="1" spans="4:7">
      <c r="D2723" s="256">
        <v>52015</v>
      </c>
      <c r="E2723" s="257" t="s">
        <v>6932</v>
      </c>
      <c r="F2723" s="257" t="s">
        <v>6985</v>
      </c>
      <c r="G2723" s="257" t="s">
        <v>6986</v>
      </c>
    </row>
    <row r="2724" customHeight="1" spans="4:7">
      <c r="D2724" s="256">
        <v>52015</v>
      </c>
      <c r="E2724" s="257" t="s">
        <v>6932</v>
      </c>
      <c r="F2724" s="257" t="s">
        <v>6987</v>
      </c>
      <c r="G2724" s="257" t="s">
        <v>6988</v>
      </c>
    </row>
    <row r="2725" customHeight="1" spans="4:7">
      <c r="D2725" s="256">
        <v>52015</v>
      </c>
      <c r="E2725" s="257" t="s">
        <v>6932</v>
      </c>
      <c r="F2725" s="257" t="s">
        <v>6989</v>
      </c>
      <c r="G2725" s="257" t="s">
        <v>6990</v>
      </c>
    </row>
    <row r="2726" customHeight="1" spans="4:7">
      <c r="D2726" s="256">
        <v>52015</v>
      </c>
      <c r="E2726" s="257" t="s">
        <v>6932</v>
      </c>
      <c r="F2726" s="257" t="s">
        <v>6991</v>
      </c>
      <c r="G2726" s="257" t="s">
        <v>6992</v>
      </c>
    </row>
    <row r="2727" customHeight="1" spans="4:7">
      <c r="D2727" s="256">
        <v>52015</v>
      </c>
      <c r="E2727" s="257" t="s">
        <v>6932</v>
      </c>
      <c r="F2727" s="257" t="s">
        <v>6993</v>
      </c>
      <c r="G2727" s="257" t="s">
        <v>6283</v>
      </c>
    </row>
    <row r="2728" customHeight="1" spans="4:7">
      <c r="D2728" s="256">
        <v>52015</v>
      </c>
      <c r="E2728" s="257" t="s">
        <v>6932</v>
      </c>
      <c r="F2728" s="257" t="s">
        <v>6994</v>
      </c>
      <c r="G2728" s="257" t="s">
        <v>6995</v>
      </c>
    </row>
    <row r="2729" customHeight="1" spans="4:7">
      <c r="D2729" s="256">
        <v>52015</v>
      </c>
      <c r="E2729" s="257" t="s">
        <v>6932</v>
      </c>
      <c r="F2729" s="257" t="s">
        <v>6996</v>
      </c>
      <c r="G2729" s="257" t="s">
        <v>6997</v>
      </c>
    </row>
    <row r="2730" customHeight="1" spans="4:7">
      <c r="D2730" s="256">
        <v>52015</v>
      </c>
      <c r="E2730" s="257" t="s">
        <v>6932</v>
      </c>
      <c r="F2730" s="257" t="s">
        <v>6998</v>
      </c>
      <c r="G2730" s="257" t="s">
        <v>6999</v>
      </c>
    </row>
    <row r="2731" customHeight="1" spans="4:7">
      <c r="D2731" s="256">
        <v>52015</v>
      </c>
      <c r="E2731" s="257" t="s">
        <v>6932</v>
      </c>
      <c r="F2731" s="257" t="s">
        <v>7000</v>
      </c>
      <c r="G2731" s="257" t="s">
        <v>7001</v>
      </c>
    </row>
    <row r="2732" customHeight="1" spans="4:7">
      <c r="D2732" s="256">
        <v>52015</v>
      </c>
      <c r="E2732" s="257" t="s">
        <v>6932</v>
      </c>
      <c r="F2732" s="257" t="s">
        <v>7002</v>
      </c>
      <c r="G2732" s="257" t="s">
        <v>7003</v>
      </c>
    </row>
    <row r="2733" customHeight="1" spans="4:7">
      <c r="D2733" s="256">
        <v>51024</v>
      </c>
      <c r="E2733" s="257" t="s">
        <v>7004</v>
      </c>
      <c r="F2733" s="257" t="s">
        <v>7005</v>
      </c>
      <c r="G2733" s="257" t="s">
        <v>7006</v>
      </c>
    </row>
    <row r="2734" customHeight="1" spans="4:7">
      <c r="D2734" s="256">
        <v>51024</v>
      </c>
      <c r="E2734" s="257" t="s">
        <v>7004</v>
      </c>
      <c r="F2734" s="257" t="s">
        <v>7007</v>
      </c>
      <c r="G2734" s="257" t="s">
        <v>7008</v>
      </c>
    </row>
    <row r="2735" customHeight="1" spans="4:7">
      <c r="D2735" s="256">
        <v>51024</v>
      </c>
      <c r="E2735" s="257" t="s">
        <v>7004</v>
      </c>
      <c r="F2735" s="257" t="s">
        <v>7009</v>
      </c>
      <c r="G2735" s="257" t="s">
        <v>7010</v>
      </c>
    </row>
    <row r="2736" customHeight="1" spans="4:7">
      <c r="D2736" s="256">
        <v>51024</v>
      </c>
      <c r="E2736" s="257" t="s">
        <v>7004</v>
      </c>
      <c r="F2736" s="257" t="s">
        <v>7011</v>
      </c>
      <c r="G2736" s="257" t="s">
        <v>3230</v>
      </c>
    </row>
    <row r="2737" customHeight="1" spans="4:7">
      <c r="D2737" s="256">
        <v>51024</v>
      </c>
      <c r="E2737" s="257" t="s">
        <v>7004</v>
      </c>
      <c r="F2737" s="257" t="s">
        <v>7012</v>
      </c>
      <c r="G2737" s="257" t="s">
        <v>7013</v>
      </c>
    </row>
    <row r="2738" customHeight="1" spans="4:7">
      <c r="D2738" s="256">
        <v>51024</v>
      </c>
      <c r="E2738" s="257" t="s">
        <v>7004</v>
      </c>
      <c r="F2738" s="257" t="s">
        <v>7014</v>
      </c>
      <c r="G2738" s="257" t="s">
        <v>7015</v>
      </c>
    </row>
    <row r="2739" customHeight="1" spans="4:7">
      <c r="D2739" s="256">
        <v>51024</v>
      </c>
      <c r="E2739" s="257" t="s">
        <v>7004</v>
      </c>
      <c r="F2739" s="257" t="s">
        <v>7016</v>
      </c>
      <c r="G2739" s="257" t="s">
        <v>7017</v>
      </c>
    </row>
    <row r="2740" customHeight="1" spans="4:7">
      <c r="D2740" s="256">
        <v>51024</v>
      </c>
      <c r="E2740" s="257" t="s">
        <v>7004</v>
      </c>
      <c r="F2740" s="257" t="s">
        <v>7018</v>
      </c>
      <c r="G2740" s="257" t="s">
        <v>7019</v>
      </c>
    </row>
    <row r="2741" customHeight="1" spans="4:7">
      <c r="D2741" s="256">
        <v>51024</v>
      </c>
      <c r="E2741" s="257" t="s">
        <v>7004</v>
      </c>
      <c r="F2741" s="257" t="s">
        <v>7020</v>
      </c>
      <c r="G2741" s="257" t="s">
        <v>4170</v>
      </c>
    </row>
    <row r="2742" customHeight="1" spans="4:7">
      <c r="D2742" s="256">
        <v>51024</v>
      </c>
      <c r="E2742" s="257" t="s">
        <v>7004</v>
      </c>
      <c r="F2742" s="257" t="s">
        <v>7021</v>
      </c>
      <c r="G2742" s="257" t="s">
        <v>6166</v>
      </c>
    </row>
    <row r="2743" customHeight="1" spans="4:7">
      <c r="D2743" s="256">
        <v>52016</v>
      </c>
      <c r="E2743" s="257" t="s">
        <v>7022</v>
      </c>
      <c r="F2743" s="257" t="s">
        <v>7023</v>
      </c>
      <c r="G2743" s="257" t="s">
        <v>7024</v>
      </c>
    </row>
    <row r="2744" customHeight="1" spans="4:7">
      <c r="D2744" s="256">
        <v>52016</v>
      </c>
      <c r="E2744" s="257" t="s">
        <v>7022</v>
      </c>
      <c r="F2744" s="257" t="s">
        <v>7025</v>
      </c>
      <c r="G2744" s="257" t="s">
        <v>2791</v>
      </c>
    </row>
    <row r="2745" customHeight="1" spans="4:7">
      <c r="D2745" s="256">
        <v>52016</v>
      </c>
      <c r="E2745" s="257" t="s">
        <v>7022</v>
      </c>
      <c r="F2745" s="257" t="s">
        <v>7026</v>
      </c>
      <c r="G2745" s="257" t="s">
        <v>7027</v>
      </c>
    </row>
    <row r="2746" customHeight="1" spans="4:7">
      <c r="D2746" s="256">
        <v>52016</v>
      </c>
      <c r="E2746" s="257" t="s">
        <v>7022</v>
      </c>
      <c r="F2746" s="257" t="s">
        <v>7028</v>
      </c>
      <c r="G2746" s="257" t="s">
        <v>7029</v>
      </c>
    </row>
    <row r="2747" customHeight="1" spans="4:7">
      <c r="D2747" s="256">
        <v>52016</v>
      </c>
      <c r="E2747" s="257" t="s">
        <v>7022</v>
      </c>
      <c r="F2747" s="257" t="s">
        <v>7030</v>
      </c>
      <c r="G2747" s="257" t="s">
        <v>7031</v>
      </c>
    </row>
    <row r="2748" customHeight="1" spans="4:7">
      <c r="D2748" s="256">
        <v>52016</v>
      </c>
      <c r="E2748" s="257" t="s">
        <v>7022</v>
      </c>
      <c r="F2748" s="257" t="s">
        <v>7032</v>
      </c>
      <c r="G2748" s="257" t="s">
        <v>7033</v>
      </c>
    </row>
    <row r="2749" customHeight="1" spans="4:7">
      <c r="D2749" s="256">
        <v>52016</v>
      </c>
      <c r="E2749" s="257" t="s">
        <v>7022</v>
      </c>
      <c r="F2749" s="257" t="s">
        <v>7034</v>
      </c>
      <c r="G2749" s="257" t="s">
        <v>7035</v>
      </c>
    </row>
    <row r="2750" customHeight="1" spans="4:7">
      <c r="D2750" s="256">
        <v>52016</v>
      </c>
      <c r="E2750" s="257" t="s">
        <v>7022</v>
      </c>
      <c r="F2750" s="257" t="s">
        <v>7036</v>
      </c>
      <c r="G2750" s="257" t="s">
        <v>7037</v>
      </c>
    </row>
    <row r="2751" customHeight="1" spans="4:7">
      <c r="D2751" s="256">
        <v>52016</v>
      </c>
      <c r="E2751" s="257" t="s">
        <v>7022</v>
      </c>
      <c r="F2751" s="257" t="s">
        <v>7038</v>
      </c>
      <c r="G2751" s="257" t="s">
        <v>7039</v>
      </c>
    </row>
    <row r="2752" customHeight="1" spans="4:7">
      <c r="D2752" s="256">
        <v>52016</v>
      </c>
      <c r="E2752" s="257" t="s">
        <v>7022</v>
      </c>
      <c r="F2752" s="257" t="s">
        <v>7040</v>
      </c>
      <c r="G2752" s="257" t="s">
        <v>7041</v>
      </c>
    </row>
    <row r="2753" customHeight="1" spans="4:7">
      <c r="D2753" s="256">
        <v>52016</v>
      </c>
      <c r="E2753" s="257" t="s">
        <v>7022</v>
      </c>
      <c r="F2753" s="257" t="s">
        <v>7042</v>
      </c>
      <c r="G2753" s="257" t="s">
        <v>2093</v>
      </c>
    </row>
    <row r="2754" customHeight="1" spans="4:7">
      <c r="D2754" s="256">
        <v>52016</v>
      </c>
      <c r="E2754" s="257" t="s">
        <v>7022</v>
      </c>
      <c r="F2754" s="257" t="s">
        <v>7043</v>
      </c>
      <c r="G2754" s="257" t="s">
        <v>7044</v>
      </c>
    </row>
    <row r="2755" customHeight="1" spans="4:7">
      <c r="D2755" s="256">
        <v>52016</v>
      </c>
      <c r="E2755" s="257" t="s">
        <v>7022</v>
      </c>
      <c r="F2755" s="257" t="s">
        <v>7045</v>
      </c>
      <c r="G2755" s="257" t="s">
        <v>7046</v>
      </c>
    </row>
    <row r="2756" customHeight="1" spans="4:7">
      <c r="D2756" s="256">
        <v>52016</v>
      </c>
      <c r="E2756" s="257" t="s">
        <v>7022</v>
      </c>
      <c r="F2756" s="257" t="s">
        <v>7047</v>
      </c>
      <c r="G2756" s="257" t="s">
        <v>3471</v>
      </c>
    </row>
    <row r="2757" customHeight="1" spans="4:7">
      <c r="D2757" s="256">
        <v>52016</v>
      </c>
      <c r="E2757" s="257" t="s">
        <v>7022</v>
      </c>
      <c r="F2757" s="257" t="s">
        <v>7048</v>
      </c>
      <c r="G2757" s="257" t="s">
        <v>7049</v>
      </c>
    </row>
    <row r="2758" customHeight="1" spans="4:7">
      <c r="D2758" s="256">
        <v>52016</v>
      </c>
      <c r="E2758" s="257" t="s">
        <v>7022</v>
      </c>
      <c r="F2758" s="257" t="s">
        <v>7050</v>
      </c>
      <c r="G2758" s="257" t="s">
        <v>7051</v>
      </c>
    </row>
    <row r="2759" customHeight="1" spans="4:7">
      <c r="D2759" s="256">
        <v>52016</v>
      </c>
      <c r="E2759" s="257" t="s">
        <v>7022</v>
      </c>
      <c r="F2759" s="257" t="s">
        <v>7052</v>
      </c>
      <c r="G2759" s="257" t="s">
        <v>7053</v>
      </c>
    </row>
    <row r="2760" customHeight="1" spans="4:7">
      <c r="D2760" s="256">
        <v>52016</v>
      </c>
      <c r="E2760" s="257" t="s">
        <v>7022</v>
      </c>
      <c r="F2760" s="257" t="s">
        <v>7054</v>
      </c>
      <c r="G2760" s="257" t="s">
        <v>7055</v>
      </c>
    </row>
    <row r="2761" customHeight="1" spans="4:7">
      <c r="D2761" s="256">
        <v>52016</v>
      </c>
      <c r="E2761" s="257" t="s">
        <v>7022</v>
      </c>
      <c r="F2761" s="257" t="s">
        <v>7056</v>
      </c>
      <c r="G2761" s="257" t="s">
        <v>6929</v>
      </c>
    </row>
    <row r="2762" customHeight="1" spans="4:7">
      <c r="D2762" s="256">
        <v>52016</v>
      </c>
      <c r="E2762" s="257" t="s">
        <v>7022</v>
      </c>
      <c r="F2762" s="257" t="s">
        <v>7057</v>
      </c>
      <c r="G2762" s="257" t="s">
        <v>7058</v>
      </c>
    </row>
    <row r="2763" customHeight="1" spans="4:7">
      <c r="D2763" s="256">
        <v>52016</v>
      </c>
      <c r="E2763" s="257" t="s">
        <v>7022</v>
      </c>
      <c r="F2763" s="257" t="s">
        <v>7059</v>
      </c>
      <c r="G2763" s="257" t="s">
        <v>7060</v>
      </c>
    </row>
    <row r="2764" customHeight="1" spans="4:7">
      <c r="D2764" s="256">
        <v>52016</v>
      </c>
      <c r="E2764" s="257" t="s">
        <v>7022</v>
      </c>
      <c r="F2764" s="257" t="s">
        <v>7061</v>
      </c>
      <c r="G2764" s="257" t="s">
        <v>7062</v>
      </c>
    </row>
    <row r="2765" customHeight="1" spans="4:7">
      <c r="D2765" s="256">
        <v>52016</v>
      </c>
      <c r="E2765" s="257" t="s">
        <v>7022</v>
      </c>
      <c r="F2765" s="257" t="s">
        <v>7063</v>
      </c>
      <c r="G2765" s="257" t="s">
        <v>3034</v>
      </c>
    </row>
    <row r="2766" customHeight="1" spans="4:7">
      <c r="D2766" s="256">
        <v>52016</v>
      </c>
      <c r="E2766" s="257" t="s">
        <v>7022</v>
      </c>
      <c r="F2766" s="257" t="s">
        <v>7064</v>
      </c>
      <c r="G2766" s="257" t="s">
        <v>7065</v>
      </c>
    </row>
    <row r="2767" customHeight="1" spans="4:7">
      <c r="D2767" s="256">
        <v>52016</v>
      </c>
      <c r="E2767" s="257" t="s">
        <v>7022</v>
      </c>
      <c r="F2767" s="257" t="s">
        <v>7066</v>
      </c>
      <c r="G2767" s="257" t="s">
        <v>7067</v>
      </c>
    </row>
    <row r="2768" customHeight="1" spans="4:7">
      <c r="D2768" s="256">
        <v>52016</v>
      </c>
      <c r="E2768" s="257" t="s">
        <v>7022</v>
      </c>
      <c r="F2768" s="257" t="s">
        <v>7068</v>
      </c>
      <c r="G2768" s="257" t="s">
        <v>7069</v>
      </c>
    </row>
    <row r="2769" customHeight="1" spans="4:7">
      <c r="D2769" s="256">
        <v>52016</v>
      </c>
      <c r="E2769" s="257" t="s">
        <v>7022</v>
      </c>
      <c r="F2769" s="257" t="s">
        <v>7070</v>
      </c>
      <c r="G2769" s="257" t="s">
        <v>2431</v>
      </c>
    </row>
    <row r="2770" customHeight="1" spans="4:7">
      <c r="D2770" s="256">
        <v>52016</v>
      </c>
      <c r="E2770" s="257" t="s">
        <v>7022</v>
      </c>
      <c r="F2770" s="257" t="s">
        <v>7071</v>
      </c>
      <c r="G2770" s="257" t="s">
        <v>3820</v>
      </c>
    </row>
    <row r="2771" customHeight="1" spans="4:7">
      <c r="D2771" s="256">
        <v>52016</v>
      </c>
      <c r="E2771" s="257" t="s">
        <v>7022</v>
      </c>
      <c r="F2771" s="257" t="s">
        <v>7072</v>
      </c>
      <c r="G2771" s="257" t="s">
        <v>7073</v>
      </c>
    </row>
    <row r="2772" customHeight="1" spans="4:7">
      <c r="D2772" s="256">
        <v>52016</v>
      </c>
      <c r="E2772" s="257" t="s">
        <v>7022</v>
      </c>
      <c r="F2772" s="257" t="s">
        <v>7074</v>
      </c>
      <c r="G2772" s="257" t="s">
        <v>7075</v>
      </c>
    </row>
    <row r="2773" customHeight="1" spans="4:7">
      <c r="D2773" s="256">
        <v>52016</v>
      </c>
      <c r="E2773" s="257" t="s">
        <v>7022</v>
      </c>
      <c r="F2773" s="257" t="s">
        <v>7076</v>
      </c>
      <c r="G2773" s="257" t="s">
        <v>2161</v>
      </c>
    </row>
    <row r="2774" customHeight="1" spans="4:7">
      <c r="D2774" s="256">
        <v>52016</v>
      </c>
      <c r="E2774" s="257" t="s">
        <v>7022</v>
      </c>
      <c r="F2774" s="257" t="s">
        <v>7077</v>
      </c>
      <c r="G2774" s="257" t="s">
        <v>7078</v>
      </c>
    </row>
    <row r="2775" customHeight="1" spans="4:7">
      <c r="D2775" s="256">
        <v>52016</v>
      </c>
      <c r="E2775" s="257" t="s">
        <v>7022</v>
      </c>
      <c r="F2775" s="257" t="s">
        <v>7079</v>
      </c>
      <c r="G2775" s="257" t="s">
        <v>2479</v>
      </c>
    </row>
    <row r="2776" customHeight="1" spans="4:7">
      <c r="D2776" s="256">
        <v>52016</v>
      </c>
      <c r="E2776" s="257" t="s">
        <v>7022</v>
      </c>
      <c r="F2776" s="257" t="s">
        <v>7080</v>
      </c>
      <c r="G2776" s="257" t="s">
        <v>2285</v>
      </c>
    </row>
    <row r="2777" customHeight="1" spans="4:7">
      <c r="D2777" s="256">
        <v>52016</v>
      </c>
      <c r="E2777" s="257" t="s">
        <v>7022</v>
      </c>
      <c r="F2777" s="257" t="s">
        <v>7081</v>
      </c>
      <c r="G2777" s="257" t="s">
        <v>3042</v>
      </c>
    </row>
    <row r="2778" customHeight="1" spans="4:7">
      <c r="D2778" s="256">
        <v>52016</v>
      </c>
      <c r="E2778" s="257" t="s">
        <v>7022</v>
      </c>
      <c r="F2778" s="257" t="s">
        <v>7082</v>
      </c>
      <c r="G2778" s="257" t="s">
        <v>7083</v>
      </c>
    </row>
    <row r="2779" customHeight="1" spans="4:7">
      <c r="D2779" s="256">
        <v>52016</v>
      </c>
      <c r="E2779" s="257" t="s">
        <v>7022</v>
      </c>
      <c r="F2779" s="257" t="s">
        <v>7084</v>
      </c>
      <c r="G2779" s="257" t="s">
        <v>7085</v>
      </c>
    </row>
    <row r="2780" customHeight="1" spans="4:7">
      <c r="D2780" s="256">
        <v>52016</v>
      </c>
      <c r="E2780" s="257" t="s">
        <v>7022</v>
      </c>
      <c r="F2780" s="257" t="s">
        <v>7086</v>
      </c>
      <c r="G2780" s="257" t="s">
        <v>7087</v>
      </c>
    </row>
    <row r="2781" customHeight="1" spans="4:7">
      <c r="D2781" s="256">
        <v>52016</v>
      </c>
      <c r="E2781" s="257" t="s">
        <v>7022</v>
      </c>
      <c r="F2781" s="257" t="s">
        <v>7088</v>
      </c>
      <c r="G2781" s="257" t="s">
        <v>7089</v>
      </c>
    </row>
    <row r="2782" customHeight="1" spans="4:7">
      <c r="D2782" s="256">
        <v>52016</v>
      </c>
      <c r="E2782" s="257" t="s">
        <v>7022</v>
      </c>
      <c r="F2782" s="257" t="s">
        <v>7090</v>
      </c>
      <c r="G2782" s="257" t="s">
        <v>7091</v>
      </c>
    </row>
    <row r="2783" customHeight="1" spans="4:7">
      <c r="D2783" s="256">
        <v>52016</v>
      </c>
      <c r="E2783" s="257" t="s">
        <v>7022</v>
      </c>
      <c r="F2783" s="257" t="s">
        <v>7092</v>
      </c>
      <c r="G2783" s="257" t="s">
        <v>7093</v>
      </c>
    </row>
    <row r="2784" customHeight="1" spans="4:7">
      <c r="D2784" s="256">
        <v>52017</v>
      </c>
      <c r="E2784" s="257" t="s">
        <v>7094</v>
      </c>
      <c r="F2784" s="257" t="s">
        <v>7095</v>
      </c>
      <c r="G2784" s="257" t="s">
        <v>7096</v>
      </c>
    </row>
    <row r="2785" customHeight="1" spans="4:7">
      <c r="D2785" s="256">
        <v>52017</v>
      </c>
      <c r="E2785" s="257" t="s">
        <v>7094</v>
      </c>
      <c r="F2785" s="257" t="s">
        <v>7097</v>
      </c>
      <c r="G2785" s="257" t="s">
        <v>7098</v>
      </c>
    </row>
    <row r="2786" customHeight="1" spans="4:7">
      <c r="D2786" s="256">
        <v>52017</v>
      </c>
      <c r="E2786" s="257" t="s">
        <v>7094</v>
      </c>
      <c r="F2786" s="257" t="s">
        <v>7099</v>
      </c>
      <c r="G2786" s="257" t="s">
        <v>7100</v>
      </c>
    </row>
    <row r="2787" customHeight="1" spans="4:7">
      <c r="D2787" s="256">
        <v>52017</v>
      </c>
      <c r="E2787" s="257" t="s">
        <v>7094</v>
      </c>
      <c r="F2787" s="257" t="s">
        <v>7101</v>
      </c>
      <c r="G2787" s="257" t="s">
        <v>7102</v>
      </c>
    </row>
    <row r="2788" customHeight="1" spans="4:7">
      <c r="D2788" s="256">
        <v>52017</v>
      </c>
      <c r="E2788" s="257" t="s">
        <v>7094</v>
      </c>
      <c r="F2788" s="257" t="s">
        <v>7103</v>
      </c>
      <c r="G2788" s="257" t="s">
        <v>7104</v>
      </c>
    </row>
    <row r="2789" customHeight="1" spans="4:7">
      <c r="D2789" s="256">
        <v>52017</v>
      </c>
      <c r="E2789" s="257" t="s">
        <v>7094</v>
      </c>
      <c r="F2789" s="257" t="s">
        <v>7105</v>
      </c>
      <c r="G2789" s="257" t="s">
        <v>7106</v>
      </c>
    </row>
    <row r="2790" customHeight="1" spans="4:7">
      <c r="D2790" s="256">
        <v>52017</v>
      </c>
      <c r="E2790" s="257" t="s">
        <v>7094</v>
      </c>
      <c r="F2790" s="257" t="s">
        <v>7107</v>
      </c>
      <c r="G2790" s="257" t="s">
        <v>7108</v>
      </c>
    </row>
    <row r="2791" customHeight="1" spans="4:7">
      <c r="D2791" s="256">
        <v>52017</v>
      </c>
      <c r="E2791" s="257" t="s">
        <v>7094</v>
      </c>
      <c r="F2791" s="257" t="s">
        <v>7109</v>
      </c>
      <c r="G2791" s="257" t="s">
        <v>2713</v>
      </c>
    </row>
    <row r="2792" customHeight="1" spans="4:7">
      <c r="D2792" s="256">
        <v>52017</v>
      </c>
      <c r="E2792" s="257" t="s">
        <v>7094</v>
      </c>
      <c r="F2792" s="257" t="s">
        <v>7110</v>
      </c>
      <c r="G2792" s="257" t="s">
        <v>7111</v>
      </c>
    </row>
    <row r="2793" customHeight="1" spans="4:7">
      <c r="D2793" s="256">
        <v>52017</v>
      </c>
      <c r="E2793" s="257" t="s">
        <v>7094</v>
      </c>
      <c r="F2793" s="257" t="s">
        <v>7112</v>
      </c>
      <c r="G2793" s="257" t="s">
        <v>7113</v>
      </c>
    </row>
    <row r="2794" customHeight="1" spans="4:7">
      <c r="D2794" s="256">
        <v>52017</v>
      </c>
      <c r="E2794" s="257" t="s">
        <v>7094</v>
      </c>
      <c r="F2794" s="257" t="s">
        <v>7114</v>
      </c>
      <c r="G2794" s="257" t="s">
        <v>7115</v>
      </c>
    </row>
    <row r="2795" customHeight="1" spans="4:7">
      <c r="D2795" s="256">
        <v>53027</v>
      </c>
      <c r="E2795" s="257" t="s">
        <v>7116</v>
      </c>
      <c r="F2795" s="257" t="s">
        <v>7117</v>
      </c>
      <c r="G2795" s="257" t="s">
        <v>7118</v>
      </c>
    </row>
    <row r="2796" customHeight="1" spans="4:7">
      <c r="D2796" s="256">
        <v>53027</v>
      </c>
      <c r="E2796" s="257" t="s">
        <v>7116</v>
      </c>
      <c r="F2796" s="257" t="s">
        <v>7119</v>
      </c>
      <c r="G2796" s="257" t="s">
        <v>7120</v>
      </c>
    </row>
    <row r="2797" customHeight="1" spans="4:7">
      <c r="D2797" s="256">
        <v>53027</v>
      </c>
      <c r="E2797" s="257" t="s">
        <v>7116</v>
      </c>
      <c r="F2797" s="257" t="s">
        <v>7121</v>
      </c>
      <c r="G2797" s="257" t="s">
        <v>7122</v>
      </c>
    </row>
    <row r="2798" customHeight="1" spans="4:7">
      <c r="D2798" s="256">
        <v>53027</v>
      </c>
      <c r="E2798" s="257" t="s">
        <v>7116</v>
      </c>
      <c r="F2798" s="257" t="s">
        <v>7123</v>
      </c>
      <c r="G2798" s="257" t="s">
        <v>7124</v>
      </c>
    </row>
    <row r="2799" customHeight="1" spans="4:7">
      <c r="D2799" s="256">
        <v>53027</v>
      </c>
      <c r="E2799" s="257" t="s">
        <v>7116</v>
      </c>
      <c r="F2799" s="257" t="s">
        <v>7125</v>
      </c>
      <c r="G2799" s="257" t="s">
        <v>7126</v>
      </c>
    </row>
    <row r="2800" customHeight="1" spans="4:7">
      <c r="D2800" s="256">
        <v>50020</v>
      </c>
      <c r="E2800" s="257" t="s">
        <v>7127</v>
      </c>
      <c r="F2800" s="257" t="s">
        <v>7128</v>
      </c>
      <c r="G2800" s="257" t="s">
        <v>1606</v>
      </c>
    </row>
    <row r="2801" customHeight="1" spans="4:7">
      <c r="D2801" s="256">
        <v>50020</v>
      </c>
      <c r="E2801" s="257" t="s">
        <v>7127</v>
      </c>
      <c r="F2801" s="257" t="s">
        <v>7129</v>
      </c>
      <c r="G2801" s="257" t="s">
        <v>7130</v>
      </c>
    </row>
    <row r="2802" customHeight="1" spans="4:7">
      <c r="D2802" s="256">
        <v>50020</v>
      </c>
      <c r="E2802" s="257" t="s">
        <v>7127</v>
      </c>
      <c r="F2802" s="257" t="s">
        <v>7131</v>
      </c>
      <c r="G2802" s="257" t="s">
        <v>7132</v>
      </c>
    </row>
    <row r="2803" customHeight="1" spans="4:7">
      <c r="D2803" s="256">
        <v>50020</v>
      </c>
      <c r="E2803" s="257" t="s">
        <v>7127</v>
      </c>
      <c r="F2803" s="257" t="s">
        <v>7133</v>
      </c>
      <c r="G2803" s="257" t="s">
        <v>7134</v>
      </c>
    </row>
    <row r="2804" customHeight="1" spans="4:7">
      <c r="D2804" s="256">
        <v>50020</v>
      </c>
      <c r="E2804" s="257" t="s">
        <v>7127</v>
      </c>
      <c r="F2804" s="257" t="s">
        <v>7135</v>
      </c>
      <c r="G2804" s="257" t="s">
        <v>7136</v>
      </c>
    </row>
    <row r="2805" customHeight="1" spans="4:7">
      <c r="D2805" s="256">
        <v>50020</v>
      </c>
      <c r="E2805" s="257" t="s">
        <v>7127</v>
      </c>
      <c r="F2805" s="257" t="s">
        <v>7137</v>
      </c>
      <c r="G2805" s="257" t="s">
        <v>7138</v>
      </c>
    </row>
    <row r="2806" customHeight="1" spans="4:7">
      <c r="D2806" s="256">
        <v>48030</v>
      </c>
      <c r="E2806" s="257" t="s">
        <v>7139</v>
      </c>
      <c r="F2806" s="257" t="s">
        <v>7140</v>
      </c>
      <c r="G2806" s="257" t="s">
        <v>7141</v>
      </c>
    </row>
    <row r="2807" customHeight="1" spans="4:7">
      <c r="D2807" s="256">
        <v>48030</v>
      </c>
      <c r="E2807" s="257" t="s">
        <v>7139</v>
      </c>
      <c r="F2807" s="257" t="s">
        <v>7142</v>
      </c>
      <c r="G2807" s="257" t="s">
        <v>7143</v>
      </c>
    </row>
    <row r="2808" customHeight="1" spans="4:7">
      <c r="D2808" s="256">
        <v>48030</v>
      </c>
      <c r="E2808" s="257" t="s">
        <v>7139</v>
      </c>
      <c r="F2808" s="257" t="s">
        <v>7144</v>
      </c>
      <c r="G2808" s="257" t="s">
        <v>7145</v>
      </c>
    </row>
    <row r="2809" customHeight="1" spans="4:7">
      <c r="D2809" s="256">
        <v>48030</v>
      </c>
      <c r="E2809" s="257" t="s">
        <v>7139</v>
      </c>
      <c r="F2809" s="257" t="s">
        <v>7146</v>
      </c>
      <c r="G2809" s="257" t="s">
        <v>7147</v>
      </c>
    </row>
    <row r="2810" customHeight="1" spans="4:7">
      <c r="D2810" s="256">
        <v>48030</v>
      </c>
      <c r="E2810" s="257" t="s">
        <v>7139</v>
      </c>
      <c r="F2810" s="257" t="s">
        <v>7148</v>
      </c>
      <c r="G2810" s="257" t="s">
        <v>7149</v>
      </c>
    </row>
    <row r="2811" customHeight="1" spans="4:7">
      <c r="D2811" s="256">
        <v>48030</v>
      </c>
      <c r="E2811" s="257" t="s">
        <v>7139</v>
      </c>
      <c r="F2811" s="257" t="s">
        <v>7150</v>
      </c>
      <c r="G2811" s="257" t="s">
        <v>7151</v>
      </c>
    </row>
    <row r="2812" customHeight="1" spans="4:7">
      <c r="D2812" s="256">
        <v>48030</v>
      </c>
      <c r="E2812" s="257" t="s">
        <v>7139</v>
      </c>
      <c r="F2812" s="257" t="s">
        <v>7152</v>
      </c>
      <c r="G2812" s="257" t="s">
        <v>7153</v>
      </c>
    </row>
    <row r="2813" customHeight="1" spans="4:7">
      <c r="D2813" s="256">
        <v>48030</v>
      </c>
      <c r="E2813" s="257" t="s">
        <v>7139</v>
      </c>
      <c r="F2813" s="257" t="s">
        <v>7154</v>
      </c>
      <c r="G2813" s="257" t="s">
        <v>4143</v>
      </c>
    </row>
    <row r="2814" customHeight="1" spans="4:7">
      <c r="D2814" s="256">
        <v>48030</v>
      </c>
      <c r="E2814" s="257" t="s">
        <v>7139</v>
      </c>
      <c r="F2814" s="257" t="s">
        <v>7155</v>
      </c>
      <c r="G2814" s="257" t="s">
        <v>2753</v>
      </c>
    </row>
    <row r="2815" customHeight="1" spans="4:7">
      <c r="D2815" s="256">
        <v>48030</v>
      </c>
      <c r="E2815" s="257" t="s">
        <v>7139</v>
      </c>
      <c r="F2815" s="257" t="s">
        <v>7156</v>
      </c>
      <c r="G2815" s="257" t="s">
        <v>7157</v>
      </c>
    </row>
    <row r="2816" customHeight="1" spans="4:7">
      <c r="D2816" s="256">
        <v>48030</v>
      </c>
      <c r="E2816" s="257" t="s">
        <v>7139</v>
      </c>
      <c r="F2816" s="257" t="s">
        <v>7158</v>
      </c>
      <c r="G2816" s="257" t="s">
        <v>7159</v>
      </c>
    </row>
    <row r="2817" customHeight="1" spans="4:7">
      <c r="D2817" s="256">
        <v>48030</v>
      </c>
      <c r="E2817" s="257" t="s">
        <v>7139</v>
      </c>
      <c r="F2817" s="257" t="s">
        <v>7160</v>
      </c>
      <c r="G2817" s="257" t="s">
        <v>7161</v>
      </c>
    </row>
    <row r="2818" customHeight="1" spans="4:7">
      <c r="D2818" s="256">
        <v>48030</v>
      </c>
      <c r="E2818" s="257" t="s">
        <v>7139</v>
      </c>
      <c r="F2818" s="257" t="s">
        <v>7162</v>
      </c>
      <c r="G2818" s="257" t="s">
        <v>1939</v>
      </c>
    </row>
    <row r="2819" customHeight="1" spans="4:7">
      <c r="D2819" s="256">
        <v>48030</v>
      </c>
      <c r="E2819" s="257" t="s">
        <v>7139</v>
      </c>
      <c r="F2819" s="257" t="s">
        <v>7163</v>
      </c>
      <c r="G2819" s="257" t="s">
        <v>7164</v>
      </c>
    </row>
    <row r="2820" customHeight="1" spans="4:7">
      <c r="D2820" s="256">
        <v>48030</v>
      </c>
      <c r="E2820" s="257" t="s">
        <v>7139</v>
      </c>
      <c r="F2820" s="257" t="s">
        <v>7165</v>
      </c>
      <c r="G2820" s="257" t="s">
        <v>7062</v>
      </c>
    </row>
    <row r="2821" customHeight="1" spans="4:7">
      <c r="D2821" s="256">
        <v>48030</v>
      </c>
      <c r="E2821" s="257" t="s">
        <v>7139</v>
      </c>
      <c r="F2821" s="257" t="s">
        <v>7166</v>
      </c>
      <c r="G2821" s="257" t="s">
        <v>2117</v>
      </c>
    </row>
    <row r="2822" customHeight="1" spans="4:7">
      <c r="D2822" s="256">
        <v>48030</v>
      </c>
      <c r="E2822" s="257" t="s">
        <v>7139</v>
      </c>
      <c r="F2822" s="257" t="s">
        <v>7167</v>
      </c>
      <c r="G2822" s="257" t="s">
        <v>7168</v>
      </c>
    </row>
    <row r="2823" customHeight="1" spans="4:7">
      <c r="D2823" s="256">
        <v>48030</v>
      </c>
      <c r="E2823" s="257" t="s">
        <v>7139</v>
      </c>
      <c r="F2823" s="257" t="s">
        <v>7169</v>
      </c>
      <c r="G2823" s="257" t="s">
        <v>7170</v>
      </c>
    </row>
    <row r="2824" customHeight="1" spans="4:7">
      <c r="D2824" s="256">
        <v>48030</v>
      </c>
      <c r="E2824" s="257" t="s">
        <v>7139</v>
      </c>
      <c r="F2824" s="257" t="s">
        <v>7171</v>
      </c>
      <c r="G2824" s="257" t="s">
        <v>7172</v>
      </c>
    </row>
    <row r="2825" customHeight="1" spans="4:7">
      <c r="D2825" s="256">
        <v>48030</v>
      </c>
      <c r="E2825" s="257" t="s">
        <v>7139</v>
      </c>
      <c r="F2825" s="257" t="s">
        <v>7173</v>
      </c>
      <c r="G2825" s="257" t="s">
        <v>7174</v>
      </c>
    </row>
    <row r="2826" customHeight="1" spans="4:7">
      <c r="D2826" s="256">
        <v>48030</v>
      </c>
      <c r="E2826" s="257" t="s">
        <v>7139</v>
      </c>
      <c r="F2826" s="257" t="s">
        <v>7175</v>
      </c>
      <c r="G2826" s="257" t="s">
        <v>5524</v>
      </c>
    </row>
    <row r="2827" customHeight="1" spans="4:7">
      <c r="D2827" s="256">
        <v>48030</v>
      </c>
      <c r="E2827" s="257" t="s">
        <v>7139</v>
      </c>
      <c r="F2827" s="257" t="s">
        <v>7176</v>
      </c>
      <c r="G2827" s="257" t="s">
        <v>4885</v>
      </c>
    </row>
    <row r="2828" customHeight="1" spans="4:7">
      <c r="D2828" s="256">
        <v>48030</v>
      </c>
      <c r="E2828" s="257" t="s">
        <v>7139</v>
      </c>
      <c r="F2828" s="257" t="s">
        <v>7177</v>
      </c>
      <c r="G2828" s="257" t="s">
        <v>7178</v>
      </c>
    </row>
    <row r="2829" customHeight="1" spans="4:7">
      <c r="D2829" s="256">
        <v>48030</v>
      </c>
      <c r="E2829" s="257" t="s">
        <v>7139</v>
      </c>
      <c r="F2829" s="257" t="s">
        <v>7179</v>
      </c>
      <c r="G2829" s="257" t="s">
        <v>7180</v>
      </c>
    </row>
    <row r="2830" customHeight="1" spans="4:7">
      <c r="D2830" s="256">
        <v>48030</v>
      </c>
      <c r="E2830" s="257" t="s">
        <v>7139</v>
      </c>
      <c r="F2830" s="257" t="s">
        <v>7181</v>
      </c>
      <c r="G2830" s="257" t="s">
        <v>6433</v>
      </c>
    </row>
    <row r="2831" customHeight="1" spans="4:7">
      <c r="D2831" s="256">
        <v>48030</v>
      </c>
      <c r="E2831" s="257" t="s">
        <v>7139</v>
      </c>
      <c r="F2831" s="257" t="s">
        <v>7182</v>
      </c>
      <c r="G2831" s="257" t="s">
        <v>7183</v>
      </c>
    </row>
    <row r="2832" customHeight="1" spans="4:7">
      <c r="D2832" s="256">
        <v>48030</v>
      </c>
      <c r="E2832" s="257" t="s">
        <v>7139</v>
      </c>
      <c r="F2832" s="257" t="s">
        <v>7184</v>
      </c>
      <c r="G2832" s="257" t="s">
        <v>7185</v>
      </c>
    </row>
    <row r="2833" customHeight="1" spans="4:7">
      <c r="D2833" s="256">
        <v>48030</v>
      </c>
      <c r="E2833" s="257" t="s">
        <v>7139</v>
      </c>
      <c r="F2833" s="257" t="s">
        <v>7186</v>
      </c>
      <c r="G2833" s="257" t="s">
        <v>7187</v>
      </c>
    </row>
    <row r="2834" customHeight="1" spans="4:7">
      <c r="D2834" s="256">
        <v>48030</v>
      </c>
      <c r="E2834" s="257" t="s">
        <v>7139</v>
      </c>
      <c r="F2834" s="257" t="s">
        <v>7188</v>
      </c>
      <c r="G2834" s="257" t="s">
        <v>3154</v>
      </c>
    </row>
    <row r="2835" customHeight="1" spans="4:7">
      <c r="D2835" s="256">
        <v>48030</v>
      </c>
      <c r="E2835" s="257" t="s">
        <v>7139</v>
      </c>
      <c r="F2835" s="257" t="s">
        <v>7189</v>
      </c>
      <c r="G2835" s="257" t="s">
        <v>7190</v>
      </c>
    </row>
    <row r="2836" customHeight="1" spans="4:7">
      <c r="D2836" s="256">
        <v>48030</v>
      </c>
      <c r="E2836" s="257" t="s">
        <v>7139</v>
      </c>
      <c r="F2836" s="257" t="s">
        <v>7191</v>
      </c>
      <c r="G2836" s="257" t="s">
        <v>7192</v>
      </c>
    </row>
    <row r="2837" customHeight="1" spans="4:7">
      <c r="D2837" s="256">
        <v>48030</v>
      </c>
      <c r="E2837" s="257" t="s">
        <v>7139</v>
      </c>
      <c r="F2837" s="257" t="s">
        <v>7193</v>
      </c>
      <c r="G2837" s="257" t="s">
        <v>7194</v>
      </c>
    </row>
    <row r="2838" customHeight="1" spans="4:7">
      <c r="D2838" s="256">
        <v>48030</v>
      </c>
      <c r="E2838" s="257" t="s">
        <v>7139</v>
      </c>
      <c r="F2838" s="257" t="s">
        <v>7195</v>
      </c>
      <c r="G2838" s="257" t="s">
        <v>7196</v>
      </c>
    </row>
    <row r="2839" customHeight="1" spans="4:7">
      <c r="D2839" s="256">
        <v>48030</v>
      </c>
      <c r="E2839" s="257" t="s">
        <v>7139</v>
      </c>
      <c r="F2839" s="257" t="s">
        <v>7197</v>
      </c>
      <c r="G2839" s="257" t="s">
        <v>7198</v>
      </c>
    </row>
    <row r="2840" customHeight="1" spans="4:7">
      <c r="D2840" s="256">
        <v>48030</v>
      </c>
      <c r="E2840" s="257" t="s">
        <v>7139</v>
      </c>
      <c r="F2840" s="257" t="s">
        <v>7199</v>
      </c>
      <c r="G2840" s="257" t="s">
        <v>2675</v>
      </c>
    </row>
    <row r="2841" customHeight="1" spans="4:7">
      <c r="D2841" s="256">
        <v>48030</v>
      </c>
      <c r="E2841" s="257" t="s">
        <v>7139</v>
      </c>
      <c r="F2841" s="257" t="s">
        <v>7200</v>
      </c>
      <c r="G2841" s="257" t="s">
        <v>7201</v>
      </c>
    </row>
    <row r="2842" customHeight="1" spans="4:7">
      <c r="D2842" s="256">
        <v>48030</v>
      </c>
      <c r="E2842" s="257" t="s">
        <v>7139</v>
      </c>
      <c r="F2842" s="257" t="s">
        <v>7202</v>
      </c>
      <c r="G2842" s="257" t="s">
        <v>7203</v>
      </c>
    </row>
    <row r="2843" customHeight="1" spans="4:7">
      <c r="D2843" s="256">
        <v>48030</v>
      </c>
      <c r="E2843" s="257" t="s">
        <v>7139</v>
      </c>
      <c r="F2843" s="257" t="s">
        <v>7204</v>
      </c>
      <c r="G2843" s="257" t="s">
        <v>7205</v>
      </c>
    </row>
    <row r="2844" customHeight="1" spans="4:7">
      <c r="D2844" s="256">
        <v>48030</v>
      </c>
      <c r="E2844" s="257" t="s">
        <v>7139</v>
      </c>
      <c r="F2844" s="257" t="s">
        <v>7206</v>
      </c>
      <c r="G2844" s="257" t="s">
        <v>7207</v>
      </c>
    </row>
    <row r="2845" customHeight="1" spans="4:7">
      <c r="D2845" s="256">
        <v>48030</v>
      </c>
      <c r="E2845" s="257" t="s">
        <v>7139</v>
      </c>
      <c r="F2845" s="257" t="s">
        <v>7208</v>
      </c>
      <c r="G2845" s="257" t="s">
        <v>7209</v>
      </c>
    </row>
    <row r="2846" customHeight="1" spans="4:7">
      <c r="D2846" s="256">
        <v>48030</v>
      </c>
      <c r="E2846" s="257" t="s">
        <v>7139</v>
      </c>
      <c r="F2846" s="257" t="s">
        <v>7210</v>
      </c>
      <c r="G2846" s="257" t="s">
        <v>6166</v>
      </c>
    </row>
    <row r="2847" customHeight="1" spans="4:7">
      <c r="D2847" s="256">
        <v>51026</v>
      </c>
      <c r="E2847" s="257" t="s">
        <v>7211</v>
      </c>
      <c r="F2847" s="257" t="s">
        <v>7212</v>
      </c>
      <c r="G2847" s="257" t="s">
        <v>7213</v>
      </c>
    </row>
    <row r="2848" customHeight="1" spans="4:7">
      <c r="D2848" s="256">
        <v>51026</v>
      </c>
      <c r="E2848" s="257" t="s">
        <v>7211</v>
      </c>
      <c r="F2848" s="257" t="s">
        <v>7214</v>
      </c>
      <c r="G2848" s="257" t="s">
        <v>7215</v>
      </c>
    </row>
    <row r="2849" customHeight="1" spans="4:7">
      <c r="D2849" s="256">
        <v>51026</v>
      </c>
      <c r="E2849" s="257" t="s">
        <v>7211</v>
      </c>
      <c r="F2849" s="257" t="s">
        <v>7216</v>
      </c>
      <c r="G2849" s="257" t="s">
        <v>7217</v>
      </c>
    </row>
    <row r="2850" customHeight="1" spans="4:7">
      <c r="D2850" s="256">
        <v>51026</v>
      </c>
      <c r="E2850" s="257" t="s">
        <v>7211</v>
      </c>
      <c r="F2850" s="257" t="s">
        <v>7218</v>
      </c>
      <c r="G2850" s="257" t="s">
        <v>7219</v>
      </c>
    </row>
    <row r="2851" customHeight="1" spans="4:7">
      <c r="D2851" s="256">
        <v>51026</v>
      </c>
      <c r="E2851" s="257" t="s">
        <v>7211</v>
      </c>
      <c r="F2851" s="257" t="s">
        <v>7220</v>
      </c>
      <c r="G2851" s="257" t="s">
        <v>7221</v>
      </c>
    </row>
    <row r="2852" customHeight="1" spans="4:7">
      <c r="D2852" s="256">
        <v>51026</v>
      </c>
      <c r="E2852" s="257" t="s">
        <v>7211</v>
      </c>
      <c r="F2852" s="257" t="s">
        <v>7222</v>
      </c>
      <c r="G2852" s="257" t="s">
        <v>7223</v>
      </c>
    </row>
    <row r="2853" customHeight="1" spans="4:7">
      <c r="D2853" s="256">
        <v>51026</v>
      </c>
      <c r="E2853" s="257" t="s">
        <v>7211</v>
      </c>
      <c r="F2853" s="257" t="s">
        <v>7224</v>
      </c>
      <c r="G2853" s="257" t="s">
        <v>7225</v>
      </c>
    </row>
    <row r="2854" customHeight="1" spans="4:7">
      <c r="D2854" s="256">
        <v>51026</v>
      </c>
      <c r="E2854" s="257" t="s">
        <v>7211</v>
      </c>
      <c r="F2854" s="257" t="s">
        <v>7226</v>
      </c>
      <c r="G2854" s="257" t="s">
        <v>2652</v>
      </c>
    </row>
    <row r="2855" customHeight="1" spans="4:7">
      <c r="D2855" s="256">
        <v>51026</v>
      </c>
      <c r="E2855" s="257" t="s">
        <v>7211</v>
      </c>
      <c r="F2855" s="257" t="s">
        <v>7227</v>
      </c>
      <c r="G2855" s="257" t="s">
        <v>7228</v>
      </c>
    </row>
    <row r="2856" customHeight="1" spans="4:7">
      <c r="D2856" s="256">
        <v>51026</v>
      </c>
      <c r="E2856" s="257" t="s">
        <v>7211</v>
      </c>
      <c r="F2856" s="257" t="s">
        <v>7229</v>
      </c>
      <c r="G2856" s="257" t="s">
        <v>7230</v>
      </c>
    </row>
    <row r="2857" customHeight="1" spans="4:7">
      <c r="D2857" s="256">
        <v>51026</v>
      </c>
      <c r="E2857" s="257" t="s">
        <v>7211</v>
      </c>
      <c r="F2857" s="257" t="s">
        <v>7231</v>
      </c>
      <c r="G2857" s="257" t="s">
        <v>7232</v>
      </c>
    </row>
    <row r="2858" customHeight="1" spans="4:7">
      <c r="D2858" s="256">
        <v>51026</v>
      </c>
      <c r="E2858" s="257" t="s">
        <v>7211</v>
      </c>
      <c r="F2858" s="257" t="s">
        <v>7233</v>
      </c>
      <c r="G2858" s="257" t="s">
        <v>7234</v>
      </c>
    </row>
    <row r="2859" customHeight="1" spans="4:7">
      <c r="D2859" s="256">
        <v>51026</v>
      </c>
      <c r="E2859" s="257" t="s">
        <v>7211</v>
      </c>
      <c r="F2859" s="257" t="s">
        <v>7235</v>
      </c>
      <c r="G2859" s="257" t="s">
        <v>7236</v>
      </c>
    </row>
    <row r="2860" customHeight="1" spans="4:7">
      <c r="D2860" s="256">
        <v>51026</v>
      </c>
      <c r="E2860" s="257" t="s">
        <v>7211</v>
      </c>
      <c r="F2860" s="257" t="s">
        <v>7237</v>
      </c>
      <c r="G2860" s="257" t="s">
        <v>7238</v>
      </c>
    </row>
    <row r="2861" customHeight="1" spans="4:7">
      <c r="D2861" s="256">
        <v>51026</v>
      </c>
      <c r="E2861" s="257" t="s">
        <v>7211</v>
      </c>
      <c r="F2861" s="257" t="s">
        <v>7239</v>
      </c>
      <c r="G2861" s="257" t="s">
        <v>7240</v>
      </c>
    </row>
    <row r="2862" customHeight="1" spans="4:7">
      <c r="D2862" s="256">
        <v>51026</v>
      </c>
      <c r="E2862" s="257" t="s">
        <v>7211</v>
      </c>
      <c r="F2862" s="257" t="s">
        <v>7241</v>
      </c>
      <c r="G2862" s="257" t="s">
        <v>7242</v>
      </c>
    </row>
    <row r="2863" customHeight="1" spans="4:7">
      <c r="D2863" s="256">
        <v>51026</v>
      </c>
      <c r="E2863" s="257" t="s">
        <v>7211</v>
      </c>
      <c r="F2863" s="257" t="s">
        <v>7243</v>
      </c>
      <c r="G2863" s="257" t="s">
        <v>7244</v>
      </c>
    </row>
    <row r="2864" customHeight="1" spans="4:7">
      <c r="D2864" s="256">
        <v>51026</v>
      </c>
      <c r="E2864" s="257" t="s">
        <v>7211</v>
      </c>
      <c r="F2864" s="257" t="s">
        <v>7245</v>
      </c>
      <c r="G2864" s="257" t="s">
        <v>7246</v>
      </c>
    </row>
    <row r="2865" customHeight="1" spans="4:7">
      <c r="D2865" s="256">
        <v>50021</v>
      </c>
      <c r="E2865" s="257" t="s">
        <v>7247</v>
      </c>
      <c r="F2865" s="257" t="s">
        <v>7248</v>
      </c>
      <c r="G2865" s="257" t="s">
        <v>2203</v>
      </c>
    </row>
    <row r="2866" customHeight="1" spans="4:7">
      <c r="D2866" s="256">
        <v>50021</v>
      </c>
      <c r="E2866" s="257" t="s">
        <v>7247</v>
      </c>
      <c r="F2866" s="257" t="s">
        <v>7249</v>
      </c>
      <c r="G2866" s="257" t="s">
        <v>7250</v>
      </c>
    </row>
    <row r="2867" customHeight="1" spans="4:7">
      <c r="D2867" s="256">
        <v>50021</v>
      </c>
      <c r="E2867" s="257" t="s">
        <v>7247</v>
      </c>
      <c r="F2867" s="257" t="s">
        <v>7251</v>
      </c>
      <c r="G2867" s="257" t="s">
        <v>7252</v>
      </c>
    </row>
    <row r="2868" customHeight="1" spans="4:7">
      <c r="D2868" s="256">
        <v>50021</v>
      </c>
      <c r="E2868" s="257" t="s">
        <v>7247</v>
      </c>
      <c r="F2868" s="257" t="s">
        <v>7253</v>
      </c>
      <c r="G2868" s="257" t="s">
        <v>7254</v>
      </c>
    </row>
    <row r="2869" customHeight="1" spans="4:7">
      <c r="D2869" s="256">
        <v>52018</v>
      </c>
      <c r="E2869" s="257" t="s">
        <v>7255</v>
      </c>
      <c r="F2869" s="257" t="s">
        <v>7256</v>
      </c>
      <c r="G2869" s="257" t="s">
        <v>7257</v>
      </c>
    </row>
    <row r="2870" customHeight="1" spans="4:7">
      <c r="D2870" s="256">
        <v>52018</v>
      </c>
      <c r="E2870" s="257" t="s">
        <v>7255</v>
      </c>
      <c r="F2870" s="257" t="s">
        <v>7258</v>
      </c>
      <c r="G2870" s="257" t="s">
        <v>7259</v>
      </c>
    </row>
    <row r="2871" customHeight="1" spans="4:7">
      <c r="D2871" s="256">
        <v>52018</v>
      </c>
      <c r="E2871" s="257" t="s">
        <v>7255</v>
      </c>
      <c r="F2871" s="257" t="s">
        <v>7260</v>
      </c>
      <c r="G2871" s="257" t="s">
        <v>7151</v>
      </c>
    </row>
    <row r="2872" customHeight="1" spans="4:7">
      <c r="D2872" s="256">
        <v>52018</v>
      </c>
      <c r="E2872" s="257" t="s">
        <v>7255</v>
      </c>
      <c r="F2872" s="257" t="s">
        <v>7261</v>
      </c>
      <c r="G2872" s="257" t="s">
        <v>3232</v>
      </c>
    </row>
    <row r="2873" customHeight="1" spans="4:7">
      <c r="D2873" s="256">
        <v>52018</v>
      </c>
      <c r="E2873" s="257" t="s">
        <v>7255</v>
      </c>
      <c r="F2873" s="257" t="s">
        <v>7262</v>
      </c>
      <c r="G2873" s="257" t="s">
        <v>7263</v>
      </c>
    </row>
    <row r="2874" customHeight="1" spans="4:7">
      <c r="D2874" s="256">
        <v>52018</v>
      </c>
      <c r="E2874" s="257" t="s">
        <v>7255</v>
      </c>
      <c r="F2874" s="257" t="s">
        <v>7264</v>
      </c>
      <c r="G2874" s="257" t="s">
        <v>1488</v>
      </c>
    </row>
    <row r="2875" customHeight="1" spans="4:7">
      <c r="D2875" s="256">
        <v>52018</v>
      </c>
      <c r="E2875" s="257" t="s">
        <v>7255</v>
      </c>
      <c r="F2875" s="257" t="s">
        <v>7265</v>
      </c>
      <c r="G2875" s="257" t="s">
        <v>7266</v>
      </c>
    </row>
    <row r="2876" customHeight="1" spans="4:7">
      <c r="D2876" s="256">
        <v>52018</v>
      </c>
      <c r="E2876" s="257" t="s">
        <v>7255</v>
      </c>
      <c r="F2876" s="257" t="s">
        <v>7267</v>
      </c>
      <c r="G2876" s="257" t="s">
        <v>7268</v>
      </c>
    </row>
    <row r="2877" customHeight="1" spans="4:7">
      <c r="D2877" s="256">
        <v>52018</v>
      </c>
      <c r="E2877" s="257" t="s">
        <v>7255</v>
      </c>
      <c r="F2877" s="257" t="s">
        <v>7269</v>
      </c>
      <c r="G2877" s="257" t="s">
        <v>5717</v>
      </c>
    </row>
    <row r="2878" customHeight="1" spans="4:7">
      <c r="D2878" s="256">
        <v>52018</v>
      </c>
      <c r="E2878" s="257" t="s">
        <v>7255</v>
      </c>
      <c r="F2878" s="257" t="s">
        <v>7270</v>
      </c>
      <c r="G2878" s="257" t="s">
        <v>7271</v>
      </c>
    </row>
    <row r="2879" customHeight="1" spans="4:7">
      <c r="D2879" s="256">
        <v>53017</v>
      </c>
      <c r="E2879" s="257" t="s">
        <v>7272</v>
      </c>
      <c r="F2879" s="257" t="s">
        <v>7273</v>
      </c>
      <c r="G2879" s="257" t="s">
        <v>7274</v>
      </c>
    </row>
    <row r="2880" customHeight="1" spans="4:7">
      <c r="D2880" s="256">
        <v>53017</v>
      </c>
      <c r="E2880" s="257" t="s">
        <v>7272</v>
      </c>
      <c r="F2880" s="257" t="s">
        <v>7275</v>
      </c>
      <c r="G2880" s="257" t="s">
        <v>7276</v>
      </c>
    </row>
    <row r="2881" customHeight="1" spans="4:7">
      <c r="D2881" s="256">
        <v>53017</v>
      </c>
      <c r="E2881" s="257" t="s">
        <v>7272</v>
      </c>
      <c r="F2881" s="257" t="s">
        <v>7277</v>
      </c>
      <c r="G2881" s="257" t="s">
        <v>7278</v>
      </c>
    </row>
    <row r="2882" customHeight="1" spans="4:7">
      <c r="D2882" s="256">
        <v>53017</v>
      </c>
      <c r="E2882" s="257" t="s">
        <v>7272</v>
      </c>
      <c r="F2882" s="257" t="s">
        <v>7279</v>
      </c>
      <c r="G2882" s="257" t="s">
        <v>7280</v>
      </c>
    </row>
    <row r="2883" customHeight="1" spans="4:7">
      <c r="D2883" s="256">
        <v>53017</v>
      </c>
      <c r="E2883" s="257" t="s">
        <v>7272</v>
      </c>
      <c r="F2883" s="257" t="s">
        <v>7281</v>
      </c>
      <c r="G2883" s="257" t="s">
        <v>7282</v>
      </c>
    </row>
    <row r="2884" customHeight="1" spans="4:7">
      <c r="D2884" s="256">
        <v>53017</v>
      </c>
      <c r="E2884" s="257" t="s">
        <v>7272</v>
      </c>
      <c r="F2884" s="257" t="s">
        <v>7283</v>
      </c>
      <c r="G2884" s="257" t="s">
        <v>7284</v>
      </c>
    </row>
    <row r="2885" customHeight="1" spans="4:7">
      <c r="D2885" s="256">
        <v>53017</v>
      </c>
      <c r="E2885" s="257" t="s">
        <v>7272</v>
      </c>
      <c r="F2885" s="257" t="s">
        <v>7285</v>
      </c>
      <c r="G2885" s="257" t="s">
        <v>7286</v>
      </c>
    </row>
    <row r="2886" customHeight="1" spans="4:7">
      <c r="D2886" s="256">
        <v>53017</v>
      </c>
      <c r="E2886" s="257" t="s">
        <v>7272</v>
      </c>
      <c r="F2886" s="257" t="s">
        <v>7287</v>
      </c>
      <c r="G2886" s="257" t="s">
        <v>4043</v>
      </c>
    </row>
    <row r="2887" customHeight="1" spans="4:7">
      <c r="D2887" s="256">
        <v>53017</v>
      </c>
      <c r="E2887" s="257" t="s">
        <v>7272</v>
      </c>
      <c r="F2887" s="257" t="s">
        <v>7288</v>
      </c>
      <c r="G2887" s="257" t="s">
        <v>7289</v>
      </c>
    </row>
    <row r="2888" customHeight="1" spans="4:7">
      <c r="D2888" s="256">
        <v>45011</v>
      </c>
      <c r="E2888" s="257" t="s">
        <v>7290</v>
      </c>
      <c r="F2888" s="257" t="s">
        <v>7291</v>
      </c>
      <c r="G2888" s="257" t="s">
        <v>7292</v>
      </c>
    </row>
    <row r="2889" customHeight="1" spans="4:7">
      <c r="D2889" s="256">
        <v>45011</v>
      </c>
      <c r="E2889" s="257" t="s">
        <v>7290</v>
      </c>
      <c r="F2889" s="257" t="s">
        <v>7293</v>
      </c>
      <c r="G2889" s="257" t="s">
        <v>7294</v>
      </c>
    </row>
    <row r="2890" customHeight="1" spans="4:7">
      <c r="D2890" s="256">
        <v>45011</v>
      </c>
      <c r="E2890" s="257" t="s">
        <v>7290</v>
      </c>
      <c r="F2890" s="257" t="s">
        <v>7295</v>
      </c>
      <c r="G2890" s="257" t="s">
        <v>7296</v>
      </c>
    </row>
    <row r="2891" customHeight="1" spans="4:7">
      <c r="D2891" s="256">
        <v>45011</v>
      </c>
      <c r="E2891" s="257" t="s">
        <v>7290</v>
      </c>
      <c r="F2891" s="257" t="s">
        <v>7297</v>
      </c>
      <c r="G2891" s="257" t="s">
        <v>4617</v>
      </c>
    </row>
    <row r="2892" customHeight="1" spans="4:7">
      <c r="D2892" s="256">
        <v>45011</v>
      </c>
      <c r="E2892" s="257" t="s">
        <v>7290</v>
      </c>
      <c r="F2892" s="257" t="s">
        <v>7298</v>
      </c>
      <c r="G2892" s="257" t="s">
        <v>7299</v>
      </c>
    </row>
    <row r="2893" customHeight="1" spans="4:7">
      <c r="D2893" s="256">
        <v>45011</v>
      </c>
      <c r="E2893" s="257" t="s">
        <v>7290</v>
      </c>
      <c r="F2893" s="257" t="s">
        <v>7300</v>
      </c>
      <c r="G2893" s="257" t="s">
        <v>7301</v>
      </c>
    </row>
    <row r="2894" customHeight="1" spans="4:7">
      <c r="D2894" s="256">
        <v>45011</v>
      </c>
      <c r="E2894" s="257" t="s">
        <v>7290</v>
      </c>
      <c r="F2894" s="257" t="s">
        <v>7302</v>
      </c>
      <c r="G2894" s="257" t="s">
        <v>7303</v>
      </c>
    </row>
    <row r="2895" customHeight="1" spans="4:7">
      <c r="D2895" s="256">
        <v>50022</v>
      </c>
      <c r="E2895" s="257" t="s">
        <v>7304</v>
      </c>
      <c r="F2895" s="257" t="s">
        <v>7305</v>
      </c>
      <c r="G2895" s="257" t="s">
        <v>7306</v>
      </c>
    </row>
    <row r="2896" customHeight="1" spans="4:7">
      <c r="D2896" s="256">
        <v>50022</v>
      </c>
      <c r="E2896" s="257" t="s">
        <v>7304</v>
      </c>
      <c r="F2896" s="257" t="s">
        <v>7307</v>
      </c>
      <c r="G2896" s="257" t="s">
        <v>7308</v>
      </c>
    </row>
    <row r="2897" customHeight="1" spans="4:7">
      <c r="D2897" s="256">
        <v>50022</v>
      </c>
      <c r="E2897" s="257" t="s">
        <v>7304</v>
      </c>
      <c r="F2897" s="257" t="s">
        <v>7309</v>
      </c>
      <c r="G2897" s="257" t="s">
        <v>7310</v>
      </c>
    </row>
    <row r="2898" customHeight="1" spans="4:7">
      <c r="D2898" s="256">
        <v>50022</v>
      </c>
      <c r="E2898" s="257" t="s">
        <v>7304</v>
      </c>
      <c r="F2898" s="257" t="s">
        <v>7311</v>
      </c>
      <c r="G2898" s="257" t="s">
        <v>7312</v>
      </c>
    </row>
    <row r="2899" customHeight="1" spans="4:7">
      <c r="D2899" s="256">
        <v>50022</v>
      </c>
      <c r="E2899" s="257" t="s">
        <v>7304</v>
      </c>
      <c r="F2899" s="257" t="s">
        <v>7313</v>
      </c>
      <c r="G2899" s="257" t="s">
        <v>7314</v>
      </c>
    </row>
    <row r="2900" customHeight="1" spans="4:7">
      <c r="D2900" s="256">
        <v>50022</v>
      </c>
      <c r="E2900" s="257" t="s">
        <v>7304</v>
      </c>
      <c r="F2900" s="257" t="s">
        <v>7315</v>
      </c>
      <c r="G2900" s="257" t="s">
        <v>7316</v>
      </c>
    </row>
    <row r="2901" customHeight="1" spans="4:7">
      <c r="D2901" s="256">
        <v>50022</v>
      </c>
      <c r="E2901" s="257" t="s">
        <v>7304</v>
      </c>
      <c r="F2901" s="257" t="s">
        <v>7317</v>
      </c>
      <c r="G2901" s="257" t="s">
        <v>7318</v>
      </c>
    </row>
    <row r="2902" customHeight="1" spans="4:7">
      <c r="D2902" s="256">
        <v>50022</v>
      </c>
      <c r="E2902" s="257" t="s">
        <v>7304</v>
      </c>
      <c r="F2902" s="257" t="s">
        <v>7319</v>
      </c>
      <c r="G2902" s="257" t="s">
        <v>7320</v>
      </c>
    </row>
    <row r="2903" customHeight="1" spans="4:7">
      <c r="D2903" s="256">
        <v>50022</v>
      </c>
      <c r="E2903" s="257" t="s">
        <v>7304</v>
      </c>
      <c r="F2903" s="257" t="s">
        <v>7321</v>
      </c>
      <c r="G2903" s="257" t="s">
        <v>1497</v>
      </c>
    </row>
    <row r="2904" customHeight="1" spans="4:7">
      <c r="D2904" s="256">
        <v>50022</v>
      </c>
      <c r="E2904" s="257" t="s">
        <v>7304</v>
      </c>
      <c r="F2904" s="257" t="s">
        <v>7322</v>
      </c>
      <c r="G2904" s="257" t="s">
        <v>2533</v>
      </c>
    </row>
    <row r="2905" customHeight="1" spans="4:7">
      <c r="D2905" s="256">
        <v>50022</v>
      </c>
      <c r="E2905" s="257" t="s">
        <v>7304</v>
      </c>
      <c r="F2905" s="257" t="s">
        <v>7323</v>
      </c>
      <c r="G2905" s="257" t="s">
        <v>7324</v>
      </c>
    </row>
    <row r="2906" customHeight="1" spans="4:7">
      <c r="D2906" s="256">
        <v>50022</v>
      </c>
      <c r="E2906" s="257" t="s">
        <v>7304</v>
      </c>
      <c r="F2906" s="257" t="s">
        <v>7325</v>
      </c>
      <c r="G2906" s="257" t="s">
        <v>7326</v>
      </c>
    </row>
    <row r="2907" customHeight="1" spans="4:7">
      <c r="D2907" s="256">
        <v>45012</v>
      </c>
      <c r="E2907" s="257" t="s">
        <v>7327</v>
      </c>
      <c r="F2907" s="257" t="s">
        <v>7328</v>
      </c>
      <c r="G2907" s="257" t="s">
        <v>7329</v>
      </c>
    </row>
    <row r="2908" customHeight="1" spans="4:7">
      <c r="D2908" s="256">
        <v>45012</v>
      </c>
      <c r="E2908" s="257" t="s">
        <v>7327</v>
      </c>
      <c r="F2908" s="257" t="s">
        <v>7330</v>
      </c>
      <c r="G2908" s="257" t="s">
        <v>7331</v>
      </c>
    </row>
    <row r="2909" customHeight="1" spans="4:7">
      <c r="D2909" s="256">
        <v>45012</v>
      </c>
      <c r="E2909" s="257" t="s">
        <v>7327</v>
      </c>
      <c r="F2909" s="257" t="s">
        <v>7332</v>
      </c>
      <c r="G2909" s="257" t="s">
        <v>7333</v>
      </c>
    </row>
    <row r="2910" customHeight="1" spans="4:7">
      <c r="D2910" s="256">
        <v>45012</v>
      </c>
      <c r="E2910" s="257" t="s">
        <v>7327</v>
      </c>
      <c r="F2910" s="257" t="s">
        <v>7334</v>
      </c>
      <c r="G2910" s="257" t="s">
        <v>7335</v>
      </c>
    </row>
    <row r="2911" customHeight="1" spans="4:7">
      <c r="D2911" s="256">
        <v>45012</v>
      </c>
      <c r="E2911" s="257" t="s">
        <v>7327</v>
      </c>
      <c r="F2911" s="257" t="s">
        <v>7336</v>
      </c>
      <c r="G2911" s="257" t="s">
        <v>7337</v>
      </c>
    </row>
    <row r="2912" customHeight="1" spans="4:7">
      <c r="D2912" s="256">
        <v>45012</v>
      </c>
      <c r="E2912" s="257" t="s">
        <v>7327</v>
      </c>
      <c r="F2912" s="257" t="s">
        <v>7338</v>
      </c>
      <c r="G2912" s="257" t="s">
        <v>7339</v>
      </c>
    </row>
    <row r="2913" customHeight="1" spans="4:7">
      <c r="D2913" s="256">
        <v>45012</v>
      </c>
      <c r="E2913" s="257" t="s">
        <v>7327</v>
      </c>
      <c r="F2913" s="257" t="s">
        <v>7340</v>
      </c>
      <c r="G2913" s="257" t="s">
        <v>7341</v>
      </c>
    </row>
    <row r="2914" customHeight="1" spans="4:7">
      <c r="D2914" s="256">
        <v>45012</v>
      </c>
      <c r="E2914" s="257" t="s">
        <v>7327</v>
      </c>
      <c r="F2914" s="257" t="s">
        <v>7342</v>
      </c>
      <c r="G2914" s="257" t="s">
        <v>7343</v>
      </c>
    </row>
    <row r="2915" customHeight="1" spans="4:7">
      <c r="D2915" s="256">
        <v>45012</v>
      </c>
      <c r="E2915" s="257" t="s">
        <v>7327</v>
      </c>
      <c r="F2915" s="257" t="s">
        <v>7344</v>
      </c>
      <c r="G2915" s="257" t="s">
        <v>7345</v>
      </c>
    </row>
    <row r="2916" customHeight="1" spans="4:7">
      <c r="D2916" s="256">
        <v>45012</v>
      </c>
      <c r="E2916" s="257" t="s">
        <v>7327</v>
      </c>
      <c r="F2916" s="257" t="s">
        <v>7346</v>
      </c>
      <c r="G2916" s="257" t="s">
        <v>7347</v>
      </c>
    </row>
    <row r="2917" customHeight="1" spans="4:7">
      <c r="D2917" s="256">
        <v>45012</v>
      </c>
      <c r="E2917" s="257" t="s">
        <v>7327</v>
      </c>
      <c r="F2917" s="257" t="s">
        <v>7348</v>
      </c>
      <c r="G2917" s="257" t="s">
        <v>7349</v>
      </c>
    </row>
    <row r="2918" customHeight="1" spans="4:7">
      <c r="D2918" s="256">
        <v>45012</v>
      </c>
      <c r="E2918" s="257" t="s">
        <v>7327</v>
      </c>
      <c r="F2918" s="257" t="s">
        <v>7350</v>
      </c>
      <c r="G2918" s="257" t="s">
        <v>7351</v>
      </c>
    </row>
    <row r="2919" customHeight="1" spans="4:7">
      <c r="D2919" s="256">
        <v>45012</v>
      </c>
      <c r="E2919" s="257" t="s">
        <v>7327</v>
      </c>
      <c r="F2919" s="257" t="s">
        <v>7352</v>
      </c>
      <c r="G2919" s="257" t="s">
        <v>7353</v>
      </c>
    </row>
    <row r="2920" customHeight="1" spans="4:7">
      <c r="D2920" s="256">
        <v>45012</v>
      </c>
      <c r="E2920" s="257" t="s">
        <v>7327</v>
      </c>
      <c r="F2920" s="257" t="s">
        <v>7354</v>
      </c>
      <c r="G2920" s="257" t="s">
        <v>7355</v>
      </c>
    </row>
    <row r="2921" customHeight="1" spans="4:7">
      <c r="D2921" s="256">
        <v>45012</v>
      </c>
      <c r="E2921" s="257" t="s">
        <v>7327</v>
      </c>
      <c r="F2921" s="257" t="s">
        <v>7356</v>
      </c>
      <c r="G2921" s="257" t="s">
        <v>7357</v>
      </c>
    </row>
    <row r="2922" customHeight="1" spans="4:7">
      <c r="D2922" s="256">
        <v>45012</v>
      </c>
      <c r="E2922" s="257" t="s">
        <v>7327</v>
      </c>
      <c r="F2922" s="257" t="s">
        <v>7358</v>
      </c>
      <c r="G2922" s="257" t="s">
        <v>7359</v>
      </c>
    </row>
    <row r="2923" customHeight="1" spans="4:7">
      <c r="D2923" s="256">
        <v>45012</v>
      </c>
      <c r="E2923" s="257" t="s">
        <v>7327</v>
      </c>
      <c r="F2923" s="257" t="s">
        <v>7360</v>
      </c>
      <c r="G2923" s="257" t="s">
        <v>7361</v>
      </c>
    </row>
    <row r="2924" customHeight="1" spans="4:7">
      <c r="D2924" s="256">
        <v>45012</v>
      </c>
      <c r="E2924" s="257" t="s">
        <v>7327</v>
      </c>
      <c r="F2924" s="257" t="s">
        <v>7362</v>
      </c>
      <c r="G2924" s="257" t="s">
        <v>7363</v>
      </c>
    </row>
    <row r="2925" customHeight="1" spans="4:7">
      <c r="D2925" s="256">
        <v>45012</v>
      </c>
      <c r="E2925" s="257" t="s">
        <v>7327</v>
      </c>
      <c r="F2925" s="257" t="s">
        <v>7364</v>
      </c>
      <c r="G2925" s="257" t="s">
        <v>2244</v>
      </c>
    </row>
    <row r="2926" customHeight="1" spans="4:7">
      <c r="D2926" s="256">
        <v>45012</v>
      </c>
      <c r="E2926" s="257" t="s">
        <v>7327</v>
      </c>
      <c r="F2926" s="257" t="s">
        <v>7365</v>
      </c>
      <c r="G2926" s="257" t="s">
        <v>7366</v>
      </c>
    </row>
    <row r="2927" customHeight="1" spans="4:7">
      <c r="D2927" s="256">
        <v>45012</v>
      </c>
      <c r="E2927" s="257" t="s">
        <v>7327</v>
      </c>
      <c r="F2927" s="257" t="s">
        <v>7367</v>
      </c>
      <c r="G2927" s="257" t="s">
        <v>7368</v>
      </c>
    </row>
    <row r="2928" customHeight="1" spans="4:7">
      <c r="D2928" s="256">
        <v>45012</v>
      </c>
      <c r="E2928" s="257" t="s">
        <v>7327</v>
      </c>
      <c r="F2928" s="257" t="s">
        <v>7369</v>
      </c>
      <c r="G2928" s="257" t="s">
        <v>7370</v>
      </c>
    </row>
    <row r="2929" customHeight="1" spans="4:7">
      <c r="D2929" s="256">
        <v>45012</v>
      </c>
      <c r="E2929" s="257" t="s">
        <v>7327</v>
      </c>
      <c r="F2929" s="257" t="s">
        <v>7371</v>
      </c>
      <c r="G2929" s="257" t="s">
        <v>7372</v>
      </c>
    </row>
    <row r="2930" customHeight="1" spans="4:7">
      <c r="D2930" s="256">
        <v>45012</v>
      </c>
      <c r="E2930" s="257" t="s">
        <v>7327</v>
      </c>
      <c r="F2930" s="257" t="s">
        <v>7373</v>
      </c>
      <c r="G2930" s="257" t="s">
        <v>7374</v>
      </c>
    </row>
    <row r="2931" customHeight="1" spans="4:7">
      <c r="D2931" s="256">
        <v>45012</v>
      </c>
      <c r="E2931" s="257" t="s">
        <v>7327</v>
      </c>
      <c r="F2931" s="257" t="s">
        <v>7375</v>
      </c>
      <c r="G2931" s="257" t="s">
        <v>7376</v>
      </c>
    </row>
    <row r="2932" customHeight="1" spans="4:7">
      <c r="D2932" s="256">
        <v>52019</v>
      </c>
      <c r="E2932" s="257" t="s">
        <v>7377</v>
      </c>
      <c r="F2932" s="257" t="s">
        <v>7378</v>
      </c>
      <c r="G2932" s="257" t="s">
        <v>7379</v>
      </c>
    </row>
    <row r="2933" customHeight="1" spans="4:7">
      <c r="D2933" s="256">
        <v>52019</v>
      </c>
      <c r="E2933" s="257" t="s">
        <v>7377</v>
      </c>
      <c r="F2933" s="257" t="s">
        <v>7380</v>
      </c>
      <c r="G2933" s="257" t="s">
        <v>7381</v>
      </c>
    </row>
    <row r="2934" customHeight="1" spans="4:7">
      <c r="D2934" s="256">
        <v>52019</v>
      </c>
      <c r="E2934" s="257" t="s">
        <v>7377</v>
      </c>
      <c r="F2934" s="257" t="s">
        <v>7382</v>
      </c>
      <c r="G2934" s="257" t="s">
        <v>7383</v>
      </c>
    </row>
    <row r="2935" customHeight="1" spans="4:7">
      <c r="D2935" s="256">
        <v>52019</v>
      </c>
      <c r="E2935" s="257" t="s">
        <v>7377</v>
      </c>
      <c r="F2935" s="257" t="s">
        <v>7384</v>
      </c>
      <c r="G2935" s="257" t="s">
        <v>7385</v>
      </c>
    </row>
    <row r="2936" customHeight="1" spans="4:7">
      <c r="D2936" s="256">
        <v>52019</v>
      </c>
      <c r="E2936" s="257" t="s">
        <v>7377</v>
      </c>
      <c r="F2936" s="257" t="s">
        <v>7386</v>
      </c>
      <c r="G2936" s="257" t="s">
        <v>7387</v>
      </c>
    </row>
    <row r="2937" customHeight="1" spans="4:7">
      <c r="D2937" s="256">
        <v>52019</v>
      </c>
      <c r="E2937" s="257" t="s">
        <v>7377</v>
      </c>
      <c r="F2937" s="257" t="s">
        <v>7388</v>
      </c>
      <c r="G2937" s="257" t="s">
        <v>7389</v>
      </c>
    </row>
    <row r="2938" customHeight="1" spans="4:7">
      <c r="D2938" s="256">
        <v>52019</v>
      </c>
      <c r="E2938" s="257" t="s">
        <v>7377</v>
      </c>
      <c r="F2938" s="257" t="s">
        <v>7390</v>
      </c>
      <c r="G2938" s="257" t="s">
        <v>7391</v>
      </c>
    </row>
    <row r="2939" customHeight="1" spans="4:7">
      <c r="D2939" s="256">
        <v>52019</v>
      </c>
      <c r="E2939" s="257" t="s">
        <v>7377</v>
      </c>
      <c r="F2939" s="257" t="s">
        <v>7392</v>
      </c>
      <c r="G2939" s="257" t="s">
        <v>7393</v>
      </c>
    </row>
    <row r="2940" customHeight="1" spans="4:7">
      <c r="D2940" s="256">
        <v>52019</v>
      </c>
      <c r="E2940" s="257" t="s">
        <v>7377</v>
      </c>
      <c r="F2940" s="257" t="s">
        <v>7394</v>
      </c>
      <c r="G2940" s="257" t="s">
        <v>7395</v>
      </c>
    </row>
    <row r="2941" customHeight="1" spans="4:7">
      <c r="D2941" s="256">
        <v>52019</v>
      </c>
      <c r="E2941" s="257" t="s">
        <v>7377</v>
      </c>
      <c r="F2941" s="257" t="s">
        <v>7396</v>
      </c>
      <c r="G2941" s="257" t="s">
        <v>7397</v>
      </c>
    </row>
    <row r="2942" customHeight="1" spans="4:7">
      <c r="D2942" s="256">
        <v>52019</v>
      </c>
      <c r="E2942" s="257" t="s">
        <v>7377</v>
      </c>
      <c r="F2942" s="257" t="s">
        <v>7398</v>
      </c>
      <c r="G2942" s="257" t="s">
        <v>7399</v>
      </c>
    </row>
    <row r="2943" customHeight="1" spans="4:7">
      <c r="D2943" s="256">
        <v>52019</v>
      </c>
      <c r="E2943" s="257" t="s">
        <v>7377</v>
      </c>
      <c r="F2943" s="257" t="s">
        <v>7400</v>
      </c>
      <c r="G2943" s="257" t="s">
        <v>7401</v>
      </c>
    </row>
    <row r="2944" customHeight="1" spans="4:7">
      <c r="D2944" s="256">
        <v>53018</v>
      </c>
      <c r="E2944" s="257" t="s">
        <v>7402</v>
      </c>
      <c r="F2944" s="257" t="s">
        <v>7403</v>
      </c>
      <c r="G2944" s="257" t="s">
        <v>7404</v>
      </c>
    </row>
    <row r="2945" customHeight="1" spans="4:7">
      <c r="D2945" s="256">
        <v>53018</v>
      </c>
      <c r="E2945" s="257" t="s">
        <v>7402</v>
      </c>
      <c r="F2945" s="257" t="s">
        <v>7405</v>
      </c>
      <c r="G2945" s="257" t="s">
        <v>7406</v>
      </c>
    </row>
    <row r="2946" customHeight="1" spans="4:7">
      <c r="D2946" s="256">
        <v>53018</v>
      </c>
      <c r="E2946" s="257" t="s">
        <v>7402</v>
      </c>
      <c r="F2946" s="257" t="s">
        <v>7407</v>
      </c>
      <c r="G2946" s="257" t="s">
        <v>7408</v>
      </c>
    </row>
    <row r="2947" customHeight="1" spans="4:7">
      <c r="D2947" s="256">
        <v>53018</v>
      </c>
      <c r="E2947" s="257" t="s">
        <v>7402</v>
      </c>
      <c r="F2947" s="257" t="s">
        <v>7409</v>
      </c>
      <c r="G2947" s="257" t="s">
        <v>7410</v>
      </c>
    </row>
    <row r="2948" customHeight="1" spans="4:7">
      <c r="D2948" s="256">
        <v>53018</v>
      </c>
      <c r="E2948" s="257" t="s">
        <v>7402</v>
      </c>
      <c r="F2948" s="257" t="s">
        <v>7411</v>
      </c>
      <c r="G2948" s="257" t="s">
        <v>7412</v>
      </c>
    </row>
    <row r="2949" customHeight="1" spans="4:7">
      <c r="D2949" s="256">
        <v>53018</v>
      </c>
      <c r="E2949" s="257" t="s">
        <v>7402</v>
      </c>
      <c r="F2949" s="257" t="s">
        <v>7413</v>
      </c>
      <c r="G2949" s="257" t="s">
        <v>7414</v>
      </c>
    </row>
    <row r="2950" customHeight="1" spans="4:7">
      <c r="D2950" s="256">
        <v>53018</v>
      </c>
      <c r="E2950" s="257" t="s">
        <v>7402</v>
      </c>
      <c r="F2950" s="257" t="s">
        <v>7415</v>
      </c>
      <c r="G2950" s="257" t="s">
        <v>7416</v>
      </c>
    </row>
    <row r="2951" customHeight="1" spans="4:7">
      <c r="D2951" s="256">
        <v>53018</v>
      </c>
      <c r="E2951" s="257" t="s">
        <v>7402</v>
      </c>
      <c r="F2951" s="257" t="s">
        <v>7417</v>
      </c>
      <c r="G2951" s="257" t="s">
        <v>7418</v>
      </c>
    </row>
    <row r="2952" customHeight="1" spans="4:7">
      <c r="D2952" s="256">
        <v>53018</v>
      </c>
      <c r="E2952" s="257" t="s">
        <v>7402</v>
      </c>
      <c r="F2952" s="257" t="s">
        <v>7419</v>
      </c>
      <c r="G2952" s="257" t="s">
        <v>2477</v>
      </c>
    </row>
    <row r="2953" customHeight="1" spans="4:7">
      <c r="D2953" s="256">
        <v>53018</v>
      </c>
      <c r="E2953" s="257" t="s">
        <v>7402</v>
      </c>
      <c r="F2953" s="257" t="s">
        <v>7420</v>
      </c>
      <c r="G2953" s="257" t="s">
        <v>7421</v>
      </c>
    </row>
    <row r="2954" customHeight="1" spans="4:7">
      <c r="D2954" s="256">
        <v>53018</v>
      </c>
      <c r="E2954" s="257" t="s">
        <v>7402</v>
      </c>
      <c r="F2954" s="257" t="s">
        <v>7422</v>
      </c>
      <c r="G2954" s="257" t="s">
        <v>7423</v>
      </c>
    </row>
    <row r="2955" customHeight="1" spans="4:7">
      <c r="D2955" s="256">
        <v>53018</v>
      </c>
      <c r="E2955" s="257" t="s">
        <v>7402</v>
      </c>
      <c r="F2955" s="257" t="s">
        <v>7424</v>
      </c>
      <c r="G2955" s="257" t="s">
        <v>7425</v>
      </c>
    </row>
    <row r="2956" customHeight="1" spans="4:7">
      <c r="D2956" s="256">
        <v>53018</v>
      </c>
      <c r="E2956" s="257" t="s">
        <v>7402</v>
      </c>
      <c r="F2956" s="257" t="s">
        <v>7426</v>
      </c>
      <c r="G2956" s="257" t="s">
        <v>7427</v>
      </c>
    </row>
    <row r="2957" customHeight="1" spans="4:7">
      <c r="D2957" s="256">
        <v>53018</v>
      </c>
      <c r="E2957" s="257" t="s">
        <v>7402</v>
      </c>
      <c r="F2957" s="257" t="s">
        <v>7428</v>
      </c>
      <c r="G2957" s="257" t="s">
        <v>7429</v>
      </c>
    </row>
    <row r="2958" customHeight="1" spans="4:7">
      <c r="D2958" s="256">
        <v>50023</v>
      </c>
      <c r="E2958" s="257" t="s">
        <v>7430</v>
      </c>
      <c r="F2958" s="257" t="s">
        <v>7431</v>
      </c>
      <c r="G2958" s="257" t="s">
        <v>7432</v>
      </c>
    </row>
    <row r="2959" customHeight="1" spans="4:7">
      <c r="D2959" s="256">
        <v>50023</v>
      </c>
      <c r="E2959" s="257" t="s">
        <v>7430</v>
      </c>
      <c r="F2959" s="257" t="s">
        <v>7433</v>
      </c>
      <c r="G2959" s="257" t="s">
        <v>7434</v>
      </c>
    </row>
    <row r="2960" customHeight="1" spans="4:7">
      <c r="D2960" s="256">
        <v>50023</v>
      </c>
      <c r="E2960" s="257" t="s">
        <v>7430</v>
      </c>
      <c r="F2960" s="257" t="s">
        <v>7435</v>
      </c>
      <c r="G2960" s="257" t="s">
        <v>6304</v>
      </c>
    </row>
    <row r="2961" customHeight="1" spans="4:7">
      <c r="D2961" s="256">
        <v>51027</v>
      </c>
      <c r="E2961" s="257" t="s">
        <v>7436</v>
      </c>
      <c r="F2961" s="257" t="s">
        <v>7437</v>
      </c>
      <c r="G2961" s="257" t="s">
        <v>7438</v>
      </c>
    </row>
    <row r="2962" customHeight="1" spans="4:7">
      <c r="D2962" s="256">
        <v>51027</v>
      </c>
      <c r="E2962" s="257" t="s">
        <v>7436</v>
      </c>
      <c r="F2962" s="257" t="s">
        <v>7439</v>
      </c>
      <c r="G2962" s="257" t="s">
        <v>7440</v>
      </c>
    </row>
    <row r="2963" customHeight="1" spans="4:7">
      <c r="D2963" s="256">
        <v>51027</v>
      </c>
      <c r="E2963" s="257" t="s">
        <v>7436</v>
      </c>
      <c r="F2963" s="257" t="s">
        <v>7441</v>
      </c>
      <c r="G2963" s="257" t="s">
        <v>7442</v>
      </c>
    </row>
    <row r="2964" customHeight="1" spans="4:7">
      <c r="D2964" s="256">
        <v>51027</v>
      </c>
      <c r="E2964" s="257" t="s">
        <v>7436</v>
      </c>
      <c r="F2964" s="257" t="s">
        <v>7443</v>
      </c>
      <c r="G2964" s="257" t="s">
        <v>7444</v>
      </c>
    </row>
    <row r="2965" customHeight="1" spans="4:7">
      <c r="D2965" s="256">
        <v>51027</v>
      </c>
      <c r="E2965" s="257" t="s">
        <v>7436</v>
      </c>
      <c r="F2965" s="257" t="s">
        <v>7445</v>
      </c>
      <c r="G2965" s="257" t="s">
        <v>7446</v>
      </c>
    </row>
    <row r="2966" customHeight="1" spans="4:7">
      <c r="D2966" s="256">
        <v>51027</v>
      </c>
      <c r="E2966" s="257" t="s">
        <v>7436</v>
      </c>
      <c r="F2966" s="257" t="s">
        <v>7447</v>
      </c>
      <c r="G2966" s="257" t="s">
        <v>3830</v>
      </c>
    </row>
    <row r="2967" customHeight="1" spans="4:7">
      <c r="D2967" s="256">
        <v>51027</v>
      </c>
      <c r="E2967" s="257" t="s">
        <v>7436</v>
      </c>
      <c r="F2967" s="257" t="s">
        <v>7448</v>
      </c>
      <c r="G2967" s="257" t="s">
        <v>2740</v>
      </c>
    </row>
    <row r="2968" customHeight="1" spans="4:7">
      <c r="D2968" s="256">
        <v>50024</v>
      </c>
      <c r="E2968" s="257" t="s">
        <v>7449</v>
      </c>
      <c r="F2968" s="257" t="s">
        <v>7450</v>
      </c>
      <c r="G2968" s="257" t="s">
        <v>7451</v>
      </c>
    </row>
    <row r="2969" customHeight="1" spans="4:7">
      <c r="D2969" s="256">
        <v>50024</v>
      </c>
      <c r="E2969" s="257" t="s">
        <v>7449</v>
      </c>
      <c r="F2969" s="257" t="s">
        <v>7452</v>
      </c>
      <c r="G2969" s="257" t="s">
        <v>7453</v>
      </c>
    </row>
    <row r="2970" customHeight="1" spans="4:7">
      <c r="D2970" s="256">
        <v>50024</v>
      </c>
      <c r="E2970" s="257" t="s">
        <v>7449</v>
      </c>
      <c r="F2970" s="257" t="s">
        <v>7454</v>
      </c>
      <c r="G2970" s="257" t="s">
        <v>7455</v>
      </c>
    </row>
    <row r="2971" customHeight="1" spans="4:7">
      <c r="D2971" s="256">
        <v>50024</v>
      </c>
      <c r="E2971" s="257" t="s">
        <v>7449</v>
      </c>
      <c r="F2971" s="257" t="s">
        <v>7456</v>
      </c>
      <c r="G2971" s="257" t="s">
        <v>7457</v>
      </c>
    </row>
    <row r="2972" customHeight="1" spans="4:7">
      <c r="D2972" s="256">
        <v>50024</v>
      </c>
      <c r="E2972" s="257" t="s">
        <v>7449</v>
      </c>
      <c r="F2972" s="257" t="s">
        <v>7458</v>
      </c>
      <c r="G2972" s="257" t="s">
        <v>7459</v>
      </c>
    </row>
    <row r="2973" customHeight="1" spans="4:7">
      <c r="D2973" s="256">
        <v>50024</v>
      </c>
      <c r="E2973" s="257" t="s">
        <v>7449</v>
      </c>
      <c r="F2973" s="257" t="s">
        <v>7460</v>
      </c>
      <c r="G2973" s="257" t="s">
        <v>7461</v>
      </c>
    </row>
    <row r="2974" customHeight="1" spans="4:7">
      <c r="D2974" s="256">
        <v>50024</v>
      </c>
      <c r="E2974" s="257" t="s">
        <v>7449</v>
      </c>
      <c r="F2974" s="257" t="s">
        <v>7462</v>
      </c>
      <c r="G2974" s="257" t="s">
        <v>7463</v>
      </c>
    </row>
    <row r="2975" customHeight="1" spans="4:7">
      <c r="D2975" s="256">
        <v>50024</v>
      </c>
      <c r="E2975" s="257" t="s">
        <v>7449</v>
      </c>
      <c r="F2975" s="257" t="s">
        <v>7464</v>
      </c>
      <c r="G2975" s="257" t="s">
        <v>7465</v>
      </c>
    </row>
    <row r="2976" customHeight="1" spans="4:7">
      <c r="D2976" s="256">
        <v>50024</v>
      </c>
      <c r="E2976" s="257" t="s">
        <v>7449</v>
      </c>
      <c r="F2976" s="257" t="s">
        <v>7466</v>
      </c>
      <c r="G2976" s="257" t="s">
        <v>7467</v>
      </c>
    </row>
    <row r="2977" customHeight="1" spans="4:7">
      <c r="D2977" s="256">
        <v>48031</v>
      </c>
      <c r="E2977" s="257" t="s">
        <v>7468</v>
      </c>
      <c r="F2977" s="257" t="s">
        <v>7469</v>
      </c>
      <c r="G2977" s="257" t="s">
        <v>7470</v>
      </c>
    </row>
    <row r="2978" customHeight="1" spans="4:7">
      <c r="D2978" s="256">
        <v>48031</v>
      </c>
      <c r="E2978" s="257" t="s">
        <v>7468</v>
      </c>
      <c r="F2978" s="257" t="s">
        <v>7471</v>
      </c>
      <c r="G2978" s="257" t="s">
        <v>7472</v>
      </c>
    </row>
    <row r="2979" customHeight="1" spans="4:7">
      <c r="D2979" s="256">
        <v>48031</v>
      </c>
      <c r="E2979" s="257" t="s">
        <v>7468</v>
      </c>
      <c r="F2979" s="257" t="s">
        <v>7473</v>
      </c>
      <c r="G2979" s="257" t="s">
        <v>7474</v>
      </c>
    </row>
    <row r="2980" customHeight="1" spans="4:7">
      <c r="D2980" s="256">
        <v>50025</v>
      </c>
      <c r="E2980" s="257" t="s">
        <v>7475</v>
      </c>
      <c r="F2980" s="257" t="s">
        <v>7476</v>
      </c>
      <c r="G2980" s="257" t="s">
        <v>7477</v>
      </c>
    </row>
    <row r="2981" customHeight="1" spans="4:7">
      <c r="D2981" s="256">
        <v>50025</v>
      </c>
      <c r="E2981" s="257" t="s">
        <v>7475</v>
      </c>
      <c r="F2981" s="257" t="s">
        <v>7478</v>
      </c>
      <c r="G2981" s="257" t="s">
        <v>7479</v>
      </c>
    </row>
    <row r="2982" customHeight="1" spans="4:7">
      <c r="D2982" s="256">
        <v>50025</v>
      </c>
      <c r="E2982" s="257" t="s">
        <v>7475</v>
      </c>
      <c r="F2982" s="257" t="s">
        <v>7480</v>
      </c>
      <c r="G2982" s="257" t="s">
        <v>7481</v>
      </c>
    </row>
    <row r="2983" customHeight="1" spans="4:7">
      <c r="D2983" s="256">
        <v>50025</v>
      </c>
      <c r="E2983" s="257" t="s">
        <v>7475</v>
      </c>
      <c r="F2983" s="257" t="s">
        <v>7482</v>
      </c>
      <c r="G2983" s="257" t="s">
        <v>7483</v>
      </c>
    </row>
    <row r="2984" customHeight="1" spans="4:7">
      <c r="D2984" s="256">
        <v>50025</v>
      </c>
      <c r="E2984" s="257" t="s">
        <v>7475</v>
      </c>
      <c r="F2984" s="257" t="s">
        <v>7484</v>
      </c>
      <c r="G2984" s="257" t="s">
        <v>7485</v>
      </c>
    </row>
    <row r="2985" customHeight="1" spans="4:7">
      <c r="D2985" s="256">
        <v>50025</v>
      </c>
      <c r="E2985" s="257" t="s">
        <v>7475</v>
      </c>
      <c r="F2985" s="257" t="s">
        <v>7486</v>
      </c>
      <c r="G2985" s="257" t="s">
        <v>7487</v>
      </c>
    </row>
    <row r="2986" customHeight="1" spans="4:7">
      <c r="D2986" s="256">
        <v>50025</v>
      </c>
      <c r="E2986" s="257" t="s">
        <v>7475</v>
      </c>
      <c r="F2986" s="257" t="s">
        <v>7488</v>
      </c>
      <c r="G2986" s="257" t="s">
        <v>3936</v>
      </c>
    </row>
    <row r="2987" customHeight="1" spans="4:7">
      <c r="D2987" s="256">
        <v>50025</v>
      </c>
      <c r="E2987" s="257" t="s">
        <v>7475</v>
      </c>
      <c r="F2987" s="257" t="s">
        <v>7489</v>
      </c>
      <c r="G2987" s="257" t="s">
        <v>7490</v>
      </c>
    </row>
    <row r="2988" customHeight="1" spans="4:7">
      <c r="D2988" s="256">
        <v>50025</v>
      </c>
      <c r="E2988" s="257" t="s">
        <v>7475</v>
      </c>
      <c r="F2988" s="257" t="s">
        <v>7491</v>
      </c>
      <c r="G2988" s="257" t="s">
        <v>7492</v>
      </c>
    </row>
    <row r="2989" customHeight="1" spans="4:7">
      <c r="D2989" s="256">
        <v>50025</v>
      </c>
      <c r="E2989" s="257" t="s">
        <v>7475</v>
      </c>
      <c r="F2989" s="257" t="s">
        <v>7493</v>
      </c>
      <c r="G2989" s="257" t="s">
        <v>7494</v>
      </c>
    </row>
    <row r="2990" customHeight="1" spans="4:7">
      <c r="D2990" s="256">
        <v>48032</v>
      </c>
      <c r="E2990" s="257" t="s">
        <v>7495</v>
      </c>
      <c r="F2990" s="257" t="s">
        <v>7496</v>
      </c>
      <c r="G2990" s="257" t="s">
        <v>7497</v>
      </c>
    </row>
    <row r="2991" customHeight="1" spans="4:7">
      <c r="D2991" s="256">
        <v>48032</v>
      </c>
      <c r="E2991" s="257" t="s">
        <v>7495</v>
      </c>
      <c r="F2991" s="257" t="s">
        <v>7498</v>
      </c>
      <c r="G2991" s="257" t="s">
        <v>7499</v>
      </c>
    </row>
    <row r="2992" customHeight="1" spans="4:7">
      <c r="D2992" s="256">
        <v>48032</v>
      </c>
      <c r="E2992" s="257" t="s">
        <v>7495</v>
      </c>
      <c r="F2992" s="257" t="s">
        <v>7500</v>
      </c>
      <c r="G2992" s="257" t="s">
        <v>4839</v>
      </c>
    </row>
    <row r="2993" customHeight="1" spans="4:7">
      <c r="D2993" s="256">
        <v>48032</v>
      </c>
      <c r="E2993" s="257" t="s">
        <v>7495</v>
      </c>
      <c r="F2993" s="257" t="s">
        <v>7501</v>
      </c>
      <c r="G2993" s="257" t="s">
        <v>7502</v>
      </c>
    </row>
    <row r="2994" customHeight="1" spans="4:7">
      <c r="D2994" s="256">
        <v>48032</v>
      </c>
      <c r="E2994" s="257" t="s">
        <v>7495</v>
      </c>
      <c r="F2994" s="257" t="s">
        <v>7503</v>
      </c>
      <c r="G2994" s="257" t="s">
        <v>1994</v>
      </c>
    </row>
    <row r="2995" customHeight="1" spans="4:7">
      <c r="D2995" s="256">
        <v>48032</v>
      </c>
      <c r="E2995" s="257" t="s">
        <v>7495</v>
      </c>
      <c r="F2995" s="257" t="s">
        <v>7504</v>
      </c>
      <c r="G2995" s="257" t="s">
        <v>1332</v>
      </c>
    </row>
    <row r="2996" customHeight="1" spans="4:7">
      <c r="D2996" s="256">
        <v>48032</v>
      </c>
      <c r="E2996" s="257" t="s">
        <v>7495</v>
      </c>
      <c r="F2996" s="257" t="s">
        <v>7505</v>
      </c>
      <c r="G2996" s="257" t="s">
        <v>7506</v>
      </c>
    </row>
    <row r="2997" customHeight="1" spans="4:7">
      <c r="D2997" s="256">
        <v>48032</v>
      </c>
      <c r="E2997" s="257" t="s">
        <v>7495</v>
      </c>
      <c r="F2997" s="257" t="s">
        <v>7507</v>
      </c>
      <c r="G2997" s="257" t="s">
        <v>7508</v>
      </c>
    </row>
    <row r="2998" customHeight="1" spans="4:7">
      <c r="D2998" s="256">
        <v>48032</v>
      </c>
      <c r="E2998" s="257" t="s">
        <v>7495</v>
      </c>
      <c r="F2998" s="257" t="s">
        <v>7509</v>
      </c>
      <c r="G2998" s="257" t="s">
        <v>7510</v>
      </c>
    </row>
    <row r="2999" customHeight="1" spans="4:7">
      <c r="D2999" s="256">
        <v>48032</v>
      </c>
      <c r="E2999" s="257" t="s">
        <v>7495</v>
      </c>
      <c r="F2999" s="257" t="s">
        <v>7511</v>
      </c>
      <c r="G2999" s="257" t="s">
        <v>7512</v>
      </c>
    </row>
    <row r="3000" customHeight="1" spans="4:7">
      <c r="D3000" s="256">
        <v>48032</v>
      </c>
      <c r="E3000" s="257" t="s">
        <v>7495</v>
      </c>
      <c r="F3000" s="257" t="s">
        <v>7513</v>
      </c>
      <c r="G3000" s="257" t="s">
        <v>2644</v>
      </c>
    </row>
    <row r="3001" customHeight="1" spans="4:7">
      <c r="D3001" s="256">
        <v>48032</v>
      </c>
      <c r="E3001" s="257" t="s">
        <v>7495</v>
      </c>
      <c r="F3001" s="257" t="s">
        <v>7514</v>
      </c>
      <c r="G3001" s="257" t="s">
        <v>7515</v>
      </c>
    </row>
    <row r="3002" customHeight="1" spans="4:7">
      <c r="D3002" s="256">
        <v>48032</v>
      </c>
      <c r="E3002" s="257" t="s">
        <v>7495</v>
      </c>
      <c r="F3002" s="257" t="s">
        <v>7516</v>
      </c>
      <c r="G3002" s="257" t="s">
        <v>7517</v>
      </c>
    </row>
    <row r="3003" customHeight="1" spans="4:7">
      <c r="D3003" s="256">
        <v>48032</v>
      </c>
      <c r="E3003" s="257" t="s">
        <v>7495</v>
      </c>
      <c r="F3003" s="257" t="s">
        <v>7518</v>
      </c>
      <c r="G3003" s="257" t="s">
        <v>7519</v>
      </c>
    </row>
    <row r="3004" customHeight="1" spans="4:7">
      <c r="D3004" s="256">
        <v>48032</v>
      </c>
      <c r="E3004" s="257" t="s">
        <v>7495</v>
      </c>
      <c r="F3004" s="257" t="s">
        <v>7520</v>
      </c>
      <c r="G3004" s="257" t="s">
        <v>7521</v>
      </c>
    </row>
    <row r="3005" customHeight="1" spans="4:7">
      <c r="D3005" s="256">
        <v>48032</v>
      </c>
      <c r="E3005" s="257" t="s">
        <v>7495</v>
      </c>
      <c r="F3005" s="257" t="s">
        <v>7522</v>
      </c>
      <c r="G3005" s="257" t="s">
        <v>7523</v>
      </c>
    </row>
    <row r="3006" customHeight="1" spans="4:7">
      <c r="D3006" s="256">
        <v>48032</v>
      </c>
      <c r="E3006" s="257" t="s">
        <v>7495</v>
      </c>
      <c r="F3006" s="257" t="s">
        <v>7524</v>
      </c>
      <c r="G3006" s="257" t="s">
        <v>7525</v>
      </c>
    </row>
    <row r="3007" customHeight="1" spans="4:7">
      <c r="D3007" s="256">
        <v>48032</v>
      </c>
      <c r="E3007" s="257" t="s">
        <v>7495</v>
      </c>
      <c r="F3007" s="257" t="s">
        <v>7526</v>
      </c>
      <c r="G3007" s="257" t="s">
        <v>7527</v>
      </c>
    </row>
    <row r="3008" customHeight="1" spans="4:7">
      <c r="D3008" s="256">
        <v>48032</v>
      </c>
      <c r="E3008" s="257" t="s">
        <v>7495</v>
      </c>
      <c r="F3008" s="257" t="s">
        <v>7528</v>
      </c>
      <c r="G3008" s="257" t="s">
        <v>2134</v>
      </c>
    </row>
    <row r="3009" customHeight="1" spans="4:7">
      <c r="D3009" s="256">
        <v>48032</v>
      </c>
      <c r="E3009" s="257" t="s">
        <v>7495</v>
      </c>
      <c r="F3009" s="257" t="s">
        <v>7529</v>
      </c>
      <c r="G3009" s="257" t="s">
        <v>7530</v>
      </c>
    </row>
    <row r="3010" customHeight="1" spans="4:7">
      <c r="D3010" s="256">
        <v>48032</v>
      </c>
      <c r="E3010" s="257" t="s">
        <v>7495</v>
      </c>
      <c r="F3010" s="257" t="s">
        <v>7531</v>
      </c>
      <c r="G3010" s="257" t="s">
        <v>7532</v>
      </c>
    </row>
    <row r="3011" customHeight="1" spans="4:7">
      <c r="D3011" s="256">
        <v>48032</v>
      </c>
      <c r="E3011" s="257" t="s">
        <v>7495</v>
      </c>
      <c r="F3011" s="257" t="s">
        <v>7533</v>
      </c>
      <c r="G3011" s="257" t="s">
        <v>7534</v>
      </c>
    </row>
    <row r="3012" customHeight="1" spans="4:7">
      <c r="D3012" s="256">
        <v>48032</v>
      </c>
      <c r="E3012" s="257" t="s">
        <v>7495</v>
      </c>
      <c r="F3012" s="257" t="s">
        <v>7535</v>
      </c>
      <c r="G3012" s="257" t="s">
        <v>7536</v>
      </c>
    </row>
    <row r="3013" customHeight="1" spans="4:7">
      <c r="D3013" s="256">
        <v>48032</v>
      </c>
      <c r="E3013" s="257" t="s">
        <v>7495</v>
      </c>
      <c r="F3013" s="257" t="s">
        <v>7537</v>
      </c>
      <c r="G3013" s="257" t="s">
        <v>7538</v>
      </c>
    </row>
    <row r="3014" customHeight="1" spans="4:7">
      <c r="D3014" s="256">
        <v>48032</v>
      </c>
      <c r="E3014" s="257" t="s">
        <v>7495</v>
      </c>
      <c r="F3014" s="257" t="s">
        <v>7539</v>
      </c>
      <c r="G3014" s="257" t="s">
        <v>7540</v>
      </c>
    </row>
    <row r="3015" customHeight="1" spans="4:7">
      <c r="D3015" s="256">
        <v>48032</v>
      </c>
      <c r="E3015" s="257" t="s">
        <v>7495</v>
      </c>
      <c r="F3015" s="257" t="s">
        <v>7541</v>
      </c>
      <c r="G3015" s="257" t="s">
        <v>7542</v>
      </c>
    </row>
    <row r="3016" customHeight="1" spans="4:7">
      <c r="D3016" s="256">
        <v>48032</v>
      </c>
      <c r="E3016" s="257" t="s">
        <v>7495</v>
      </c>
      <c r="F3016" s="257" t="s">
        <v>7543</v>
      </c>
      <c r="G3016" s="257" t="s">
        <v>2285</v>
      </c>
    </row>
    <row r="3017" customHeight="1" spans="4:7">
      <c r="D3017" s="256">
        <v>48032</v>
      </c>
      <c r="E3017" s="257" t="s">
        <v>7495</v>
      </c>
      <c r="F3017" s="257" t="s">
        <v>7544</v>
      </c>
      <c r="G3017" s="257" t="s">
        <v>7545</v>
      </c>
    </row>
    <row r="3018" customHeight="1" spans="4:7">
      <c r="D3018" s="256">
        <v>48032</v>
      </c>
      <c r="E3018" s="257" t="s">
        <v>7495</v>
      </c>
      <c r="F3018" s="257" t="s">
        <v>7546</v>
      </c>
      <c r="G3018" s="257" t="s">
        <v>7547</v>
      </c>
    </row>
    <row r="3019" customHeight="1" spans="4:7">
      <c r="D3019" s="256">
        <v>51028</v>
      </c>
      <c r="E3019" s="257" t="s">
        <v>7548</v>
      </c>
      <c r="F3019" s="257" t="s">
        <v>7549</v>
      </c>
      <c r="G3019" s="257" t="s">
        <v>7550</v>
      </c>
    </row>
    <row r="3020" customHeight="1" spans="4:7">
      <c r="D3020" s="256">
        <v>51028</v>
      </c>
      <c r="E3020" s="257" t="s">
        <v>7548</v>
      </c>
      <c r="F3020" s="257" t="s">
        <v>7551</v>
      </c>
      <c r="G3020" s="257" t="s">
        <v>7552</v>
      </c>
    </row>
    <row r="3021" customHeight="1" spans="4:7">
      <c r="D3021" s="256">
        <v>51028</v>
      </c>
      <c r="E3021" s="257" t="s">
        <v>7548</v>
      </c>
      <c r="F3021" s="257" t="s">
        <v>7553</v>
      </c>
      <c r="G3021" s="257" t="s">
        <v>7554</v>
      </c>
    </row>
    <row r="3022" customHeight="1" spans="4:7">
      <c r="D3022" s="256">
        <v>51028</v>
      </c>
      <c r="E3022" s="257" t="s">
        <v>7548</v>
      </c>
      <c r="F3022" s="257" t="s">
        <v>7555</v>
      </c>
      <c r="G3022" s="257" t="s">
        <v>7556</v>
      </c>
    </row>
    <row r="3023" customHeight="1" spans="4:7">
      <c r="D3023" s="256">
        <v>51028</v>
      </c>
      <c r="E3023" s="257" t="s">
        <v>7548</v>
      </c>
      <c r="F3023" s="257" t="s">
        <v>7557</v>
      </c>
      <c r="G3023" s="257" t="s">
        <v>7558</v>
      </c>
    </row>
    <row r="3024" customHeight="1" spans="4:7">
      <c r="D3024" s="256">
        <v>51028</v>
      </c>
      <c r="E3024" s="257" t="s">
        <v>7548</v>
      </c>
      <c r="F3024" s="257" t="s">
        <v>7559</v>
      </c>
      <c r="G3024" s="257" t="s">
        <v>7060</v>
      </c>
    </row>
    <row r="3025" customHeight="1" spans="4:7">
      <c r="D3025" s="256">
        <v>51028</v>
      </c>
      <c r="E3025" s="257" t="s">
        <v>7548</v>
      </c>
      <c r="F3025" s="257" t="s">
        <v>7560</v>
      </c>
      <c r="G3025" s="257" t="s">
        <v>7561</v>
      </c>
    </row>
    <row r="3026" customHeight="1" spans="4:7">
      <c r="D3026" s="256">
        <v>51028</v>
      </c>
      <c r="E3026" s="257" t="s">
        <v>7548</v>
      </c>
      <c r="F3026" s="257" t="s">
        <v>7562</v>
      </c>
      <c r="G3026" s="257" t="s">
        <v>7563</v>
      </c>
    </row>
    <row r="3027" customHeight="1" spans="4:7">
      <c r="D3027" s="256">
        <v>51028</v>
      </c>
      <c r="E3027" s="257" t="s">
        <v>7548</v>
      </c>
      <c r="F3027" s="257" t="s">
        <v>7564</v>
      </c>
      <c r="G3027" s="257" t="s">
        <v>4975</v>
      </c>
    </row>
    <row r="3028" customHeight="1" spans="4:7">
      <c r="D3028" s="256">
        <v>51028</v>
      </c>
      <c r="E3028" s="257" t="s">
        <v>7548</v>
      </c>
      <c r="F3028" s="257" t="s">
        <v>7565</v>
      </c>
      <c r="G3028" s="257" t="s">
        <v>7566</v>
      </c>
    </row>
    <row r="3029" customHeight="1" spans="4:7">
      <c r="D3029" s="256">
        <v>51028</v>
      </c>
      <c r="E3029" s="257" t="s">
        <v>7548</v>
      </c>
      <c r="F3029" s="257" t="s">
        <v>7567</v>
      </c>
      <c r="G3029" s="257" t="s">
        <v>7568</v>
      </c>
    </row>
    <row r="3030" customHeight="1" spans="4:7">
      <c r="D3030" s="256">
        <v>51028</v>
      </c>
      <c r="E3030" s="257" t="s">
        <v>7548</v>
      </c>
      <c r="F3030" s="257" t="s">
        <v>7569</v>
      </c>
      <c r="G3030" s="257" t="s">
        <v>7570</v>
      </c>
    </row>
    <row r="3031" customHeight="1" spans="4:7">
      <c r="D3031" s="256">
        <v>51028</v>
      </c>
      <c r="E3031" s="257" t="s">
        <v>7548</v>
      </c>
      <c r="F3031" s="257" t="s">
        <v>7571</v>
      </c>
      <c r="G3031" s="257" t="s">
        <v>2152</v>
      </c>
    </row>
    <row r="3032" customHeight="1" spans="4:7">
      <c r="D3032" s="256">
        <v>46022</v>
      </c>
      <c r="E3032" s="257" t="s">
        <v>7572</v>
      </c>
      <c r="F3032" s="257" t="s">
        <v>7573</v>
      </c>
      <c r="G3032" s="257" t="s">
        <v>7574</v>
      </c>
    </row>
    <row r="3033" customHeight="1" spans="4:7">
      <c r="D3033" s="256">
        <v>46022</v>
      </c>
      <c r="E3033" s="257" t="s">
        <v>7572</v>
      </c>
      <c r="F3033" s="257" t="s">
        <v>7575</v>
      </c>
      <c r="G3033" s="257" t="s">
        <v>7576</v>
      </c>
    </row>
    <row r="3034" customHeight="1" spans="4:7">
      <c r="D3034" s="256">
        <v>46022</v>
      </c>
      <c r="E3034" s="257" t="s">
        <v>7572</v>
      </c>
      <c r="F3034" s="257" t="s">
        <v>7577</v>
      </c>
      <c r="G3034" s="257" t="s">
        <v>7578</v>
      </c>
    </row>
    <row r="3035" customHeight="1" spans="4:7">
      <c r="D3035" s="256">
        <v>46022</v>
      </c>
      <c r="E3035" s="257" t="s">
        <v>7572</v>
      </c>
      <c r="F3035" s="257" t="s">
        <v>7579</v>
      </c>
      <c r="G3035" s="257" t="s">
        <v>7580</v>
      </c>
    </row>
    <row r="3036" customHeight="1" spans="4:7">
      <c r="D3036" s="256">
        <v>46022</v>
      </c>
      <c r="E3036" s="257" t="s">
        <v>7572</v>
      </c>
      <c r="F3036" s="257" t="s">
        <v>7581</v>
      </c>
      <c r="G3036" s="257" t="s">
        <v>7582</v>
      </c>
    </row>
    <row r="3037" customHeight="1" spans="4:7">
      <c r="D3037" s="256">
        <v>46022</v>
      </c>
      <c r="E3037" s="257" t="s">
        <v>7572</v>
      </c>
      <c r="F3037" s="257" t="s">
        <v>7583</v>
      </c>
      <c r="G3037" s="257" t="s">
        <v>7584</v>
      </c>
    </row>
    <row r="3038" customHeight="1" spans="4:7">
      <c r="D3038" s="256">
        <v>46022</v>
      </c>
      <c r="E3038" s="257" t="s">
        <v>7572</v>
      </c>
      <c r="F3038" s="257" t="s">
        <v>7585</v>
      </c>
      <c r="G3038" s="257" t="s">
        <v>7586</v>
      </c>
    </row>
    <row r="3039" customHeight="1" spans="4:7">
      <c r="D3039" s="256">
        <v>46022</v>
      </c>
      <c r="E3039" s="257" t="s">
        <v>7572</v>
      </c>
      <c r="F3039" s="257" t="s">
        <v>7587</v>
      </c>
      <c r="G3039" s="257" t="s">
        <v>7588</v>
      </c>
    </row>
    <row r="3040" customHeight="1" spans="4:7">
      <c r="D3040" s="256">
        <v>46022</v>
      </c>
      <c r="E3040" s="257" t="s">
        <v>7572</v>
      </c>
      <c r="F3040" s="257" t="s">
        <v>7589</v>
      </c>
      <c r="G3040" s="257" t="s">
        <v>7590</v>
      </c>
    </row>
    <row r="3041" customHeight="1" spans="4:7">
      <c r="D3041" s="256">
        <v>46022</v>
      </c>
      <c r="E3041" s="257" t="s">
        <v>7572</v>
      </c>
      <c r="F3041" s="257" t="s">
        <v>7591</v>
      </c>
      <c r="G3041" s="257" t="s">
        <v>7592</v>
      </c>
    </row>
    <row r="3042" customHeight="1" spans="4:7">
      <c r="D3042" s="256">
        <v>46022</v>
      </c>
      <c r="E3042" s="257" t="s">
        <v>7572</v>
      </c>
      <c r="F3042" s="257" t="s">
        <v>7593</v>
      </c>
      <c r="G3042" s="257" t="s">
        <v>7594</v>
      </c>
    </row>
    <row r="3043" customHeight="1" spans="4:7">
      <c r="D3043" s="256">
        <v>46022</v>
      </c>
      <c r="E3043" s="257" t="s">
        <v>7572</v>
      </c>
      <c r="F3043" s="257" t="s">
        <v>7595</v>
      </c>
      <c r="G3043" s="257" t="s">
        <v>7459</v>
      </c>
    </row>
    <row r="3044" customHeight="1" spans="4:7">
      <c r="D3044" s="256">
        <v>46022</v>
      </c>
      <c r="E3044" s="257" t="s">
        <v>7572</v>
      </c>
      <c r="F3044" s="257" t="s">
        <v>7596</v>
      </c>
      <c r="G3044" s="257" t="s">
        <v>7597</v>
      </c>
    </row>
    <row r="3045" customHeight="1" spans="4:7">
      <c r="D3045" s="256">
        <v>46022</v>
      </c>
      <c r="E3045" s="257" t="s">
        <v>7572</v>
      </c>
      <c r="F3045" s="257" t="s">
        <v>7598</v>
      </c>
      <c r="G3045" s="257" t="s">
        <v>7599</v>
      </c>
    </row>
    <row r="3046" customHeight="1" spans="4:7">
      <c r="D3046" s="256">
        <v>46022</v>
      </c>
      <c r="E3046" s="257" t="s">
        <v>7572</v>
      </c>
      <c r="F3046" s="257" t="s">
        <v>7600</v>
      </c>
      <c r="G3046" s="257" t="s">
        <v>2698</v>
      </c>
    </row>
    <row r="3047" customHeight="1" spans="4:7">
      <c r="D3047" s="256">
        <v>46022</v>
      </c>
      <c r="E3047" s="257" t="s">
        <v>7572</v>
      </c>
      <c r="F3047" s="257" t="s">
        <v>7601</v>
      </c>
      <c r="G3047" s="257" t="s">
        <v>7602</v>
      </c>
    </row>
    <row r="3048" customHeight="1" spans="4:7">
      <c r="D3048" s="256">
        <v>46022</v>
      </c>
      <c r="E3048" s="257" t="s">
        <v>7572</v>
      </c>
      <c r="F3048" s="257" t="s">
        <v>7603</v>
      </c>
      <c r="G3048" s="257" t="s">
        <v>7604</v>
      </c>
    </row>
    <row r="3049" customHeight="1" spans="4:7">
      <c r="D3049" s="256">
        <v>46022</v>
      </c>
      <c r="E3049" s="257" t="s">
        <v>7572</v>
      </c>
      <c r="F3049" s="257" t="s">
        <v>7605</v>
      </c>
      <c r="G3049" s="257" t="s">
        <v>7606</v>
      </c>
    </row>
    <row r="3050" customHeight="1" spans="4:7">
      <c r="D3050" s="256">
        <v>46022</v>
      </c>
      <c r="E3050" s="257" t="s">
        <v>7572</v>
      </c>
      <c r="F3050" s="257" t="s">
        <v>7607</v>
      </c>
      <c r="G3050" s="257" t="s">
        <v>7608</v>
      </c>
    </row>
    <row r="3051" customHeight="1" spans="4:7">
      <c r="D3051" s="256">
        <v>46022</v>
      </c>
      <c r="E3051" s="257" t="s">
        <v>7572</v>
      </c>
      <c r="F3051" s="257" t="s">
        <v>7609</v>
      </c>
      <c r="G3051" s="257" t="s">
        <v>7610</v>
      </c>
    </row>
    <row r="3052" customHeight="1" spans="4:7">
      <c r="D3052" s="256">
        <v>46022</v>
      </c>
      <c r="E3052" s="257" t="s">
        <v>7572</v>
      </c>
      <c r="F3052" s="257" t="s">
        <v>7611</v>
      </c>
      <c r="G3052" s="257" t="s">
        <v>7612</v>
      </c>
    </row>
    <row r="3053" customHeight="1" spans="4:7">
      <c r="D3053" s="256">
        <v>46022</v>
      </c>
      <c r="E3053" s="257" t="s">
        <v>7572</v>
      </c>
      <c r="F3053" s="257" t="s">
        <v>7613</v>
      </c>
      <c r="G3053" s="257" t="s">
        <v>2848</v>
      </c>
    </row>
    <row r="3054" customHeight="1" spans="4:7">
      <c r="D3054" s="256">
        <v>46022</v>
      </c>
      <c r="E3054" s="257" t="s">
        <v>7572</v>
      </c>
      <c r="F3054" s="257" t="s">
        <v>7614</v>
      </c>
      <c r="G3054" s="257" t="s">
        <v>3044</v>
      </c>
    </row>
    <row r="3055" customHeight="1" spans="4:7">
      <c r="D3055" s="256">
        <v>46022</v>
      </c>
      <c r="E3055" s="257" t="s">
        <v>7572</v>
      </c>
      <c r="F3055" s="257" t="s">
        <v>7615</v>
      </c>
      <c r="G3055" s="257" t="s">
        <v>7616</v>
      </c>
    </row>
    <row r="3056" customHeight="1" spans="4:7">
      <c r="D3056" s="256">
        <v>46022</v>
      </c>
      <c r="E3056" s="257" t="s">
        <v>7572</v>
      </c>
      <c r="F3056" s="257" t="s">
        <v>7617</v>
      </c>
      <c r="G3056" s="257" t="s">
        <v>7618</v>
      </c>
    </row>
    <row r="3057" customHeight="1" spans="4:7">
      <c r="D3057" s="256">
        <v>46022</v>
      </c>
      <c r="E3057" s="257" t="s">
        <v>7572</v>
      </c>
      <c r="F3057" s="257" t="s">
        <v>7619</v>
      </c>
      <c r="G3057" s="257" t="s">
        <v>7620</v>
      </c>
    </row>
    <row r="3058" customHeight="1" spans="4:7">
      <c r="D3058" s="256">
        <v>46022</v>
      </c>
      <c r="E3058" s="257" t="s">
        <v>7572</v>
      </c>
      <c r="F3058" s="257" t="s">
        <v>7621</v>
      </c>
      <c r="G3058" s="257" t="s">
        <v>7622</v>
      </c>
    </row>
    <row r="3059" customHeight="1" spans="4:7">
      <c r="D3059" s="256">
        <v>46022</v>
      </c>
      <c r="E3059" s="257" t="s">
        <v>7572</v>
      </c>
      <c r="F3059" s="257" t="s">
        <v>7623</v>
      </c>
      <c r="G3059" s="257" t="s">
        <v>7624</v>
      </c>
    </row>
    <row r="3060" customHeight="1" spans="4:7">
      <c r="D3060" s="256">
        <v>47012</v>
      </c>
      <c r="E3060" s="257" t="s">
        <v>7625</v>
      </c>
      <c r="F3060" s="257" t="s">
        <v>7626</v>
      </c>
      <c r="G3060" s="257" t="s">
        <v>7627</v>
      </c>
    </row>
    <row r="3061" customHeight="1" spans="4:7">
      <c r="D3061" s="256">
        <v>47012</v>
      </c>
      <c r="E3061" s="257" t="s">
        <v>7625</v>
      </c>
      <c r="F3061" s="257" t="s">
        <v>7628</v>
      </c>
      <c r="G3061" s="257" t="s">
        <v>7629</v>
      </c>
    </row>
    <row r="3062" customHeight="1" spans="4:7">
      <c r="D3062" s="256">
        <v>47012</v>
      </c>
      <c r="E3062" s="257" t="s">
        <v>7625</v>
      </c>
      <c r="F3062" s="257" t="s">
        <v>7630</v>
      </c>
      <c r="G3062" s="257" t="s">
        <v>7631</v>
      </c>
    </row>
    <row r="3063" customHeight="1" spans="4:7">
      <c r="D3063" s="256">
        <v>47012</v>
      </c>
      <c r="E3063" s="257" t="s">
        <v>7625</v>
      </c>
      <c r="F3063" s="257" t="s">
        <v>7632</v>
      </c>
      <c r="G3063" s="257" t="s">
        <v>7633</v>
      </c>
    </row>
    <row r="3064" customHeight="1" spans="4:7">
      <c r="D3064" s="256">
        <v>47012</v>
      </c>
      <c r="E3064" s="257" t="s">
        <v>7625</v>
      </c>
      <c r="F3064" s="257" t="s">
        <v>7634</v>
      </c>
      <c r="G3064" s="257" t="s">
        <v>7635</v>
      </c>
    </row>
    <row r="3065" customHeight="1" spans="4:7">
      <c r="D3065" s="256">
        <v>47012</v>
      </c>
      <c r="E3065" s="257" t="s">
        <v>7625</v>
      </c>
      <c r="F3065" s="257" t="s">
        <v>7636</v>
      </c>
      <c r="G3065" s="257" t="s">
        <v>5116</v>
      </c>
    </row>
    <row r="3066" customHeight="1" spans="4:7">
      <c r="D3066" s="256">
        <v>47012</v>
      </c>
      <c r="E3066" s="257" t="s">
        <v>7625</v>
      </c>
      <c r="F3066" s="257" t="s">
        <v>7637</v>
      </c>
      <c r="G3066" s="257" t="s">
        <v>7638</v>
      </c>
    </row>
    <row r="3067" customHeight="1" spans="4:7">
      <c r="D3067" s="256">
        <v>47012</v>
      </c>
      <c r="E3067" s="257" t="s">
        <v>7625</v>
      </c>
      <c r="F3067" s="257" t="s">
        <v>7639</v>
      </c>
      <c r="G3067" s="257" t="s">
        <v>7640</v>
      </c>
    </row>
    <row r="3068" customHeight="1" spans="4:7">
      <c r="D3068" s="256">
        <v>47012</v>
      </c>
      <c r="E3068" s="257" t="s">
        <v>7625</v>
      </c>
      <c r="F3068" s="257" t="s">
        <v>7641</v>
      </c>
      <c r="G3068" s="257" t="s">
        <v>7642</v>
      </c>
    </row>
    <row r="3069" customHeight="1" spans="4:7">
      <c r="D3069" s="256">
        <v>47012</v>
      </c>
      <c r="E3069" s="257" t="s">
        <v>7625</v>
      </c>
      <c r="F3069" s="257" t="s">
        <v>7643</v>
      </c>
      <c r="G3069" s="257" t="s">
        <v>2813</v>
      </c>
    </row>
    <row r="3070" customHeight="1" spans="4:7">
      <c r="D3070" s="256">
        <v>47012</v>
      </c>
      <c r="E3070" s="257" t="s">
        <v>7625</v>
      </c>
      <c r="F3070" s="257" t="s">
        <v>7644</v>
      </c>
      <c r="G3070" s="257" t="s">
        <v>7645</v>
      </c>
    </row>
    <row r="3071" customHeight="1" spans="4:7">
      <c r="D3071" s="256">
        <v>47012</v>
      </c>
      <c r="E3071" s="257" t="s">
        <v>7625</v>
      </c>
      <c r="F3071" s="257" t="s">
        <v>7646</v>
      </c>
      <c r="G3071" s="257" t="s">
        <v>7647</v>
      </c>
    </row>
    <row r="3072" customHeight="1" spans="4:7">
      <c r="D3072" s="256">
        <v>47012</v>
      </c>
      <c r="E3072" s="257" t="s">
        <v>7625</v>
      </c>
      <c r="F3072" s="257" t="s">
        <v>7648</v>
      </c>
      <c r="G3072" s="257" t="s">
        <v>7649</v>
      </c>
    </row>
    <row r="3073" customHeight="1" spans="4:7">
      <c r="D3073" s="256">
        <v>47012</v>
      </c>
      <c r="E3073" s="257" t="s">
        <v>7625</v>
      </c>
      <c r="F3073" s="257" t="s">
        <v>7650</v>
      </c>
      <c r="G3073" s="257" t="s">
        <v>7651</v>
      </c>
    </row>
    <row r="3074" customHeight="1" spans="4:7">
      <c r="D3074" s="256">
        <v>47012</v>
      </c>
      <c r="E3074" s="257" t="s">
        <v>7625</v>
      </c>
      <c r="F3074" s="257" t="s">
        <v>7652</v>
      </c>
      <c r="G3074" s="257" t="s">
        <v>7653</v>
      </c>
    </row>
    <row r="3075" customHeight="1" spans="4:7">
      <c r="D3075" s="256">
        <v>47012</v>
      </c>
      <c r="E3075" s="257" t="s">
        <v>7625</v>
      </c>
      <c r="F3075" s="257" t="s">
        <v>7654</v>
      </c>
      <c r="G3075" s="257" t="s">
        <v>7655</v>
      </c>
    </row>
    <row r="3076" customHeight="1" spans="4:7">
      <c r="D3076" s="256">
        <v>47012</v>
      </c>
      <c r="E3076" s="257" t="s">
        <v>7625</v>
      </c>
      <c r="F3076" s="257" t="s">
        <v>7656</v>
      </c>
      <c r="G3076" s="257" t="s">
        <v>7657</v>
      </c>
    </row>
    <row r="3077" customHeight="1" spans="4:7">
      <c r="D3077" s="256">
        <v>47012</v>
      </c>
      <c r="E3077" s="257" t="s">
        <v>7625</v>
      </c>
      <c r="F3077" s="257" t="s">
        <v>7658</v>
      </c>
      <c r="G3077" s="257" t="s">
        <v>7659</v>
      </c>
    </row>
    <row r="3078" customHeight="1" spans="4:7">
      <c r="D3078" s="256">
        <v>47012</v>
      </c>
      <c r="E3078" s="257" t="s">
        <v>7625</v>
      </c>
      <c r="F3078" s="257" t="s">
        <v>7660</v>
      </c>
      <c r="G3078" s="257" t="s">
        <v>7661</v>
      </c>
    </row>
    <row r="3079" customHeight="1" spans="4:7">
      <c r="D3079" s="256">
        <v>47012</v>
      </c>
      <c r="E3079" s="257" t="s">
        <v>7625</v>
      </c>
      <c r="F3079" s="257" t="s">
        <v>7662</v>
      </c>
      <c r="G3079" s="257" t="s">
        <v>1497</v>
      </c>
    </row>
    <row r="3080" customHeight="1" spans="4:7">
      <c r="D3080" s="256">
        <v>47012</v>
      </c>
      <c r="E3080" s="257" t="s">
        <v>7625</v>
      </c>
      <c r="F3080" s="257" t="s">
        <v>7663</v>
      </c>
      <c r="G3080" s="257" t="s">
        <v>7201</v>
      </c>
    </row>
    <row r="3081" customHeight="1" spans="4:7">
      <c r="D3081" s="256">
        <v>47012</v>
      </c>
      <c r="E3081" s="257" t="s">
        <v>7625</v>
      </c>
      <c r="F3081" s="257" t="s">
        <v>7664</v>
      </c>
      <c r="G3081" s="257" t="s">
        <v>7665</v>
      </c>
    </row>
    <row r="3082" customHeight="1" spans="4:7">
      <c r="D3082" s="256">
        <v>47012</v>
      </c>
      <c r="E3082" s="257" t="s">
        <v>7625</v>
      </c>
      <c r="F3082" s="257" t="s">
        <v>7666</v>
      </c>
      <c r="G3082" s="257" t="s">
        <v>7667</v>
      </c>
    </row>
    <row r="3083" customHeight="1" spans="4:7">
      <c r="D3083" s="256">
        <v>47012</v>
      </c>
      <c r="E3083" s="257" t="s">
        <v>7625</v>
      </c>
      <c r="F3083" s="257" t="s">
        <v>7668</v>
      </c>
      <c r="G3083" s="257" t="s">
        <v>7669</v>
      </c>
    </row>
    <row r="3084" customHeight="1" spans="4:7">
      <c r="D3084" s="256">
        <v>47012</v>
      </c>
      <c r="E3084" s="257" t="s">
        <v>7625</v>
      </c>
      <c r="F3084" s="257" t="s">
        <v>7670</v>
      </c>
      <c r="G3084" s="257" t="s">
        <v>7671</v>
      </c>
    </row>
    <row r="3085" customHeight="1" spans="4:7">
      <c r="D3085" s="256">
        <v>51029</v>
      </c>
      <c r="E3085" s="257" t="s">
        <v>7672</v>
      </c>
      <c r="F3085" s="257" t="s">
        <v>7673</v>
      </c>
      <c r="G3085" s="257" t="s">
        <v>7674</v>
      </c>
    </row>
    <row r="3086" customHeight="1" spans="4:7">
      <c r="D3086" s="256">
        <v>51029</v>
      </c>
      <c r="E3086" s="257" t="s">
        <v>7672</v>
      </c>
      <c r="F3086" s="257" t="s">
        <v>7675</v>
      </c>
      <c r="G3086" s="257" t="s">
        <v>7676</v>
      </c>
    </row>
    <row r="3087" customHeight="1" spans="4:7">
      <c r="D3087" s="256">
        <v>51029</v>
      </c>
      <c r="E3087" s="257" t="s">
        <v>7672</v>
      </c>
      <c r="F3087" s="257" t="s">
        <v>7677</v>
      </c>
      <c r="G3087" s="257" t="s">
        <v>7678</v>
      </c>
    </row>
    <row r="3088" customHeight="1" spans="4:7">
      <c r="D3088" s="256">
        <v>51029</v>
      </c>
      <c r="E3088" s="257" t="s">
        <v>7672</v>
      </c>
      <c r="F3088" s="257" t="s">
        <v>7679</v>
      </c>
      <c r="G3088" s="257" t="s">
        <v>7680</v>
      </c>
    </row>
    <row r="3089" customHeight="1" spans="4:7">
      <c r="D3089" s="256">
        <v>51029</v>
      </c>
      <c r="E3089" s="257" t="s">
        <v>7672</v>
      </c>
      <c r="F3089" s="257" t="s">
        <v>7681</v>
      </c>
      <c r="G3089" s="257" t="s">
        <v>7682</v>
      </c>
    </row>
    <row r="3090" customHeight="1" spans="4:7">
      <c r="D3090" s="256">
        <v>51029</v>
      </c>
      <c r="E3090" s="257" t="s">
        <v>7672</v>
      </c>
      <c r="F3090" s="257" t="s">
        <v>7683</v>
      </c>
      <c r="G3090" s="257" t="s">
        <v>7684</v>
      </c>
    </row>
    <row r="3091" customHeight="1" spans="4:7">
      <c r="D3091" s="256">
        <v>51029</v>
      </c>
      <c r="E3091" s="257" t="s">
        <v>7672</v>
      </c>
      <c r="F3091" s="257" t="s">
        <v>7685</v>
      </c>
      <c r="G3091" s="257" t="s">
        <v>7686</v>
      </c>
    </row>
    <row r="3092" customHeight="1" spans="4:7">
      <c r="D3092" s="256">
        <v>51029</v>
      </c>
      <c r="E3092" s="257" t="s">
        <v>7672</v>
      </c>
      <c r="F3092" s="257" t="s">
        <v>7687</v>
      </c>
      <c r="G3092" s="257" t="s">
        <v>6692</v>
      </c>
    </row>
    <row r="3093" customHeight="1" spans="4:7">
      <c r="D3093" s="256">
        <v>51029</v>
      </c>
      <c r="E3093" s="257" t="s">
        <v>7672</v>
      </c>
      <c r="F3093" s="257" t="s">
        <v>7688</v>
      </c>
      <c r="G3093" s="257" t="s">
        <v>7689</v>
      </c>
    </row>
    <row r="3094" customHeight="1" spans="4:7">
      <c r="D3094" s="256">
        <v>51029</v>
      </c>
      <c r="E3094" s="257" t="s">
        <v>7672</v>
      </c>
      <c r="F3094" s="257" t="s">
        <v>7690</v>
      </c>
      <c r="G3094" s="257" t="s">
        <v>1570</v>
      </c>
    </row>
    <row r="3095" customHeight="1" spans="4:7">
      <c r="D3095" s="256">
        <v>51029</v>
      </c>
      <c r="E3095" s="257" t="s">
        <v>7672</v>
      </c>
      <c r="F3095" s="257" t="s">
        <v>7691</v>
      </c>
      <c r="G3095" s="257" t="s">
        <v>7692</v>
      </c>
    </row>
    <row r="3096" customHeight="1" spans="4:7">
      <c r="D3096" s="256">
        <v>51029</v>
      </c>
      <c r="E3096" s="257" t="s">
        <v>7672</v>
      </c>
      <c r="F3096" s="257" t="s">
        <v>7693</v>
      </c>
      <c r="G3096" s="257" t="s">
        <v>7694</v>
      </c>
    </row>
    <row r="3097" customHeight="1" spans="4:7">
      <c r="D3097" s="256">
        <v>52020</v>
      </c>
      <c r="E3097" s="257" t="s">
        <v>7695</v>
      </c>
      <c r="F3097" s="257" t="s">
        <v>7696</v>
      </c>
      <c r="G3097" s="257" t="s">
        <v>7697</v>
      </c>
    </row>
    <row r="3098" customHeight="1" spans="4:7">
      <c r="D3098" s="256">
        <v>52020</v>
      </c>
      <c r="E3098" s="257" t="s">
        <v>7695</v>
      </c>
      <c r="F3098" s="257" t="s">
        <v>7698</v>
      </c>
      <c r="G3098" s="257" t="s">
        <v>7699</v>
      </c>
    </row>
    <row r="3099" customHeight="1" spans="4:7">
      <c r="D3099" s="256">
        <v>52020</v>
      </c>
      <c r="E3099" s="257" t="s">
        <v>7695</v>
      </c>
      <c r="F3099" s="257" t="s">
        <v>7700</v>
      </c>
      <c r="G3099" s="257" t="s">
        <v>7701</v>
      </c>
    </row>
    <row r="3100" customHeight="1" spans="4:7">
      <c r="D3100" s="256">
        <v>52020</v>
      </c>
      <c r="E3100" s="257" t="s">
        <v>7695</v>
      </c>
      <c r="F3100" s="257" t="s">
        <v>7702</v>
      </c>
      <c r="G3100" s="257" t="s">
        <v>7703</v>
      </c>
    </row>
    <row r="3101" customHeight="1" spans="4:7">
      <c r="D3101" s="256">
        <v>52020</v>
      </c>
      <c r="E3101" s="257" t="s">
        <v>7695</v>
      </c>
      <c r="F3101" s="257" t="s">
        <v>7704</v>
      </c>
      <c r="G3101" s="257" t="s">
        <v>3786</v>
      </c>
    </row>
    <row r="3102" customHeight="1" spans="4:7">
      <c r="D3102" s="256">
        <v>52020</v>
      </c>
      <c r="E3102" s="257" t="s">
        <v>7695</v>
      </c>
      <c r="F3102" s="257" t="s">
        <v>7705</v>
      </c>
      <c r="G3102" s="257" t="s">
        <v>7706</v>
      </c>
    </row>
    <row r="3103" customHeight="1" spans="4:7">
      <c r="D3103" s="256">
        <v>52020</v>
      </c>
      <c r="E3103" s="257" t="s">
        <v>7695</v>
      </c>
      <c r="F3103" s="257" t="s">
        <v>7707</v>
      </c>
      <c r="G3103" s="257" t="s">
        <v>7708</v>
      </c>
    </row>
    <row r="3104" customHeight="1" spans="4:7">
      <c r="D3104" s="256">
        <v>52020</v>
      </c>
      <c r="E3104" s="257" t="s">
        <v>7695</v>
      </c>
      <c r="F3104" s="257" t="s">
        <v>7709</v>
      </c>
      <c r="G3104" s="257" t="s">
        <v>7710</v>
      </c>
    </row>
    <row r="3105" customHeight="1" spans="4:7">
      <c r="D3105" s="256">
        <v>52020</v>
      </c>
      <c r="E3105" s="257" t="s">
        <v>7695</v>
      </c>
      <c r="F3105" s="257" t="s">
        <v>7711</v>
      </c>
      <c r="G3105" s="257" t="s">
        <v>7712</v>
      </c>
    </row>
    <row r="3106" customHeight="1" spans="4:7">
      <c r="D3106" s="256">
        <v>52020</v>
      </c>
      <c r="E3106" s="257" t="s">
        <v>7695</v>
      </c>
      <c r="F3106" s="257" t="s">
        <v>7713</v>
      </c>
      <c r="G3106" s="257" t="s">
        <v>7714</v>
      </c>
    </row>
    <row r="3107" customHeight="1" spans="4:7">
      <c r="D3107" s="256">
        <v>52020</v>
      </c>
      <c r="E3107" s="257" t="s">
        <v>7695</v>
      </c>
      <c r="F3107" s="257" t="s">
        <v>7715</v>
      </c>
      <c r="G3107" s="257" t="s">
        <v>7716</v>
      </c>
    </row>
    <row r="3108" customHeight="1" spans="4:7">
      <c r="D3108" s="256">
        <v>52020</v>
      </c>
      <c r="E3108" s="257" t="s">
        <v>7695</v>
      </c>
      <c r="F3108" s="257" t="s">
        <v>7717</v>
      </c>
      <c r="G3108" s="257" t="s">
        <v>7718</v>
      </c>
    </row>
    <row r="3109" customHeight="1" spans="4:7">
      <c r="D3109" s="256">
        <v>52020</v>
      </c>
      <c r="E3109" s="257" t="s">
        <v>7695</v>
      </c>
      <c r="F3109" s="257" t="s">
        <v>7719</v>
      </c>
      <c r="G3109" s="257" t="s">
        <v>7720</v>
      </c>
    </row>
    <row r="3110" customHeight="1" spans="4:7">
      <c r="D3110" s="256">
        <v>52020</v>
      </c>
      <c r="E3110" s="257" t="s">
        <v>7695</v>
      </c>
      <c r="F3110" s="257" t="s">
        <v>7721</v>
      </c>
      <c r="G3110" s="257" t="s">
        <v>7722</v>
      </c>
    </row>
    <row r="3111" customHeight="1" spans="4:7">
      <c r="D3111" s="256">
        <v>46023</v>
      </c>
      <c r="E3111" s="257" t="s">
        <v>7723</v>
      </c>
      <c r="F3111" s="257" t="s">
        <v>7724</v>
      </c>
      <c r="G3111" s="257" t="s">
        <v>7725</v>
      </c>
    </row>
    <row r="3112" customHeight="1" spans="4:7">
      <c r="D3112" s="256">
        <v>46023</v>
      </c>
      <c r="E3112" s="257" t="s">
        <v>7723</v>
      </c>
      <c r="F3112" s="257" t="s">
        <v>7726</v>
      </c>
      <c r="G3112" s="257" t="s">
        <v>7727</v>
      </c>
    </row>
    <row r="3113" customHeight="1" spans="4:7">
      <c r="D3113" s="256">
        <v>46023</v>
      </c>
      <c r="E3113" s="257" t="s">
        <v>7723</v>
      </c>
      <c r="F3113" s="257" t="s">
        <v>7728</v>
      </c>
      <c r="G3113" s="257" t="s">
        <v>7729</v>
      </c>
    </row>
    <row r="3114" customHeight="1" spans="4:7">
      <c r="D3114" s="256">
        <v>46023</v>
      </c>
      <c r="E3114" s="257" t="s">
        <v>7723</v>
      </c>
      <c r="F3114" s="257" t="s">
        <v>7730</v>
      </c>
      <c r="G3114" s="257" t="s">
        <v>7731</v>
      </c>
    </row>
    <row r="3115" customHeight="1" spans="4:7">
      <c r="D3115" s="256">
        <v>46023</v>
      </c>
      <c r="E3115" s="257" t="s">
        <v>7723</v>
      </c>
      <c r="F3115" s="257" t="s">
        <v>7732</v>
      </c>
      <c r="G3115" s="257" t="s">
        <v>5210</v>
      </c>
    </row>
    <row r="3116" customHeight="1" spans="4:7">
      <c r="D3116" s="256">
        <v>46023</v>
      </c>
      <c r="E3116" s="257" t="s">
        <v>7723</v>
      </c>
      <c r="F3116" s="257" t="s">
        <v>7733</v>
      </c>
      <c r="G3116" s="257" t="s">
        <v>7734</v>
      </c>
    </row>
    <row r="3117" customHeight="1" spans="4:7">
      <c r="D3117" s="256">
        <v>46023</v>
      </c>
      <c r="E3117" s="257" t="s">
        <v>7723</v>
      </c>
      <c r="F3117" s="257" t="s">
        <v>7735</v>
      </c>
      <c r="G3117" s="257" t="s">
        <v>3331</v>
      </c>
    </row>
    <row r="3118" customHeight="1" spans="4:7">
      <c r="D3118" s="256">
        <v>46023</v>
      </c>
      <c r="E3118" s="257" t="s">
        <v>7723</v>
      </c>
      <c r="F3118" s="257" t="s">
        <v>7736</v>
      </c>
      <c r="G3118" s="257" t="s">
        <v>1866</v>
      </c>
    </row>
    <row r="3119" customHeight="1" spans="4:7">
      <c r="D3119" s="256">
        <v>46023</v>
      </c>
      <c r="E3119" s="257" t="s">
        <v>7723</v>
      </c>
      <c r="F3119" s="257" t="s">
        <v>7737</v>
      </c>
      <c r="G3119" s="257" t="s">
        <v>7738</v>
      </c>
    </row>
    <row r="3120" customHeight="1" spans="4:7">
      <c r="D3120" s="256">
        <v>46023</v>
      </c>
      <c r="E3120" s="257" t="s">
        <v>7723</v>
      </c>
      <c r="F3120" s="257" t="s">
        <v>7739</v>
      </c>
      <c r="G3120" s="257" t="s">
        <v>7740</v>
      </c>
    </row>
    <row r="3121" customHeight="1" spans="4:7">
      <c r="D3121" s="256">
        <v>46023</v>
      </c>
      <c r="E3121" s="257" t="s">
        <v>7723</v>
      </c>
      <c r="F3121" s="257" t="s">
        <v>7741</v>
      </c>
      <c r="G3121" s="257" t="s">
        <v>7742</v>
      </c>
    </row>
    <row r="3122" customHeight="1" spans="4:7">
      <c r="D3122" s="256">
        <v>46023</v>
      </c>
      <c r="E3122" s="257" t="s">
        <v>7723</v>
      </c>
      <c r="F3122" s="257" t="s">
        <v>7743</v>
      </c>
      <c r="G3122" s="257" t="s">
        <v>2312</v>
      </c>
    </row>
    <row r="3123" customHeight="1" spans="4:7">
      <c r="D3123" s="256">
        <v>46023</v>
      </c>
      <c r="E3123" s="257" t="s">
        <v>7723</v>
      </c>
      <c r="F3123" s="257" t="s">
        <v>7744</v>
      </c>
      <c r="G3123" s="257" t="s">
        <v>7745</v>
      </c>
    </row>
    <row r="3124" customHeight="1" spans="4:7">
      <c r="D3124" s="256">
        <v>46023</v>
      </c>
      <c r="E3124" s="257" t="s">
        <v>7723</v>
      </c>
      <c r="F3124" s="257" t="s">
        <v>7746</v>
      </c>
      <c r="G3124" s="257" t="s">
        <v>7747</v>
      </c>
    </row>
    <row r="3125" customHeight="1" spans="4:7">
      <c r="D3125" s="256">
        <v>46023</v>
      </c>
      <c r="E3125" s="257" t="s">
        <v>7723</v>
      </c>
      <c r="F3125" s="257" t="s">
        <v>7748</v>
      </c>
      <c r="G3125" s="257" t="s">
        <v>2906</v>
      </c>
    </row>
    <row r="3126" customHeight="1" spans="4:7">
      <c r="D3126" s="256">
        <v>46023</v>
      </c>
      <c r="E3126" s="257" t="s">
        <v>7723</v>
      </c>
      <c r="F3126" s="257" t="s">
        <v>7749</v>
      </c>
      <c r="G3126" s="257" t="s">
        <v>7750</v>
      </c>
    </row>
    <row r="3127" customHeight="1" spans="4:7">
      <c r="D3127" s="256">
        <v>46023</v>
      </c>
      <c r="E3127" s="257" t="s">
        <v>7723</v>
      </c>
      <c r="F3127" s="257" t="s">
        <v>7751</v>
      </c>
      <c r="G3127" s="257" t="s">
        <v>7752</v>
      </c>
    </row>
    <row r="3128" customHeight="1" spans="4:7">
      <c r="D3128" s="256">
        <v>52021</v>
      </c>
      <c r="E3128" s="257" t="s">
        <v>7753</v>
      </c>
      <c r="F3128" s="257" t="s">
        <v>7754</v>
      </c>
      <c r="G3128" s="257" t="s">
        <v>7755</v>
      </c>
    </row>
    <row r="3129" customHeight="1" spans="4:7">
      <c r="D3129" s="256">
        <v>52021</v>
      </c>
      <c r="E3129" s="257" t="s">
        <v>7753</v>
      </c>
      <c r="F3129" s="257" t="s">
        <v>7756</v>
      </c>
      <c r="G3129" s="257" t="s">
        <v>7757</v>
      </c>
    </row>
    <row r="3130" customHeight="1" spans="4:7">
      <c r="D3130" s="256">
        <v>52021</v>
      </c>
      <c r="E3130" s="257" t="s">
        <v>7753</v>
      </c>
      <c r="F3130" s="257" t="s">
        <v>7758</v>
      </c>
      <c r="G3130" s="257" t="s">
        <v>7759</v>
      </c>
    </row>
    <row r="3131" customHeight="1" spans="4:7">
      <c r="D3131" s="256">
        <v>52021</v>
      </c>
      <c r="E3131" s="257" t="s">
        <v>7753</v>
      </c>
      <c r="F3131" s="257" t="s">
        <v>7760</v>
      </c>
      <c r="G3131" s="257" t="s">
        <v>7761</v>
      </c>
    </row>
    <row r="3132" customHeight="1" spans="4:7">
      <c r="D3132" s="256">
        <v>52021</v>
      </c>
      <c r="E3132" s="257" t="s">
        <v>7753</v>
      </c>
      <c r="F3132" s="257" t="s">
        <v>7762</v>
      </c>
      <c r="G3132" s="257" t="s">
        <v>7763</v>
      </c>
    </row>
    <row r="3133" customHeight="1" spans="4:7">
      <c r="D3133" s="256">
        <v>46024</v>
      </c>
      <c r="E3133" s="257" t="s">
        <v>7764</v>
      </c>
      <c r="F3133" s="257" t="s">
        <v>7765</v>
      </c>
      <c r="G3133" s="257" t="s">
        <v>7766</v>
      </c>
    </row>
    <row r="3134" customHeight="1" spans="4:7">
      <c r="D3134" s="256">
        <v>46024</v>
      </c>
      <c r="E3134" s="257" t="s">
        <v>7764</v>
      </c>
      <c r="F3134" s="257" t="s">
        <v>7767</v>
      </c>
      <c r="G3134" s="257" t="s">
        <v>7768</v>
      </c>
    </row>
    <row r="3135" customHeight="1" spans="4:7">
      <c r="D3135" s="256">
        <v>46024</v>
      </c>
      <c r="E3135" s="257" t="s">
        <v>7764</v>
      </c>
      <c r="F3135" s="257" t="s">
        <v>7769</v>
      </c>
      <c r="G3135" s="257" t="s">
        <v>7770</v>
      </c>
    </row>
    <row r="3136" customHeight="1" spans="4:7">
      <c r="D3136" s="256">
        <v>46024</v>
      </c>
      <c r="E3136" s="257" t="s">
        <v>7764</v>
      </c>
      <c r="F3136" s="257" t="s">
        <v>7771</v>
      </c>
      <c r="G3136" s="257" t="s">
        <v>7772</v>
      </c>
    </row>
    <row r="3137" customHeight="1" spans="4:7">
      <c r="D3137" s="256">
        <v>46024</v>
      </c>
      <c r="E3137" s="257" t="s">
        <v>7764</v>
      </c>
      <c r="F3137" s="257" t="s">
        <v>7773</v>
      </c>
      <c r="G3137" s="257" t="s">
        <v>7774</v>
      </c>
    </row>
    <row r="3138" customHeight="1" spans="4:7">
      <c r="D3138" s="256">
        <v>46024</v>
      </c>
      <c r="E3138" s="257" t="s">
        <v>7764</v>
      </c>
      <c r="F3138" s="257" t="s">
        <v>7775</v>
      </c>
      <c r="G3138" s="257" t="s">
        <v>7776</v>
      </c>
    </row>
    <row r="3139" customHeight="1" spans="4:7">
      <c r="D3139" s="256">
        <v>46024</v>
      </c>
      <c r="E3139" s="257" t="s">
        <v>7764</v>
      </c>
      <c r="F3139" s="257" t="s">
        <v>7777</v>
      </c>
      <c r="G3139" s="257" t="s">
        <v>7778</v>
      </c>
    </row>
    <row r="3140" customHeight="1" spans="4:7">
      <c r="D3140" s="256">
        <v>46024</v>
      </c>
      <c r="E3140" s="257" t="s">
        <v>7764</v>
      </c>
      <c r="F3140" s="257" t="s">
        <v>7779</v>
      </c>
      <c r="G3140" s="257" t="s">
        <v>7780</v>
      </c>
    </row>
    <row r="3141" customHeight="1" spans="4:7">
      <c r="D3141" s="256">
        <v>46024</v>
      </c>
      <c r="E3141" s="257" t="s">
        <v>7764</v>
      </c>
      <c r="F3141" s="257" t="s">
        <v>7781</v>
      </c>
      <c r="G3141" s="257" t="s">
        <v>2488</v>
      </c>
    </row>
    <row r="3142" customHeight="1" spans="4:7">
      <c r="D3142" s="256">
        <v>46024</v>
      </c>
      <c r="E3142" s="257" t="s">
        <v>7764</v>
      </c>
      <c r="F3142" s="257" t="s">
        <v>7782</v>
      </c>
      <c r="G3142" s="257" t="s">
        <v>7783</v>
      </c>
    </row>
    <row r="3143" customHeight="1" spans="4:7">
      <c r="D3143" s="256">
        <v>46024</v>
      </c>
      <c r="E3143" s="257" t="s">
        <v>7764</v>
      </c>
      <c r="F3143" s="257" t="s">
        <v>7784</v>
      </c>
      <c r="G3143" s="257" t="s">
        <v>7785</v>
      </c>
    </row>
    <row r="3144" customHeight="1" spans="4:7">
      <c r="D3144" s="256">
        <v>46024</v>
      </c>
      <c r="E3144" s="257" t="s">
        <v>7764</v>
      </c>
      <c r="F3144" s="257" t="s">
        <v>7786</v>
      </c>
      <c r="G3144" s="257" t="s">
        <v>7787</v>
      </c>
    </row>
    <row r="3145" customHeight="1" spans="4:7">
      <c r="D3145" s="256">
        <v>46024</v>
      </c>
      <c r="E3145" s="257" t="s">
        <v>7764</v>
      </c>
      <c r="F3145" s="257" t="s">
        <v>7788</v>
      </c>
      <c r="G3145" s="257" t="s">
        <v>7789</v>
      </c>
    </row>
    <row r="3146" customHeight="1" spans="4:7">
      <c r="D3146" s="256">
        <v>46024</v>
      </c>
      <c r="E3146" s="257" t="s">
        <v>7764</v>
      </c>
      <c r="F3146" s="257" t="s">
        <v>7790</v>
      </c>
      <c r="G3146" s="257" t="s">
        <v>7791</v>
      </c>
    </row>
    <row r="3147" customHeight="1" spans="4:7">
      <c r="D3147" s="256">
        <v>46024</v>
      </c>
      <c r="E3147" s="257" t="s">
        <v>7764</v>
      </c>
      <c r="F3147" s="257" t="s">
        <v>7792</v>
      </c>
      <c r="G3147" s="257" t="s">
        <v>7793</v>
      </c>
    </row>
    <row r="3148" customHeight="1" spans="4:7">
      <c r="D3148" s="256">
        <v>46024</v>
      </c>
      <c r="E3148" s="257" t="s">
        <v>7764</v>
      </c>
      <c r="F3148" s="257" t="s">
        <v>7794</v>
      </c>
      <c r="G3148" s="257" t="s">
        <v>7795</v>
      </c>
    </row>
    <row r="3149" customHeight="1" spans="4:7">
      <c r="D3149" s="256">
        <v>46024</v>
      </c>
      <c r="E3149" s="257" t="s">
        <v>7764</v>
      </c>
      <c r="F3149" s="257" t="s">
        <v>7796</v>
      </c>
      <c r="G3149" s="257" t="s">
        <v>7797</v>
      </c>
    </row>
    <row r="3150" customHeight="1" spans="4:7">
      <c r="D3150" s="256">
        <v>46024</v>
      </c>
      <c r="E3150" s="257" t="s">
        <v>7764</v>
      </c>
      <c r="F3150" s="257" t="s">
        <v>7798</v>
      </c>
      <c r="G3150" s="257" t="s">
        <v>7799</v>
      </c>
    </row>
    <row r="3151" customHeight="1" spans="4:7">
      <c r="D3151" s="256">
        <v>46024</v>
      </c>
      <c r="E3151" s="257" t="s">
        <v>7764</v>
      </c>
      <c r="F3151" s="257" t="s">
        <v>7800</v>
      </c>
      <c r="G3151" s="257" t="s">
        <v>7801</v>
      </c>
    </row>
    <row r="3152" customHeight="1" spans="4:7">
      <c r="D3152" s="256">
        <v>46024</v>
      </c>
      <c r="E3152" s="257" t="s">
        <v>7764</v>
      </c>
      <c r="F3152" s="257" t="s">
        <v>7802</v>
      </c>
      <c r="G3152" s="257" t="s">
        <v>7803</v>
      </c>
    </row>
    <row r="3153" customHeight="1" spans="4:7">
      <c r="D3153" s="256">
        <v>46024</v>
      </c>
      <c r="E3153" s="257" t="s">
        <v>7764</v>
      </c>
      <c r="F3153" s="257" t="s">
        <v>7804</v>
      </c>
      <c r="G3153" s="257" t="s">
        <v>7805</v>
      </c>
    </row>
    <row r="3154" customHeight="1" spans="4:7">
      <c r="D3154" s="256">
        <v>46024</v>
      </c>
      <c r="E3154" s="257" t="s">
        <v>7764</v>
      </c>
      <c r="F3154" s="257" t="s">
        <v>7806</v>
      </c>
      <c r="G3154" s="257" t="s">
        <v>7807</v>
      </c>
    </row>
    <row r="3155" customHeight="1" spans="4:7">
      <c r="D3155" s="256">
        <v>46024</v>
      </c>
      <c r="E3155" s="257" t="s">
        <v>7764</v>
      </c>
      <c r="F3155" s="257" t="s">
        <v>7808</v>
      </c>
      <c r="G3155" s="257" t="s">
        <v>3012</v>
      </c>
    </row>
    <row r="3156" customHeight="1" spans="4:7">
      <c r="D3156" s="256">
        <v>47013</v>
      </c>
      <c r="E3156" s="257" t="s">
        <v>7809</v>
      </c>
      <c r="F3156" s="257" t="s">
        <v>7810</v>
      </c>
      <c r="G3156" s="257" t="s">
        <v>7811</v>
      </c>
    </row>
    <row r="3157" customHeight="1" spans="4:7">
      <c r="D3157" s="256">
        <v>47013</v>
      </c>
      <c r="E3157" s="257" t="s">
        <v>7809</v>
      </c>
      <c r="F3157" s="257" t="s">
        <v>7812</v>
      </c>
      <c r="G3157" s="257" t="s">
        <v>7813</v>
      </c>
    </row>
    <row r="3158" customHeight="1" spans="4:7">
      <c r="D3158" s="256">
        <v>47013</v>
      </c>
      <c r="E3158" s="257" t="s">
        <v>7809</v>
      </c>
      <c r="F3158" s="257" t="s">
        <v>7814</v>
      </c>
      <c r="G3158" s="257" t="s">
        <v>7815</v>
      </c>
    </row>
    <row r="3159" customHeight="1" spans="4:7">
      <c r="D3159" s="256">
        <v>47013</v>
      </c>
      <c r="E3159" s="257" t="s">
        <v>7809</v>
      </c>
      <c r="F3159" s="257" t="s">
        <v>7816</v>
      </c>
      <c r="G3159" s="257" t="s">
        <v>7817</v>
      </c>
    </row>
    <row r="3160" customHeight="1" spans="4:7">
      <c r="D3160" s="256">
        <v>47013</v>
      </c>
      <c r="E3160" s="257" t="s">
        <v>7809</v>
      </c>
      <c r="F3160" s="257" t="s">
        <v>7818</v>
      </c>
      <c r="G3160" s="257" t="s">
        <v>7819</v>
      </c>
    </row>
    <row r="3161" customHeight="1" spans="4:7">
      <c r="D3161" s="256">
        <v>47013</v>
      </c>
      <c r="E3161" s="257" t="s">
        <v>7809</v>
      </c>
      <c r="F3161" s="257" t="s">
        <v>7820</v>
      </c>
      <c r="G3161" s="257" t="s">
        <v>7821</v>
      </c>
    </row>
    <row r="3162" customHeight="1" spans="4:7">
      <c r="D3162" s="256">
        <v>46025</v>
      </c>
      <c r="E3162" s="257" t="s">
        <v>7822</v>
      </c>
      <c r="F3162" s="257" t="s">
        <v>7823</v>
      </c>
      <c r="G3162" s="257" t="s">
        <v>7824</v>
      </c>
    </row>
    <row r="3163" customHeight="1" spans="4:7">
      <c r="D3163" s="256">
        <v>46025</v>
      </c>
      <c r="E3163" s="257" t="s">
        <v>7822</v>
      </c>
      <c r="F3163" s="257" t="s">
        <v>7825</v>
      </c>
      <c r="G3163" s="257" t="s">
        <v>7826</v>
      </c>
    </row>
    <row r="3164" customHeight="1" spans="4:7">
      <c r="D3164" s="256">
        <v>46025</v>
      </c>
      <c r="E3164" s="257" t="s">
        <v>7822</v>
      </c>
      <c r="F3164" s="257" t="s">
        <v>7827</v>
      </c>
      <c r="G3164" s="257" t="s">
        <v>7828</v>
      </c>
    </row>
    <row r="3165" customHeight="1" spans="4:7">
      <c r="D3165" s="256">
        <v>46025</v>
      </c>
      <c r="E3165" s="257" t="s">
        <v>7822</v>
      </c>
      <c r="F3165" s="257" t="s">
        <v>7829</v>
      </c>
      <c r="G3165" s="257" t="s">
        <v>7830</v>
      </c>
    </row>
    <row r="3166" customHeight="1" spans="4:7">
      <c r="D3166" s="256">
        <v>46025</v>
      </c>
      <c r="E3166" s="257" t="s">
        <v>7822</v>
      </c>
      <c r="F3166" s="257" t="s">
        <v>7831</v>
      </c>
      <c r="G3166" s="257" t="s">
        <v>7832</v>
      </c>
    </row>
    <row r="3167" customHeight="1" spans="4:7">
      <c r="D3167" s="256">
        <v>46025</v>
      </c>
      <c r="E3167" s="257" t="s">
        <v>7822</v>
      </c>
      <c r="F3167" s="257" t="s">
        <v>7833</v>
      </c>
      <c r="G3167" s="257" t="s">
        <v>7834</v>
      </c>
    </row>
    <row r="3168" customHeight="1" spans="4:7">
      <c r="D3168" s="256">
        <v>51030</v>
      </c>
      <c r="E3168" s="257" t="s">
        <v>7835</v>
      </c>
      <c r="F3168" s="257" t="s">
        <v>7836</v>
      </c>
      <c r="G3168" s="257" t="s">
        <v>7837</v>
      </c>
    </row>
    <row r="3169" customHeight="1" spans="4:7">
      <c r="D3169" s="256">
        <v>51030</v>
      </c>
      <c r="E3169" s="257" t="s">
        <v>7835</v>
      </c>
      <c r="F3169" s="257" t="s">
        <v>7838</v>
      </c>
      <c r="G3169" s="257" t="s">
        <v>7839</v>
      </c>
    </row>
    <row r="3170" customHeight="1" spans="4:7">
      <c r="D3170" s="256">
        <v>51030</v>
      </c>
      <c r="E3170" s="257" t="s">
        <v>7835</v>
      </c>
      <c r="F3170" s="257" t="s">
        <v>7840</v>
      </c>
      <c r="G3170" s="257" t="s">
        <v>7841</v>
      </c>
    </row>
    <row r="3171" customHeight="1" spans="4:7">
      <c r="D3171" s="256">
        <v>51030</v>
      </c>
      <c r="E3171" s="257" t="s">
        <v>7835</v>
      </c>
      <c r="F3171" s="257" t="s">
        <v>7842</v>
      </c>
      <c r="G3171" s="257" t="s">
        <v>7843</v>
      </c>
    </row>
    <row r="3172" customHeight="1" spans="4:7">
      <c r="D3172" s="256">
        <v>51030</v>
      </c>
      <c r="E3172" s="257" t="s">
        <v>7835</v>
      </c>
      <c r="F3172" s="257" t="s">
        <v>7844</v>
      </c>
      <c r="G3172" s="257" t="s">
        <v>7845</v>
      </c>
    </row>
    <row r="3173" customHeight="1" spans="4:7">
      <c r="D3173" s="256">
        <v>51030</v>
      </c>
      <c r="E3173" s="257" t="s">
        <v>7835</v>
      </c>
      <c r="F3173" s="257" t="s">
        <v>7846</v>
      </c>
      <c r="G3173" s="257" t="s">
        <v>7847</v>
      </c>
    </row>
    <row r="3174" customHeight="1" spans="4:7">
      <c r="D3174" s="256">
        <v>51030</v>
      </c>
      <c r="E3174" s="257" t="s">
        <v>7835</v>
      </c>
      <c r="F3174" s="257" t="s">
        <v>7848</v>
      </c>
      <c r="G3174" s="257" t="s">
        <v>7849</v>
      </c>
    </row>
    <row r="3175" customHeight="1" spans="4:7">
      <c r="D3175" s="256">
        <v>51030</v>
      </c>
      <c r="E3175" s="257" t="s">
        <v>7835</v>
      </c>
      <c r="F3175" s="257" t="s">
        <v>7850</v>
      </c>
      <c r="G3175" s="257" t="s">
        <v>7851</v>
      </c>
    </row>
    <row r="3176" customHeight="1" spans="4:7">
      <c r="D3176" s="256">
        <v>51030</v>
      </c>
      <c r="E3176" s="257" t="s">
        <v>7835</v>
      </c>
      <c r="F3176" s="257" t="s">
        <v>7852</v>
      </c>
      <c r="G3176" s="257" t="s">
        <v>7853</v>
      </c>
    </row>
    <row r="3177" customHeight="1" spans="4:7">
      <c r="D3177" s="256">
        <v>51030</v>
      </c>
      <c r="E3177" s="257" t="s">
        <v>7835</v>
      </c>
      <c r="F3177" s="257" t="s">
        <v>7854</v>
      </c>
      <c r="G3177" s="257" t="s">
        <v>7855</v>
      </c>
    </row>
    <row r="3178" customHeight="1" spans="4:7">
      <c r="D3178" s="256">
        <v>51030</v>
      </c>
      <c r="E3178" s="257" t="s">
        <v>7835</v>
      </c>
      <c r="F3178" s="257" t="s">
        <v>7856</v>
      </c>
      <c r="G3178" s="257" t="s">
        <v>7857</v>
      </c>
    </row>
    <row r="3179" customHeight="1" spans="4:7">
      <c r="D3179" s="256">
        <v>51030</v>
      </c>
      <c r="E3179" s="257" t="s">
        <v>7835</v>
      </c>
      <c r="F3179" s="257" t="s">
        <v>7858</v>
      </c>
      <c r="G3179" s="257" t="s">
        <v>7859</v>
      </c>
    </row>
    <row r="3180" customHeight="1" spans="4:7">
      <c r="D3180" s="256">
        <v>51030</v>
      </c>
      <c r="E3180" s="257" t="s">
        <v>7835</v>
      </c>
      <c r="F3180" s="257" t="s">
        <v>7860</v>
      </c>
      <c r="G3180" s="257" t="s">
        <v>2431</v>
      </c>
    </row>
    <row r="3181" customHeight="1" spans="4:7">
      <c r="D3181" s="256">
        <v>51030</v>
      </c>
      <c r="E3181" s="257" t="s">
        <v>7835</v>
      </c>
      <c r="F3181" s="257" t="s">
        <v>7861</v>
      </c>
      <c r="G3181" s="257" t="s">
        <v>7862</v>
      </c>
    </row>
    <row r="3182" customHeight="1" spans="4:7">
      <c r="D3182" s="256">
        <v>51030</v>
      </c>
      <c r="E3182" s="257" t="s">
        <v>7835</v>
      </c>
      <c r="F3182" s="257" t="s">
        <v>7863</v>
      </c>
      <c r="G3182" s="257" t="s">
        <v>7864</v>
      </c>
    </row>
    <row r="3183" customHeight="1" spans="4:7">
      <c r="D3183" s="256">
        <v>51030</v>
      </c>
      <c r="E3183" s="257" t="s">
        <v>7835</v>
      </c>
      <c r="F3183" s="257" t="s">
        <v>7865</v>
      </c>
      <c r="G3183" s="257" t="s">
        <v>7866</v>
      </c>
    </row>
    <row r="3184" customHeight="1" spans="4:7">
      <c r="D3184" s="256">
        <v>51030</v>
      </c>
      <c r="E3184" s="257" t="s">
        <v>7835</v>
      </c>
      <c r="F3184" s="257" t="s">
        <v>7867</v>
      </c>
      <c r="G3184" s="257" t="s">
        <v>7868</v>
      </c>
    </row>
    <row r="3185" customHeight="1" spans="4:7">
      <c r="D3185" s="256">
        <v>51030</v>
      </c>
      <c r="E3185" s="257" t="s">
        <v>7835</v>
      </c>
      <c r="F3185" s="257" t="s">
        <v>7869</v>
      </c>
      <c r="G3185" s="257" t="s">
        <v>7870</v>
      </c>
    </row>
    <row r="3186" customHeight="1" spans="4:7">
      <c r="D3186" s="256">
        <v>51030</v>
      </c>
      <c r="E3186" s="257" t="s">
        <v>7835</v>
      </c>
      <c r="F3186" s="257" t="s">
        <v>7871</v>
      </c>
      <c r="G3186" s="257" t="s">
        <v>7872</v>
      </c>
    </row>
    <row r="3187" customHeight="1" spans="4:7">
      <c r="D3187" s="256">
        <v>49012</v>
      </c>
      <c r="E3187" s="257" t="s">
        <v>7873</v>
      </c>
      <c r="F3187" s="257" t="s">
        <v>7874</v>
      </c>
      <c r="G3187" s="257" t="s">
        <v>7875</v>
      </c>
    </row>
    <row r="3188" customHeight="1" spans="4:7">
      <c r="D3188" s="256">
        <v>49012</v>
      </c>
      <c r="E3188" s="257" t="s">
        <v>7873</v>
      </c>
      <c r="F3188" s="257" t="s">
        <v>7876</v>
      </c>
      <c r="G3188" s="257" t="s">
        <v>7877</v>
      </c>
    </row>
    <row r="3189" customHeight="1" spans="4:7">
      <c r="D3189" s="256">
        <v>49012</v>
      </c>
      <c r="E3189" s="257" t="s">
        <v>7873</v>
      </c>
      <c r="F3189" s="257" t="s">
        <v>7878</v>
      </c>
      <c r="G3189" s="257" t="s">
        <v>7879</v>
      </c>
    </row>
    <row r="3190" customHeight="1" spans="4:7">
      <c r="D3190" s="256">
        <v>49012</v>
      </c>
      <c r="E3190" s="257" t="s">
        <v>7873</v>
      </c>
      <c r="F3190" s="257" t="s">
        <v>7880</v>
      </c>
      <c r="G3190" s="257" t="s">
        <v>7881</v>
      </c>
    </row>
    <row r="3191" customHeight="1" spans="4:7">
      <c r="D3191" s="256">
        <v>49012</v>
      </c>
      <c r="E3191" s="257" t="s">
        <v>7873</v>
      </c>
      <c r="F3191" s="257" t="s">
        <v>7882</v>
      </c>
      <c r="G3191" s="257" t="s">
        <v>7883</v>
      </c>
    </row>
    <row r="3192" customHeight="1" spans="4:7">
      <c r="D3192" s="256">
        <v>49012</v>
      </c>
      <c r="E3192" s="257" t="s">
        <v>7873</v>
      </c>
      <c r="F3192" s="257" t="s">
        <v>7884</v>
      </c>
      <c r="G3192" s="257" t="s">
        <v>7885</v>
      </c>
    </row>
    <row r="3193" customHeight="1" spans="4:7">
      <c r="D3193" s="256">
        <v>49012</v>
      </c>
      <c r="E3193" s="257" t="s">
        <v>7873</v>
      </c>
      <c r="F3193" s="257" t="s">
        <v>7886</v>
      </c>
      <c r="G3193" s="257" t="s">
        <v>7887</v>
      </c>
    </row>
    <row r="3194" customHeight="1" spans="4:7">
      <c r="D3194" s="256">
        <v>49012</v>
      </c>
      <c r="E3194" s="257" t="s">
        <v>7873</v>
      </c>
      <c r="F3194" s="257" t="s">
        <v>7888</v>
      </c>
      <c r="G3194" s="257" t="s">
        <v>7889</v>
      </c>
    </row>
    <row r="3195" customHeight="1" spans="4:7">
      <c r="D3195" s="256">
        <v>49012</v>
      </c>
      <c r="E3195" s="257" t="s">
        <v>7873</v>
      </c>
      <c r="F3195" s="257" t="s">
        <v>7890</v>
      </c>
      <c r="G3195" s="257" t="s">
        <v>7891</v>
      </c>
    </row>
    <row r="3196" customHeight="1" spans="4:7">
      <c r="D3196" s="256">
        <v>49012</v>
      </c>
      <c r="E3196" s="257" t="s">
        <v>7873</v>
      </c>
      <c r="F3196" s="257" t="s">
        <v>7892</v>
      </c>
      <c r="G3196" s="257" t="s">
        <v>7893</v>
      </c>
    </row>
    <row r="3197" customHeight="1" spans="4:7">
      <c r="D3197" s="256">
        <v>49012</v>
      </c>
      <c r="E3197" s="257" t="s">
        <v>7873</v>
      </c>
      <c r="F3197" s="257" t="s">
        <v>7894</v>
      </c>
      <c r="G3197" s="257" t="s">
        <v>7895</v>
      </c>
    </row>
    <row r="3198" customHeight="1" spans="4:7">
      <c r="D3198" s="256">
        <v>49012</v>
      </c>
      <c r="E3198" s="257" t="s">
        <v>7873</v>
      </c>
      <c r="F3198" s="257" t="s">
        <v>7896</v>
      </c>
      <c r="G3198" s="257" t="s">
        <v>7897</v>
      </c>
    </row>
    <row r="3199" customHeight="1" spans="4:7">
      <c r="D3199" s="256">
        <v>49012</v>
      </c>
      <c r="E3199" s="257" t="s">
        <v>7873</v>
      </c>
      <c r="F3199" s="257" t="s">
        <v>7898</v>
      </c>
      <c r="G3199" s="257" t="s">
        <v>7899</v>
      </c>
    </row>
    <row r="3200" customHeight="1" spans="4:7">
      <c r="D3200" s="256">
        <v>49012</v>
      </c>
      <c r="E3200" s="257" t="s">
        <v>7873</v>
      </c>
      <c r="F3200" s="257" t="s">
        <v>7900</v>
      </c>
      <c r="G3200" s="257" t="s">
        <v>7901</v>
      </c>
    </row>
    <row r="3201" customHeight="1" spans="4:7">
      <c r="D3201" s="256">
        <v>49012</v>
      </c>
      <c r="E3201" s="257" t="s">
        <v>7873</v>
      </c>
      <c r="F3201" s="257" t="s">
        <v>7902</v>
      </c>
      <c r="G3201" s="257" t="s">
        <v>7903</v>
      </c>
    </row>
    <row r="3202" customHeight="1" spans="4:7">
      <c r="D3202" s="256">
        <v>49012</v>
      </c>
      <c r="E3202" s="257" t="s">
        <v>7873</v>
      </c>
      <c r="F3202" s="257" t="s">
        <v>7904</v>
      </c>
      <c r="G3202" s="257" t="s">
        <v>7905</v>
      </c>
    </row>
    <row r="3203" customHeight="1" spans="4:7">
      <c r="D3203" s="256">
        <v>49012</v>
      </c>
      <c r="E3203" s="257" t="s">
        <v>7873</v>
      </c>
      <c r="F3203" s="257" t="s">
        <v>7906</v>
      </c>
      <c r="G3203" s="257" t="s">
        <v>2738</v>
      </c>
    </row>
    <row r="3204" customHeight="1" spans="4:7">
      <c r="D3204" s="256">
        <v>49012</v>
      </c>
      <c r="E3204" s="257" t="s">
        <v>7873</v>
      </c>
      <c r="F3204" s="257" t="s">
        <v>7907</v>
      </c>
      <c r="G3204" s="257" t="s">
        <v>2664</v>
      </c>
    </row>
    <row r="3205" customHeight="1" spans="4:7">
      <c r="D3205" s="256">
        <v>49012</v>
      </c>
      <c r="E3205" s="257" t="s">
        <v>7873</v>
      </c>
      <c r="F3205" s="257" t="s">
        <v>7908</v>
      </c>
      <c r="G3205" s="257" t="s">
        <v>7909</v>
      </c>
    </row>
    <row r="3206" customHeight="1" spans="4:7">
      <c r="D3206" s="256">
        <v>49012</v>
      </c>
      <c r="E3206" s="257" t="s">
        <v>7873</v>
      </c>
      <c r="F3206" s="257" t="s">
        <v>7910</v>
      </c>
      <c r="G3206" s="257" t="s">
        <v>7911</v>
      </c>
    </row>
    <row r="3207" customHeight="1" spans="4:7">
      <c r="D3207" s="256">
        <v>49012</v>
      </c>
      <c r="E3207" s="257" t="s">
        <v>7873</v>
      </c>
      <c r="F3207" s="257" t="s">
        <v>7912</v>
      </c>
      <c r="G3207" s="257" t="s">
        <v>7913</v>
      </c>
    </row>
    <row r="3208" customHeight="1" spans="4:7">
      <c r="D3208" s="256">
        <v>49012</v>
      </c>
      <c r="E3208" s="257" t="s">
        <v>7873</v>
      </c>
      <c r="F3208" s="257" t="s">
        <v>7914</v>
      </c>
      <c r="G3208" s="257" t="s">
        <v>7915</v>
      </c>
    </row>
    <row r="3209" customHeight="1" spans="4:7">
      <c r="D3209" s="256">
        <v>49012</v>
      </c>
      <c r="E3209" s="257" t="s">
        <v>7873</v>
      </c>
      <c r="F3209" s="257" t="s">
        <v>7916</v>
      </c>
      <c r="G3209" s="257" t="s">
        <v>7917</v>
      </c>
    </row>
    <row r="3210" customHeight="1" spans="4:7">
      <c r="D3210" s="256">
        <v>49012</v>
      </c>
      <c r="E3210" s="257" t="s">
        <v>7873</v>
      </c>
      <c r="F3210" s="257" t="s">
        <v>7918</v>
      </c>
      <c r="G3210" s="257" t="s">
        <v>7919</v>
      </c>
    </row>
    <row r="3211" customHeight="1" spans="4:7">
      <c r="D3211" s="256">
        <v>49012</v>
      </c>
      <c r="E3211" s="257" t="s">
        <v>7873</v>
      </c>
      <c r="F3211" s="257" t="s">
        <v>7920</v>
      </c>
      <c r="G3211" s="257" t="s">
        <v>7921</v>
      </c>
    </row>
    <row r="3212" customHeight="1" spans="4:7">
      <c r="D3212" s="256">
        <v>50026</v>
      </c>
      <c r="E3212" s="257" t="s">
        <v>7922</v>
      </c>
      <c r="F3212" s="257" t="s">
        <v>7923</v>
      </c>
      <c r="G3212" s="257" t="s">
        <v>7924</v>
      </c>
    </row>
    <row r="3213" customHeight="1" spans="4:7">
      <c r="D3213" s="256">
        <v>50026</v>
      </c>
      <c r="E3213" s="257" t="s">
        <v>7922</v>
      </c>
      <c r="F3213" s="257" t="s">
        <v>7925</v>
      </c>
      <c r="G3213" s="257" t="s">
        <v>7926</v>
      </c>
    </row>
    <row r="3214" customHeight="1" spans="4:7">
      <c r="D3214" s="256">
        <v>50026</v>
      </c>
      <c r="E3214" s="257" t="s">
        <v>7922</v>
      </c>
      <c r="F3214" s="257" t="s">
        <v>7927</v>
      </c>
      <c r="G3214" s="257" t="s">
        <v>7928</v>
      </c>
    </row>
    <row r="3215" customHeight="1" spans="4:7">
      <c r="D3215" s="256">
        <v>50026</v>
      </c>
      <c r="E3215" s="257" t="s">
        <v>7922</v>
      </c>
      <c r="F3215" s="257" t="s">
        <v>7929</v>
      </c>
      <c r="G3215" s="257" t="s">
        <v>7930</v>
      </c>
    </row>
    <row r="3216" customHeight="1" spans="4:7">
      <c r="D3216" s="256">
        <v>50026</v>
      </c>
      <c r="E3216" s="257" t="s">
        <v>7922</v>
      </c>
      <c r="F3216" s="257" t="s">
        <v>7931</v>
      </c>
      <c r="G3216" s="257" t="s">
        <v>7932</v>
      </c>
    </row>
    <row r="3217" customHeight="1" spans="4:7">
      <c r="D3217" s="256">
        <v>50026</v>
      </c>
      <c r="E3217" s="257" t="s">
        <v>7922</v>
      </c>
      <c r="F3217" s="257" t="s">
        <v>7933</v>
      </c>
      <c r="G3217" s="257" t="s">
        <v>7934</v>
      </c>
    </row>
    <row r="3218" customHeight="1" spans="4:7">
      <c r="D3218" s="256">
        <v>50026</v>
      </c>
      <c r="E3218" s="257" t="s">
        <v>7922</v>
      </c>
      <c r="F3218" s="257" t="s">
        <v>7935</v>
      </c>
      <c r="G3218" s="257" t="s">
        <v>7936</v>
      </c>
    </row>
    <row r="3219" customHeight="1" spans="4:7">
      <c r="D3219" s="256">
        <v>50026</v>
      </c>
      <c r="E3219" s="257" t="s">
        <v>7922</v>
      </c>
      <c r="F3219" s="257" t="s">
        <v>7937</v>
      </c>
      <c r="G3219" s="257" t="s">
        <v>7938</v>
      </c>
    </row>
    <row r="3220" customHeight="1" spans="4:7">
      <c r="D3220" s="256">
        <v>50026</v>
      </c>
      <c r="E3220" s="257" t="s">
        <v>7922</v>
      </c>
      <c r="F3220" s="257" t="s">
        <v>7939</v>
      </c>
      <c r="G3220" s="257" t="s">
        <v>7940</v>
      </c>
    </row>
    <row r="3221" customHeight="1" spans="4:7">
      <c r="D3221" s="256">
        <v>50026</v>
      </c>
      <c r="E3221" s="257" t="s">
        <v>7922</v>
      </c>
      <c r="F3221" s="257" t="s">
        <v>7941</v>
      </c>
      <c r="G3221" s="257" t="s">
        <v>7942</v>
      </c>
    </row>
    <row r="3222" customHeight="1" spans="4:7">
      <c r="D3222" s="256">
        <v>50026</v>
      </c>
      <c r="E3222" s="257" t="s">
        <v>7922</v>
      </c>
      <c r="F3222" s="257" t="s">
        <v>7943</v>
      </c>
      <c r="G3222" s="257" t="s">
        <v>7944</v>
      </c>
    </row>
    <row r="3223" customHeight="1" spans="4:7">
      <c r="D3223" s="256">
        <v>50026</v>
      </c>
      <c r="E3223" s="257" t="s">
        <v>7922</v>
      </c>
      <c r="F3223" s="257" t="s">
        <v>7945</v>
      </c>
      <c r="G3223" s="257" t="s">
        <v>7946</v>
      </c>
    </row>
    <row r="3224" customHeight="1" spans="4:7">
      <c r="D3224" s="256">
        <v>50026</v>
      </c>
      <c r="E3224" s="257" t="s">
        <v>7922</v>
      </c>
      <c r="F3224" s="257" t="s">
        <v>7947</v>
      </c>
      <c r="G3224" s="257" t="s">
        <v>7948</v>
      </c>
    </row>
    <row r="3225" customHeight="1" spans="4:7">
      <c r="D3225" s="256">
        <v>50026</v>
      </c>
      <c r="E3225" s="257" t="s">
        <v>7922</v>
      </c>
      <c r="F3225" s="257" t="s">
        <v>7949</v>
      </c>
      <c r="G3225" s="257" t="s">
        <v>7950</v>
      </c>
    </row>
    <row r="3226" customHeight="1" spans="4:7">
      <c r="D3226" s="256">
        <v>50026</v>
      </c>
      <c r="E3226" s="257" t="s">
        <v>7922</v>
      </c>
      <c r="F3226" s="257" t="s">
        <v>7951</v>
      </c>
      <c r="G3226" s="257" t="s">
        <v>7952</v>
      </c>
    </row>
    <row r="3227" customHeight="1" spans="4:7">
      <c r="D3227" s="256">
        <v>50026</v>
      </c>
      <c r="E3227" s="257" t="s">
        <v>7922</v>
      </c>
      <c r="F3227" s="257" t="s">
        <v>7953</v>
      </c>
      <c r="G3227" s="257" t="s">
        <v>7954</v>
      </c>
    </row>
    <row r="3228" customHeight="1" spans="4:7">
      <c r="D3228" s="256">
        <v>50026</v>
      </c>
      <c r="E3228" s="257" t="s">
        <v>7922</v>
      </c>
      <c r="F3228" s="257" t="s">
        <v>7955</v>
      </c>
      <c r="G3228" s="257" t="s">
        <v>7956</v>
      </c>
    </row>
    <row r="3229" customHeight="1" spans="4:7">
      <c r="D3229" s="256">
        <v>50026</v>
      </c>
      <c r="E3229" s="257" t="s">
        <v>7922</v>
      </c>
      <c r="F3229" s="257" t="s">
        <v>7957</v>
      </c>
      <c r="G3229" s="257" t="s">
        <v>7958</v>
      </c>
    </row>
    <row r="3230" customHeight="1" spans="4:7">
      <c r="D3230" s="256">
        <v>50026</v>
      </c>
      <c r="E3230" s="257" t="s">
        <v>7922</v>
      </c>
      <c r="F3230" s="257" t="s">
        <v>7959</v>
      </c>
      <c r="G3230" s="257" t="s">
        <v>7960</v>
      </c>
    </row>
    <row r="3231" customHeight="1" spans="4:7">
      <c r="D3231" s="256">
        <v>50026</v>
      </c>
      <c r="E3231" s="257" t="s">
        <v>7922</v>
      </c>
      <c r="F3231" s="257" t="s">
        <v>7961</v>
      </c>
      <c r="G3231" s="257" t="s">
        <v>4575</v>
      </c>
    </row>
    <row r="3232" customHeight="1" spans="4:7">
      <c r="D3232" s="256">
        <v>47014</v>
      </c>
      <c r="E3232" s="257" t="s">
        <v>7962</v>
      </c>
      <c r="F3232" s="257" t="s">
        <v>7963</v>
      </c>
      <c r="G3232" s="257" t="s">
        <v>7964</v>
      </c>
    </row>
    <row r="3233" customHeight="1" spans="4:7">
      <c r="D3233" s="256">
        <v>47014</v>
      </c>
      <c r="E3233" s="257" t="s">
        <v>7962</v>
      </c>
      <c r="F3233" s="257" t="s">
        <v>7965</v>
      </c>
      <c r="G3233" s="257" t="s">
        <v>7966</v>
      </c>
    </row>
    <row r="3234" customHeight="1" spans="4:7">
      <c r="D3234" s="256">
        <v>47014</v>
      </c>
      <c r="E3234" s="257" t="s">
        <v>7962</v>
      </c>
      <c r="F3234" s="257" t="s">
        <v>7967</v>
      </c>
      <c r="G3234" s="257" t="s">
        <v>7968</v>
      </c>
    </row>
    <row r="3235" customHeight="1" spans="4:7">
      <c r="D3235" s="256">
        <v>47014</v>
      </c>
      <c r="E3235" s="257" t="s">
        <v>7962</v>
      </c>
      <c r="F3235" s="257" t="s">
        <v>7969</v>
      </c>
      <c r="G3235" s="257" t="s">
        <v>7970</v>
      </c>
    </row>
    <row r="3236" customHeight="1" spans="4:7">
      <c r="D3236" s="256">
        <v>47014</v>
      </c>
      <c r="E3236" s="257" t="s">
        <v>7962</v>
      </c>
      <c r="F3236" s="257" t="s">
        <v>7971</v>
      </c>
      <c r="G3236" s="257" t="s">
        <v>7972</v>
      </c>
    </row>
    <row r="3237" customHeight="1" spans="4:7">
      <c r="D3237" s="256">
        <v>47014</v>
      </c>
      <c r="E3237" s="257" t="s">
        <v>7962</v>
      </c>
      <c r="F3237" s="257" t="s">
        <v>7973</v>
      </c>
      <c r="G3237" s="257" t="s">
        <v>4000</v>
      </c>
    </row>
    <row r="3238" customHeight="1" spans="4:7">
      <c r="D3238" s="256">
        <v>47014</v>
      </c>
      <c r="E3238" s="257" t="s">
        <v>7962</v>
      </c>
      <c r="F3238" s="257" t="s">
        <v>7974</v>
      </c>
      <c r="G3238" s="257" t="s">
        <v>7975</v>
      </c>
    </row>
    <row r="3239" customHeight="1" spans="4:7">
      <c r="D3239" s="256">
        <v>47014</v>
      </c>
      <c r="E3239" s="257" t="s">
        <v>7962</v>
      </c>
      <c r="F3239" s="257" t="s">
        <v>7976</v>
      </c>
      <c r="G3239" s="257" t="s">
        <v>7977</v>
      </c>
    </row>
    <row r="3240" customHeight="1" spans="4:7">
      <c r="D3240" s="256">
        <v>47014</v>
      </c>
      <c r="E3240" s="257" t="s">
        <v>7962</v>
      </c>
      <c r="F3240" s="257" t="s">
        <v>7978</v>
      </c>
      <c r="G3240" s="257" t="s">
        <v>7979</v>
      </c>
    </row>
    <row r="3241" customHeight="1" spans="4:7">
      <c r="D3241" s="256">
        <v>47014</v>
      </c>
      <c r="E3241" s="257" t="s">
        <v>7962</v>
      </c>
      <c r="F3241" s="257" t="s">
        <v>7980</v>
      </c>
      <c r="G3241" s="257" t="s">
        <v>7981</v>
      </c>
    </row>
    <row r="3242" customHeight="1" spans="4:7">
      <c r="D3242" s="256">
        <v>47014</v>
      </c>
      <c r="E3242" s="257" t="s">
        <v>7962</v>
      </c>
      <c r="F3242" s="257" t="s">
        <v>7982</v>
      </c>
      <c r="G3242" s="257" t="s">
        <v>7983</v>
      </c>
    </row>
    <row r="3243" customHeight="1" spans="4:7">
      <c r="D3243" s="256">
        <v>47014</v>
      </c>
      <c r="E3243" s="257" t="s">
        <v>7962</v>
      </c>
      <c r="F3243" s="257" t="s">
        <v>7984</v>
      </c>
      <c r="G3243" s="257" t="s">
        <v>7985</v>
      </c>
    </row>
    <row r="3244" customHeight="1" spans="4:7">
      <c r="D3244" s="256">
        <v>47014</v>
      </c>
      <c r="E3244" s="257" t="s">
        <v>7962</v>
      </c>
      <c r="F3244" s="257" t="s">
        <v>7986</v>
      </c>
      <c r="G3244" s="257" t="s">
        <v>7987</v>
      </c>
    </row>
    <row r="3245" customHeight="1" spans="4:7">
      <c r="D3245" s="256">
        <v>47014</v>
      </c>
      <c r="E3245" s="257" t="s">
        <v>7962</v>
      </c>
      <c r="F3245" s="257" t="s">
        <v>7988</v>
      </c>
      <c r="G3245" s="257" t="s">
        <v>7989</v>
      </c>
    </row>
    <row r="3246" customHeight="1" spans="4:7">
      <c r="D3246" s="256">
        <v>47014</v>
      </c>
      <c r="E3246" s="257" t="s">
        <v>7962</v>
      </c>
      <c r="F3246" s="257" t="s">
        <v>7990</v>
      </c>
      <c r="G3246" s="257" t="s">
        <v>7991</v>
      </c>
    </row>
    <row r="3247" customHeight="1" spans="4:7">
      <c r="D3247" s="256">
        <v>47014</v>
      </c>
      <c r="E3247" s="257" t="s">
        <v>7962</v>
      </c>
      <c r="F3247" s="257" t="s">
        <v>7992</v>
      </c>
      <c r="G3247" s="257" t="s">
        <v>7993</v>
      </c>
    </row>
    <row r="3248" customHeight="1" spans="4:7">
      <c r="D3248" s="256">
        <v>47014</v>
      </c>
      <c r="E3248" s="257" t="s">
        <v>7962</v>
      </c>
      <c r="F3248" s="257" t="s">
        <v>7994</v>
      </c>
      <c r="G3248" s="257" t="s">
        <v>7995</v>
      </c>
    </row>
    <row r="3249" customHeight="1" spans="4:7">
      <c r="D3249" s="256">
        <v>47014</v>
      </c>
      <c r="E3249" s="257" t="s">
        <v>7962</v>
      </c>
      <c r="F3249" s="257" t="s">
        <v>7996</v>
      </c>
      <c r="G3249" s="257" t="s">
        <v>2093</v>
      </c>
    </row>
    <row r="3250" customHeight="1" spans="4:7">
      <c r="D3250" s="256">
        <v>47014</v>
      </c>
      <c r="E3250" s="257" t="s">
        <v>7962</v>
      </c>
      <c r="F3250" s="257" t="s">
        <v>7997</v>
      </c>
      <c r="G3250" s="257" t="s">
        <v>7998</v>
      </c>
    </row>
    <row r="3251" customHeight="1" spans="4:7">
      <c r="D3251" s="256">
        <v>47014</v>
      </c>
      <c r="E3251" s="257" t="s">
        <v>7962</v>
      </c>
      <c r="F3251" s="257" t="s">
        <v>7999</v>
      </c>
      <c r="G3251" s="257" t="s">
        <v>8000</v>
      </c>
    </row>
    <row r="3252" customHeight="1" spans="4:7">
      <c r="D3252" s="256">
        <v>47014</v>
      </c>
      <c r="E3252" s="257" t="s">
        <v>7962</v>
      </c>
      <c r="F3252" s="257" t="s">
        <v>8001</v>
      </c>
      <c r="G3252" s="257" t="s">
        <v>8002</v>
      </c>
    </row>
    <row r="3253" customHeight="1" spans="4:7">
      <c r="D3253" s="256">
        <v>47014</v>
      </c>
      <c r="E3253" s="257" t="s">
        <v>7962</v>
      </c>
      <c r="F3253" s="257" t="s">
        <v>8003</v>
      </c>
      <c r="G3253" s="257" t="s">
        <v>8004</v>
      </c>
    </row>
    <row r="3254" customHeight="1" spans="4:7">
      <c r="D3254" s="256">
        <v>47014</v>
      </c>
      <c r="E3254" s="257" t="s">
        <v>7962</v>
      </c>
      <c r="F3254" s="257" t="s">
        <v>8005</v>
      </c>
      <c r="G3254" s="257" t="s">
        <v>8006</v>
      </c>
    </row>
    <row r="3255" customHeight="1" spans="4:7">
      <c r="D3255" s="256">
        <v>47014</v>
      </c>
      <c r="E3255" s="257" t="s">
        <v>7962</v>
      </c>
      <c r="F3255" s="257" t="s">
        <v>8007</v>
      </c>
      <c r="G3255" s="257" t="s">
        <v>8008</v>
      </c>
    </row>
    <row r="3256" customHeight="1" spans="4:7">
      <c r="D3256" s="256">
        <v>47014</v>
      </c>
      <c r="E3256" s="257" t="s">
        <v>7962</v>
      </c>
      <c r="F3256" s="257" t="s">
        <v>8009</v>
      </c>
      <c r="G3256" s="257" t="s">
        <v>8010</v>
      </c>
    </row>
    <row r="3257" customHeight="1" spans="4:7">
      <c r="D3257" s="256">
        <v>47014</v>
      </c>
      <c r="E3257" s="257" t="s">
        <v>7962</v>
      </c>
      <c r="F3257" s="257" t="s">
        <v>8011</v>
      </c>
      <c r="G3257" s="257" t="s">
        <v>8012</v>
      </c>
    </row>
    <row r="3258" customHeight="1" spans="4:7">
      <c r="D3258" s="256">
        <v>47014</v>
      </c>
      <c r="E3258" s="257" t="s">
        <v>7962</v>
      </c>
      <c r="F3258" s="257" t="s">
        <v>8013</v>
      </c>
      <c r="G3258" s="257" t="s">
        <v>8014</v>
      </c>
    </row>
    <row r="3259" customHeight="1" spans="4:7">
      <c r="D3259" s="256">
        <v>47014</v>
      </c>
      <c r="E3259" s="257" t="s">
        <v>7962</v>
      </c>
      <c r="F3259" s="257" t="s">
        <v>8015</v>
      </c>
      <c r="G3259" s="257" t="s">
        <v>8016</v>
      </c>
    </row>
    <row r="3260" customHeight="1" spans="4:7">
      <c r="D3260" s="256">
        <v>47014</v>
      </c>
      <c r="E3260" s="257" t="s">
        <v>7962</v>
      </c>
      <c r="F3260" s="257" t="s">
        <v>8017</v>
      </c>
      <c r="G3260" s="257" t="s">
        <v>8018</v>
      </c>
    </row>
    <row r="3261" customHeight="1" spans="4:7">
      <c r="D3261" s="256">
        <v>47014</v>
      </c>
      <c r="E3261" s="257" t="s">
        <v>7962</v>
      </c>
      <c r="F3261" s="257" t="s">
        <v>8019</v>
      </c>
      <c r="G3261" s="257" t="s">
        <v>8020</v>
      </c>
    </row>
    <row r="3262" customHeight="1" spans="4:7">
      <c r="D3262" s="256">
        <v>47014</v>
      </c>
      <c r="E3262" s="257" t="s">
        <v>7962</v>
      </c>
      <c r="F3262" s="257" t="s">
        <v>8021</v>
      </c>
      <c r="G3262" s="257" t="s">
        <v>8022</v>
      </c>
    </row>
    <row r="3263" customHeight="1" spans="4:7">
      <c r="D3263" s="256">
        <v>47014</v>
      </c>
      <c r="E3263" s="257" t="s">
        <v>7962</v>
      </c>
      <c r="F3263" s="257" t="s">
        <v>8023</v>
      </c>
      <c r="G3263" s="257" t="s">
        <v>8024</v>
      </c>
    </row>
    <row r="3264" customHeight="1" spans="4:7">
      <c r="D3264" s="256">
        <v>47014</v>
      </c>
      <c r="E3264" s="257" t="s">
        <v>7962</v>
      </c>
      <c r="F3264" s="257" t="s">
        <v>8025</v>
      </c>
      <c r="G3264" s="257" t="s">
        <v>8026</v>
      </c>
    </row>
    <row r="3265" customHeight="1" spans="4:7">
      <c r="D3265" s="256">
        <v>47014</v>
      </c>
      <c r="E3265" s="257" t="s">
        <v>7962</v>
      </c>
      <c r="F3265" s="257" t="s">
        <v>8027</v>
      </c>
      <c r="G3265" s="257" t="s">
        <v>3794</v>
      </c>
    </row>
    <row r="3266" customHeight="1" spans="4:7">
      <c r="D3266" s="256">
        <v>47014</v>
      </c>
      <c r="E3266" s="257" t="s">
        <v>7962</v>
      </c>
      <c r="F3266" s="257" t="s">
        <v>8028</v>
      </c>
      <c r="G3266" s="257" t="s">
        <v>8029</v>
      </c>
    </row>
    <row r="3267" customHeight="1" spans="4:7">
      <c r="D3267" s="256">
        <v>47014</v>
      </c>
      <c r="E3267" s="257" t="s">
        <v>7962</v>
      </c>
      <c r="F3267" s="257" t="s">
        <v>8030</v>
      </c>
      <c r="G3267" s="257" t="s">
        <v>8031</v>
      </c>
    </row>
    <row r="3268" customHeight="1" spans="4:7">
      <c r="D3268" s="256">
        <v>47014</v>
      </c>
      <c r="E3268" s="257" t="s">
        <v>7962</v>
      </c>
      <c r="F3268" s="257" t="s">
        <v>8032</v>
      </c>
      <c r="G3268" s="257" t="s">
        <v>8033</v>
      </c>
    </row>
    <row r="3269" customHeight="1" spans="4:7">
      <c r="D3269" s="256">
        <v>47014</v>
      </c>
      <c r="E3269" s="257" t="s">
        <v>7962</v>
      </c>
      <c r="F3269" s="257" t="s">
        <v>8034</v>
      </c>
      <c r="G3269" s="257" t="s">
        <v>8035</v>
      </c>
    </row>
    <row r="3270" customHeight="1" spans="4:7">
      <c r="D3270" s="256">
        <v>47014</v>
      </c>
      <c r="E3270" s="257" t="s">
        <v>7962</v>
      </c>
      <c r="F3270" s="257" t="s">
        <v>8036</v>
      </c>
      <c r="G3270" s="257" t="s">
        <v>8037</v>
      </c>
    </row>
    <row r="3271" customHeight="1" spans="4:7">
      <c r="D3271" s="256">
        <v>47014</v>
      </c>
      <c r="E3271" s="257" t="s">
        <v>7962</v>
      </c>
      <c r="F3271" s="257" t="s">
        <v>8038</v>
      </c>
      <c r="G3271" s="257" t="s">
        <v>8039</v>
      </c>
    </row>
    <row r="3272" customHeight="1" spans="4:7">
      <c r="D3272" s="256">
        <v>47014</v>
      </c>
      <c r="E3272" s="257" t="s">
        <v>7962</v>
      </c>
      <c r="F3272" s="257" t="s">
        <v>8040</v>
      </c>
      <c r="G3272" s="257" t="s">
        <v>3567</v>
      </c>
    </row>
    <row r="3273" customHeight="1" spans="4:7">
      <c r="D3273" s="256">
        <v>47014</v>
      </c>
      <c r="E3273" s="257" t="s">
        <v>7962</v>
      </c>
      <c r="F3273" s="257" t="s">
        <v>8041</v>
      </c>
      <c r="G3273" s="257" t="s">
        <v>6768</v>
      </c>
    </row>
    <row r="3274" customHeight="1" spans="4:7">
      <c r="D3274" s="256">
        <v>47014</v>
      </c>
      <c r="E3274" s="257" t="s">
        <v>7962</v>
      </c>
      <c r="F3274" s="257" t="s">
        <v>8042</v>
      </c>
      <c r="G3274" s="257" t="s">
        <v>8043</v>
      </c>
    </row>
    <row r="3275" customHeight="1" spans="4:7">
      <c r="D3275" s="256">
        <v>47014</v>
      </c>
      <c r="E3275" s="257" t="s">
        <v>7962</v>
      </c>
      <c r="F3275" s="257" t="s">
        <v>8044</v>
      </c>
      <c r="G3275" s="257" t="s">
        <v>4195</v>
      </c>
    </row>
    <row r="3276" customHeight="1" spans="4:7">
      <c r="D3276" s="256">
        <v>47014</v>
      </c>
      <c r="E3276" s="257" t="s">
        <v>7962</v>
      </c>
      <c r="F3276" s="257" t="s">
        <v>8045</v>
      </c>
      <c r="G3276" s="257" t="s">
        <v>4143</v>
      </c>
    </row>
    <row r="3277" customHeight="1" spans="4:7">
      <c r="D3277" s="256">
        <v>47014</v>
      </c>
      <c r="E3277" s="257" t="s">
        <v>7962</v>
      </c>
      <c r="F3277" s="257" t="s">
        <v>8046</v>
      </c>
      <c r="G3277" s="257" t="s">
        <v>8047</v>
      </c>
    </row>
    <row r="3278" customHeight="1" spans="4:7">
      <c r="D3278" s="256">
        <v>47014</v>
      </c>
      <c r="E3278" s="257" t="s">
        <v>7962</v>
      </c>
      <c r="F3278" s="257" t="s">
        <v>8048</v>
      </c>
      <c r="G3278" s="257" t="s">
        <v>8049</v>
      </c>
    </row>
    <row r="3279" customHeight="1" spans="4:7">
      <c r="D3279" s="256">
        <v>47014</v>
      </c>
      <c r="E3279" s="257" t="s">
        <v>7962</v>
      </c>
      <c r="F3279" s="257" t="s">
        <v>8050</v>
      </c>
      <c r="G3279" s="257" t="s">
        <v>8051</v>
      </c>
    </row>
    <row r="3280" customHeight="1" spans="4:7">
      <c r="D3280" s="256">
        <v>47014</v>
      </c>
      <c r="E3280" s="257" t="s">
        <v>7962</v>
      </c>
      <c r="F3280" s="257" t="s">
        <v>8052</v>
      </c>
      <c r="G3280" s="257" t="s">
        <v>6684</v>
      </c>
    </row>
    <row r="3281" customHeight="1" spans="4:7">
      <c r="D3281" s="256">
        <v>47014</v>
      </c>
      <c r="E3281" s="257" t="s">
        <v>7962</v>
      </c>
      <c r="F3281" s="257" t="s">
        <v>8053</v>
      </c>
      <c r="G3281" s="257" t="s">
        <v>8054</v>
      </c>
    </row>
    <row r="3282" customHeight="1" spans="4:7">
      <c r="D3282" s="256">
        <v>47014</v>
      </c>
      <c r="E3282" s="257" t="s">
        <v>7962</v>
      </c>
      <c r="F3282" s="257" t="s">
        <v>8055</v>
      </c>
      <c r="G3282" s="257" t="s">
        <v>8056</v>
      </c>
    </row>
    <row r="3283" customHeight="1" spans="4:7">
      <c r="D3283" s="256">
        <v>47014</v>
      </c>
      <c r="E3283" s="257" t="s">
        <v>7962</v>
      </c>
      <c r="F3283" s="257" t="s">
        <v>8057</v>
      </c>
      <c r="G3283" s="257" t="s">
        <v>8058</v>
      </c>
    </row>
    <row r="3284" customHeight="1" spans="4:7">
      <c r="D3284" s="256">
        <v>47014</v>
      </c>
      <c r="E3284" s="257" t="s">
        <v>7962</v>
      </c>
      <c r="F3284" s="257" t="s">
        <v>8059</v>
      </c>
      <c r="G3284" s="257" t="s">
        <v>8060</v>
      </c>
    </row>
    <row r="3285" customHeight="1" spans="4:7">
      <c r="D3285" s="256">
        <v>47014</v>
      </c>
      <c r="E3285" s="257" t="s">
        <v>7962</v>
      </c>
      <c r="F3285" s="257" t="s">
        <v>8061</v>
      </c>
      <c r="G3285" s="257" t="s">
        <v>8062</v>
      </c>
    </row>
    <row r="3286" customHeight="1" spans="4:7">
      <c r="D3286" s="256">
        <v>47014</v>
      </c>
      <c r="E3286" s="257" t="s">
        <v>7962</v>
      </c>
      <c r="F3286" s="257" t="s">
        <v>8063</v>
      </c>
      <c r="G3286" s="257" t="s">
        <v>8064</v>
      </c>
    </row>
    <row r="3287" customHeight="1" spans="4:7">
      <c r="D3287" s="256">
        <v>47014</v>
      </c>
      <c r="E3287" s="257" t="s">
        <v>7962</v>
      </c>
      <c r="F3287" s="257" t="s">
        <v>8065</v>
      </c>
      <c r="G3287" s="257" t="s">
        <v>8066</v>
      </c>
    </row>
    <row r="3288" customHeight="1" spans="4:7">
      <c r="D3288" s="256">
        <v>47014</v>
      </c>
      <c r="E3288" s="257" t="s">
        <v>7962</v>
      </c>
      <c r="F3288" s="257" t="s">
        <v>8067</v>
      </c>
      <c r="G3288" s="257" t="s">
        <v>8068</v>
      </c>
    </row>
    <row r="3289" customHeight="1" spans="4:7">
      <c r="D3289" s="256">
        <v>47014</v>
      </c>
      <c r="E3289" s="257" t="s">
        <v>7962</v>
      </c>
      <c r="F3289" s="257" t="s">
        <v>8069</v>
      </c>
      <c r="G3289" s="257" t="s">
        <v>8070</v>
      </c>
    </row>
    <row r="3290" customHeight="1" spans="4:7">
      <c r="D3290" s="256">
        <v>47014</v>
      </c>
      <c r="E3290" s="257" t="s">
        <v>7962</v>
      </c>
      <c r="F3290" s="257" t="s">
        <v>8071</v>
      </c>
      <c r="G3290" s="257" t="s">
        <v>8072</v>
      </c>
    </row>
    <row r="3291" customHeight="1" spans="4:7">
      <c r="D3291" s="256">
        <v>47014</v>
      </c>
      <c r="E3291" s="257" t="s">
        <v>7962</v>
      </c>
      <c r="F3291" s="257" t="s">
        <v>8073</v>
      </c>
      <c r="G3291" s="257" t="s">
        <v>8074</v>
      </c>
    </row>
    <row r="3292" customHeight="1" spans="4:7">
      <c r="D3292" s="256">
        <v>47014</v>
      </c>
      <c r="E3292" s="257" t="s">
        <v>7962</v>
      </c>
      <c r="F3292" s="257" t="s">
        <v>8075</v>
      </c>
      <c r="G3292" s="257" t="s">
        <v>8076</v>
      </c>
    </row>
    <row r="3293" customHeight="1" spans="4:7">
      <c r="D3293" s="256">
        <v>47014</v>
      </c>
      <c r="E3293" s="257" t="s">
        <v>7962</v>
      </c>
      <c r="F3293" s="257" t="s">
        <v>8077</v>
      </c>
      <c r="G3293" s="257" t="s">
        <v>8078</v>
      </c>
    </row>
    <row r="3294" customHeight="1" spans="4:7">
      <c r="D3294" s="256">
        <v>47014</v>
      </c>
      <c r="E3294" s="257" t="s">
        <v>7962</v>
      </c>
      <c r="F3294" s="257" t="s">
        <v>8079</v>
      </c>
      <c r="G3294" s="257" t="s">
        <v>8080</v>
      </c>
    </row>
    <row r="3295" customHeight="1" spans="4:7">
      <c r="D3295" s="256">
        <v>47014</v>
      </c>
      <c r="E3295" s="257" t="s">
        <v>7962</v>
      </c>
      <c r="F3295" s="257" t="s">
        <v>8081</v>
      </c>
      <c r="G3295" s="257" t="s">
        <v>8082</v>
      </c>
    </row>
    <row r="3296" customHeight="1" spans="4:7">
      <c r="D3296" s="256">
        <v>47014</v>
      </c>
      <c r="E3296" s="257" t="s">
        <v>7962</v>
      </c>
      <c r="F3296" s="257" t="s">
        <v>8083</v>
      </c>
      <c r="G3296" s="257" t="s">
        <v>3808</v>
      </c>
    </row>
    <row r="3297" customHeight="1" spans="4:7">
      <c r="D3297" s="256">
        <v>47014</v>
      </c>
      <c r="E3297" s="257" t="s">
        <v>7962</v>
      </c>
      <c r="F3297" s="257" t="s">
        <v>8084</v>
      </c>
      <c r="G3297" s="257" t="s">
        <v>8085</v>
      </c>
    </row>
    <row r="3298" customHeight="1" spans="4:7">
      <c r="D3298" s="256">
        <v>47014</v>
      </c>
      <c r="E3298" s="257" t="s">
        <v>7962</v>
      </c>
      <c r="F3298" s="257" t="s">
        <v>8086</v>
      </c>
      <c r="G3298" s="257" t="s">
        <v>8087</v>
      </c>
    </row>
    <row r="3299" customHeight="1" spans="4:7">
      <c r="D3299" s="256">
        <v>47014</v>
      </c>
      <c r="E3299" s="257" t="s">
        <v>7962</v>
      </c>
      <c r="F3299" s="257" t="s">
        <v>8088</v>
      </c>
      <c r="G3299" s="257" t="s">
        <v>8089</v>
      </c>
    </row>
    <row r="3300" customHeight="1" spans="4:7">
      <c r="D3300" s="256">
        <v>47014</v>
      </c>
      <c r="E3300" s="257" t="s">
        <v>7962</v>
      </c>
      <c r="F3300" s="257" t="s">
        <v>8090</v>
      </c>
      <c r="G3300" s="257" t="s">
        <v>2431</v>
      </c>
    </row>
    <row r="3301" customHeight="1" spans="4:7">
      <c r="D3301" s="256">
        <v>47014</v>
      </c>
      <c r="E3301" s="257" t="s">
        <v>7962</v>
      </c>
      <c r="F3301" s="257" t="s">
        <v>8091</v>
      </c>
      <c r="G3301" s="257" t="s">
        <v>8092</v>
      </c>
    </row>
    <row r="3302" customHeight="1" spans="4:7">
      <c r="D3302" s="256">
        <v>47014</v>
      </c>
      <c r="E3302" s="257" t="s">
        <v>7962</v>
      </c>
      <c r="F3302" s="257" t="s">
        <v>8093</v>
      </c>
      <c r="G3302" s="257" t="s">
        <v>8094</v>
      </c>
    </row>
    <row r="3303" customHeight="1" spans="4:7">
      <c r="D3303" s="256">
        <v>47014</v>
      </c>
      <c r="E3303" s="257" t="s">
        <v>7962</v>
      </c>
      <c r="F3303" s="257" t="s">
        <v>8095</v>
      </c>
      <c r="G3303" s="257" t="s">
        <v>8096</v>
      </c>
    </row>
    <row r="3304" customHeight="1" spans="4:7">
      <c r="D3304" s="256">
        <v>47014</v>
      </c>
      <c r="E3304" s="257" t="s">
        <v>7962</v>
      </c>
      <c r="F3304" s="257" t="s">
        <v>8097</v>
      </c>
      <c r="G3304" s="257" t="s">
        <v>2314</v>
      </c>
    </row>
    <row r="3305" customHeight="1" spans="4:7">
      <c r="D3305" s="256">
        <v>47014</v>
      </c>
      <c r="E3305" s="257" t="s">
        <v>7962</v>
      </c>
      <c r="F3305" s="257" t="s">
        <v>8098</v>
      </c>
      <c r="G3305" s="257" t="s">
        <v>8099</v>
      </c>
    </row>
    <row r="3306" customHeight="1" spans="4:7">
      <c r="D3306" s="256">
        <v>47014</v>
      </c>
      <c r="E3306" s="257" t="s">
        <v>7962</v>
      </c>
      <c r="F3306" s="257" t="s">
        <v>8100</v>
      </c>
      <c r="G3306" s="257" t="s">
        <v>8101</v>
      </c>
    </row>
    <row r="3307" customHeight="1" spans="4:7">
      <c r="D3307" s="256">
        <v>47014</v>
      </c>
      <c r="E3307" s="257" t="s">
        <v>7962</v>
      </c>
      <c r="F3307" s="257" t="s">
        <v>8102</v>
      </c>
      <c r="G3307" s="257" t="s">
        <v>8103</v>
      </c>
    </row>
    <row r="3308" customHeight="1" spans="4:7">
      <c r="D3308" s="256">
        <v>47014</v>
      </c>
      <c r="E3308" s="257" t="s">
        <v>7962</v>
      </c>
      <c r="F3308" s="257" t="s">
        <v>8104</v>
      </c>
      <c r="G3308" s="257" t="s">
        <v>8105</v>
      </c>
    </row>
    <row r="3309" customHeight="1" spans="4:7">
      <c r="D3309" s="256">
        <v>47014</v>
      </c>
      <c r="E3309" s="257" t="s">
        <v>7962</v>
      </c>
      <c r="F3309" s="257" t="s">
        <v>8106</v>
      </c>
      <c r="G3309" s="257" t="s">
        <v>8107</v>
      </c>
    </row>
    <row r="3310" customHeight="1" spans="4:7">
      <c r="D3310" s="256">
        <v>47014</v>
      </c>
      <c r="E3310" s="257" t="s">
        <v>7962</v>
      </c>
      <c r="F3310" s="257" t="s">
        <v>8108</v>
      </c>
      <c r="G3310" s="257" t="s">
        <v>8109</v>
      </c>
    </row>
    <row r="3311" customHeight="1" spans="4:7">
      <c r="D3311" s="256">
        <v>47014</v>
      </c>
      <c r="E3311" s="257" t="s">
        <v>7962</v>
      </c>
      <c r="F3311" s="257" t="s">
        <v>8110</v>
      </c>
      <c r="G3311" s="257" t="s">
        <v>8111</v>
      </c>
    </row>
    <row r="3312" customHeight="1" spans="4:7">
      <c r="D3312" s="256">
        <v>47014</v>
      </c>
      <c r="E3312" s="257" t="s">
        <v>7962</v>
      </c>
      <c r="F3312" s="257" t="s">
        <v>8112</v>
      </c>
      <c r="G3312" s="257" t="s">
        <v>8113</v>
      </c>
    </row>
    <row r="3313" customHeight="1" spans="4:7">
      <c r="D3313" s="256">
        <v>47014</v>
      </c>
      <c r="E3313" s="257" t="s">
        <v>7962</v>
      </c>
      <c r="F3313" s="257" t="s">
        <v>8114</v>
      </c>
      <c r="G3313" s="257" t="s">
        <v>8115</v>
      </c>
    </row>
    <row r="3314" customHeight="1" spans="4:7">
      <c r="D3314" s="256">
        <v>47014</v>
      </c>
      <c r="E3314" s="257" t="s">
        <v>7962</v>
      </c>
      <c r="F3314" s="257" t="s">
        <v>8116</v>
      </c>
      <c r="G3314" s="257" t="s">
        <v>8117</v>
      </c>
    </row>
    <row r="3315" customHeight="1" spans="4:7">
      <c r="D3315" s="256">
        <v>47014</v>
      </c>
      <c r="E3315" s="257" t="s">
        <v>7962</v>
      </c>
      <c r="F3315" s="257" t="s">
        <v>8118</v>
      </c>
      <c r="G3315" s="257" t="s">
        <v>8119</v>
      </c>
    </row>
    <row r="3316" customHeight="1" spans="4:7">
      <c r="D3316" s="256">
        <v>47014</v>
      </c>
      <c r="E3316" s="257" t="s">
        <v>7962</v>
      </c>
      <c r="F3316" s="257" t="s">
        <v>8120</v>
      </c>
      <c r="G3316" s="257" t="s">
        <v>8121</v>
      </c>
    </row>
    <row r="3317" customHeight="1" spans="4:7">
      <c r="D3317" s="256">
        <v>47014</v>
      </c>
      <c r="E3317" s="257" t="s">
        <v>7962</v>
      </c>
      <c r="F3317" s="257" t="s">
        <v>8122</v>
      </c>
      <c r="G3317" s="257" t="s">
        <v>8123</v>
      </c>
    </row>
    <row r="3318" customHeight="1" spans="4:7">
      <c r="D3318" s="256">
        <v>47014</v>
      </c>
      <c r="E3318" s="257" t="s">
        <v>7962</v>
      </c>
      <c r="F3318" s="257" t="s">
        <v>8124</v>
      </c>
      <c r="G3318" s="257" t="s">
        <v>8125</v>
      </c>
    </row>
    <row r="3319" customHeight="1" spans="4:7">
      <c r="D3319" s="256">
        <v>47014</v>
      </c>
      <c r="E3319" s="257" t="s">
        <v>7962</v>
      </c>
      <c r="F3319" s="257" t="s">
        <v>8126</v>
      </c>
      <c r="G3319" s="257" t="s">
        <v>8127</v>
      </c>
    </row>
    <row r="3320" customHeight="1" spans="4:7">
      <c r="D3320" s="256">
        <v>47014</v>
      </c>
      <c r="E3320" s="257" t="s">
        <v>7962</v>
      </c>
      <c r="F3320" s="257" t="s">
        <v>8128</v>
      </c>
      <c r="G3320" s="257" t="s">
        <v>8129</v>
      </c>
    </row>
    <row r="3321" customHeight="1" spans="4:7">
      <c r="D3321" s="256">
        <v>47014</v>
      </c>
      <c r="E3321" s="257" t="s">
        <v>7962</v>
      </c>
      <c r="F3321" s="257" t="s">
        <v>8130</v>
      </c>
      <c r="G3321" s="257" t="s">
        <v>8131</v>
      </c>
    </row>
    <row r="3322" customHeight="1" spans="4:7">
      <c r="D3322" s="256">
        <v>47014</v>
      </c>
      <c r="E3322" s="257" t="s">
        <v>7962</v>
      </c>
      <c r="F3322" s="257" t="s">
        <v>8132</v>
      </c>
      <c r="G3322" s="257" t="s">
        <v>8133</v>
      </c>
    </row>
    <row r="3323" customHeight="1" spans="4:7">
      <c r="D3323" s="256">
        <v>47014</v>
      </c>
      <c r="E3323" s="257" t="s">
        <v>7962</v>
      </c>
      <c r="F3323" s="257" t="s">
        <v>8134</v>
      </c>
      <c r="G3323" s="257" t="s">
        <v>8135</v>
      </c>
    </row>
    <row r="3324" customHeight="1" spans="4:7">
      <c r="D3324" s="256">
        <v>47014</v>
      </c>
      <c r="E3324" s="257" t="s">
        <v>7962</v>
      </c>
      <c r="F3324" s="257" t="s">
        <v>8136</v>
      </c>
      <c r="G3324" s="257" t="s">
        <v>8137</v>
      </c>
    </row>
    <row r="3325" customHeight="1" spans="4:7">
      <c r="D3325" s="256">
        <v>47014</v>
      </c>
      <c r="E3325" s="257" t="s">
        <v>7962</v>
      </c>
      <c r="F3325" s="257" t="s">
        <v>8138</v>
      </c>
      <c r="G3325" s="257" t="s">
        <v>8139</v>
      </c>
    </row>
    <row r="3326" customHeight="1" spans="4:7">
      <c r="D3326" s="256">
        <v>47014</v>
      </c>
      <c r="E3326" s="257" t="s">
        <v>7962</v>
      </c>
      <c r="F3326" s="257" t="s">
        <v>8140</v>
      </c>
      <c r="G3326" s="257" t="s">
        <v>8141</v>
      </c>
    </row>
    <row r="3327" customHeight="1" spans="4:7">
      <c r="D3327" s="256">
        <v>47014</v>
      </c>
      <c r="E3327" s="257" t="s">
        <v>7962</v>
      </c>
      <c r="F3327" s="257" t="s">
        <v>8142</v>
      </c>
      <c r="G3327" s="257" t="s">
        <v>8143</v>
      </c>
    </row>
    <row r="3328" customHeight="1" spans="4:7">
      <c r="D3328" s="256">
        <v>47014</v>
      </c>
      <c r="E3328" s="257" t="s">
        <v>7962</v>
      </c>
      <c r="F3328" s="257" t="s">
        <v>8144</v>
      </c>
      <c r="G3328" s="257" t="s">
        <v>1914</v>
      </c>
    </row>
    <row r="3329" customHeight="1" spans="4:7">
      <c r="D3329" s="256">
        <v>47014</v>
      </c>
      <c r="E3329" s="257" t="s">
        <v>7962</v>
      </c>
      <c r="F3329" s="257" t="s">
        <v>8145</v>
      </c>
      <c r="G3329" s="257" t="s">
        <v>8146</v>
      </c>
    </row>
    <row r="3330" customHeight="1" spans="4:7">
      <c r="D3330" s="256">
        <v>47014</v>
      </c>
      <c r="E3330" s="257" t="s">
        <v>7962</v>
      </c>
      <c r="F3330" s="257" t="s">
        <v>8147</v>
      </c>
      <c r="G3330" s="257" t="s">
        <v>8148</v>
      </c>
    </row>
    <row r="3331" customHeight="1" spans="4:7">
      <c r="D3331" s="256">
        <v>47015</v>
      </c>
      <c r="E3331" s="257" t="s">
        <v>8149</v>
      </c>
      <c r="F3331" s="257" t="s">
        <v>8150</v>
      </c>
      <c r="G3331" s="257" t="s">
        <v>8151</v>
      </c>
    </row>
    <row r="3332" customHeight="1" spans="4:7">
      <c r="D3332" s="256">
        <v>47015</v>
      </c>
      <c r="E3332" s="257" t="s">
        <v>8149</v>
      </c>
      <c r="F3332" s="257" t="s">
        <v>8152</v>
      </c>
      <c r="G3332" s="257" t="s">
        <v>4862</v>
      </c>
    </row>
    <row r="3333" customHeight="1" spans="4:7">
      <c r="D3333" s="256">
        <v>47015</v>
      </c>
      <c r="E3333" s="257" t="s">
        <v>8149</v>
      </c>
      <c r="F3333" s="257" t="s">
        <v>8153</v>
      </c>
      <c r="G3333" s="257" t="s">
        <v>8154</v>
      </c>
    </row>
    <row r="3334" customHeight="1" spans="4:7">
      <c r="D3334" s="256">
        <v>47015</v>
      </c>
      <c r="E3334" s="257" t="s">
        <v>8149</v>
      </c>
      <c r="F3334" s="257" t="s">
        <v>8155</v>
      </c>
      <c r="G3334" s="257" t="s">
        <v>8156</v>
      </c>
    </row>
    <row r="3335" customHeight="1" spans="4:7">
      <c r="D3335" s="256">
        <v>47015</v>
      </c>
      <c r="E3335" s="257" t="s">
        <v>8149</v>
      </c>
      <c r="F3335" s="257" t="s">
        <v>8157</v>
      </c>
      <c r="G3335" s="257" t="s">
        <v>8158</v>
      </c>
    </row>
    <row r="3336" customHeight="1" spans="4:7">
      <c r="D3336" s="256">
        <v>47015</v>
      </c>
      <c r="E3336" s="257" t="s">
        <v>8149</v>
      </c>
      <c r="F3336" s="257" t="s">
        <v>8159</v>
      </c>
      <c r="G3336" s="257" t="s">
        <v>8160</v>
      </c>
    </row>
    <row r="3337" customHeight="1" spans="4:7">
      <c r="D3337" s="256">
        <v>47015</v>
      </c>
      <c r="E3337" s="257" t="s">
        <v>8149</v>
      </c>
      <c r="F3337" s="257" t="s">
        <v>8161</v>
      </c>
      <c r="G3337" s="257" t="s">
        <v>8162</v>
      </c>
    </row>
    <row r="3338" customHeight="1" spans="4:7">
      <c r="D3338" s="256">
        <v>47015</v>
      </c>
      <c r="E3338" s="257" t="s">
        <v>8149</v>
      </c>
      <c r="F3338" s="257" t="s">
        <v>8163</v>
      </c>
      <c r="G3338" s="257" t="s">
        <v>8164</v>
      </c>
    </row>
    <row r="3339" customHeight="1" spans="4:7">
      <c r="D3339" s="256">
        <v>47015</v>
      </c>
      <c r="E3339" s="257" t="s">
        <v>8149</v>
      </c>
      <c r="F3339" s="257" t="s">
        <v>8165</v>
      </c>
      <c r="G3339" s="257" t="s">
        <v>3617</v>
      </c>
    </row>
    <row r="3340" customHeight="1" spans="4:7">
      <c r="D3340" s="256">
        <v>47015</v>
      </c>
      <c r="E3340" s="257" t="s">
        <v>8149</v>
      </c>
      <c r="F3340" s="257" t="s">
        <v>8166</v>
      </c>
      <c r="G3340" s="257" t="s">
        <v>8167</v>
      </c>
    </row>
    <row r="3341" customHeight="1" spans="4:7">
      <c r="D3341" s="256">
        <v>47015</v>
      </c>
      <c r="E3341" s="257" t="s">
        <v>8149</v>
      </c>
      <c r="F3341" s="257" t="s">
        <v>8168</v>
      </c>
      <c r="G3341" s="257" t="s">
        <v>8169</v>
      </c>
    </row>
    <row r="3342" customHeight="1" spans="4:7">
      <c r="D3342" s="256">
        <v>47015</v>
      </c>
      <c r="E3342" s="257" t="s">
        <v>8149</v>
      </c>
      <c r="F3342" s="257" t="s">
        <v>8170</v>
      </c>
      <c r="G3342" s="257" t="s">
        <v>8171</v>
      </c>
    </row>
    <row r="3343" customHeight="1" spans="4:7">
      <c r="D3343" s="256">
        <v>47015</v>
      </c>
      <c r="E3343" s="257" t="s">
        <v>8149</v>
      </c>
      <c r="F3343" s="257" t="s">
        <v>8172</v>
      </c>
      <c r="G3343" s="257" t="s">
        <v>2867</v>
      </c>
    </row>
    <row r="3344" customHeight="1" spans="4:7">
      <c r="D3344" s="256">
        <v>47015</v>
      </c>
      <c r="E3344" s="257" t="s">
        <v>8149</v>
      </c>
      <c r="F3344" s="257" t="s">
        <v>8173</v>
      </c>
      <c r="G3344" s="257" t="s">
        <v>8174</v>
      </c>
    </row>
    <row r="3345" customHeight="1" spans="4:7">
      <c r="D3345" s="256">
        <v>47015</v>
      </c>
      <c r="E3345" s="257" t="s">
        <v>8149</v>
      </c>
      <c r="F3345" s="257" t="s">
        <v>8175</v>
      </c>
      <c r="G3345" s="257" t="s">
        <v>8176</v>
      </c>
    </row>
    <row r="3346" customHeight="1" spans="4:7">
      <c r="D3346" s="256">
        <v>47015</v>
      </c>
      <c r="E3346" s="257" t="s">
        <v>8149</v>
      </c>
      <c r="F3346" s="257" t="s">
        <v>8177</v>
      </c>
      <c r="G3346" s="257" t="s">
        <v>8178</v>
      </c>
    </row>
    <row r="3347" customHeight="1" spans="4:7">
      <c r="D3347" s="256">
        <v>47015</v>
      </c>
      <c r="E3347" s="257" t="s">
        <v>8149</v>
      </c>
      <c r="F3347" s="257" t="s">
        <v>8179</v>
      </c>
      <c r="G3347" s="257" t="s">
        <v>8180</v>
      </c>
    </row>
    <row r="3348" customHeight="1" spans="4:7">
      <c r="D3348" s="256">
        <v>47015</v>
      </c>
      <c r="E3348" s="257" t="s">
        <v>8149</v>
      </c>
      <c r="F3348" s="257" t="s">
        <v>8181</v>
      </c>
      <c r="G3348" s="257" t="s">
        <v>2904</v>
      </c>
    </row>
    <row r="3349" customHeight="1" spans="4:7">
      <c r="D3349" s="256">
        <v>47015</v>
      </c>
      <c r="E3349" s="257" t="s">
        <v>8149</v>
      </c>
      <c r="F3349" s="257" t="s">
        <v>8182</v>
      </c>
      <c r="G3349" s="257" t="s">
        <v>8183</v>
      </c>
    </row>
    <row r="3350" customHeight="1" spans="4:7">
      <c r="D3350" s="256">
        <v>53019</v>
      </c>
      <c r="E3350" s="257" t="s">
        <v>8184</v>
      </c>
      <c r="F3350" s="257" t="s">
        <v>8185</v>
      </c>
      <c r="G3350" s="257" t="s">
        <v>8186</v>
      </c>
    </row>
    <row r="3351" customHeight="1" spans="4:7">
      <c r="D3351" s="256">
        <v>53019</v>
      </c>
      <c r="E3351" s="257" t="s">
        <v>8184</v>
      </c>
      <c r="F3351" s="257" t="s">
        <v>8187</v>
      </c>
      <c r="G3351" s="257" t="s">
        <v>8188</v>
      </c>
    </row>
    <row r="3352" customHeight="1" spans="4:7">
      <c r="D3352" s="256">
        <v>53019</v>
      </c>
      <c r="E3352" s="257" t="s">
        <v>8184</v>
      </c>
      <c r="F3352" s="257" t="s">
        <v>8189</v>
      </c>
      <c r="G3352" s="257" t="s">
        <v>7940</v>
      </c>
    </row>
    <row r="3353" customHeight="1" spans="4:7">
      <c r="D3353" s="256">
        <v>53019</v>
      </c>
      <c r="E3353" s="257" t="s">
        <v>8184</v>
      </c>
      <c r="F3353" s="257" t="s">
        <v>8190</v>
      </c>
      <c r="G3353" s="257" t="s">
        <v>3444</v>
      </c>
    </row>
    <row r="3354" customHeight="1" spans="4:7">
      <c r="D3354" s="256">
        <v>53019</v>
      </c>
      <c r="E3354" s="257" t="s">
        <v>8184</v>
      </c>
      <c r="F3354" s="257" t="s">
        <v>8191</v>
      </c>
      <c r="G3354" s="257" t="s">
        <v>8192</v>
      </c>
    </row>
    <row r="3355" customHeight="1" spans="4:7">
      <c r="D3355" s="256">
        <v>45013</v>
      </c>
      <c r="E3355" s="257" t="s">
        <v>8193</v>
      </c>
      <c r="F3355" s="257" t="s">
        <v>8194</v>
      </c>
      <c r="G3355" s="257" t="s">
        <v>8195</v>
      </c>
    </row>
    <row r="3356" customHeight="1" spans="4:7">
      <c r="D3356" s="256">
        <v>45013</v>
      </c>
      <c r="E3356" s="257" t="s">
        <v>8193</v>
      </c>
      <c r="F3356" s="257" t="s">
        <v>8196</v>
      </c>
      <c r="G3356" s="257" t="s">
        <v>5106</v>
      </c>
    </row>
    <row r="3357" customHeight="1" spans="4:7">
      <c r="D3357" s="256">
        <v>45013</v>
      </c>
      <c r="E3357" s="257" t="s">
        <v>8193</v>
      </c>
      <c r="F3357" s="257" t="s">
        <v>8197</v>
      </c>
      <c r="G3357" s="257" t="s">
        <v>8198</v>
      </c>
    </row>
    <row r="3358" customHeight="1" spans="4:7">
      <c r="D3358" s="256">
        <v>45013</v>
      </c>
      <c r="E3358" s="257" t="s">
        <v>8193</v>
      </c>
      <c r="F3358" s="257" t="s">
        <v>8199</v>
      </c>
      <c r="G3358" s="257" t="s">
        <v>8200</v>
      </c>
    </row>
    <row r="3359" customHeight="1" spans="4:7">
      <c r="D3359" s="256">
        <v>45013</v>
      </c>
      <c r="E3359" s="257" t="s">
        <v>8193</v>
      </c>
      <c r="F3359" s="257" t="s">
        <v>8201</v>
      </c>
      <c r="G3359" s="257" t="s">
        <v>8202</v>
      </c>
    </row>
    <row r="3360" customHeight="1" spans="4:7">
      <c r="D3360" s="256">
        <v>45013</v>
      </c>
      <c r="E3360" s="257" t="s">
        <v>8193</v>
      </c>
      <c r="F3360" s="257" t="s">
        <v>8203</v>
      </c>
      <c r="G3360" s="257" t="s">
        <v>8204</v>
      </c>
    </row>
    <row r="3361" customHeight="1" spans="4:7">
      <c r="D3361" s="256">
        <v>45013</v>
      </c>
      <c r="E3361" s="257" t="s">
        <v>8193</v>
      </c>
      <c r="F3361" s="257" t="s">
        <v>8205</v>
      </c>
      <c r="G3361" s="257" t="s">
        <v>8206</v>
      </c>
    </row>
    <row r="3362" customHeight="1" spans="4:7">
      <c r="D3362" s="256">
        <v>45013</v>
      </c>
      <c r="E3362" s="257" t="s">
        <v>8193</v>
      </c>
      <c r="F3362" s="257" t="s">
        <v>8207</v>
      </c>
      <c r="G3362" s="257" t="s">
        <v>8208</v>
      </c>
    </row>
    <row r="3363" customHeight="1" spans="4:7">
      <c r="D3363" s="256">
        <v>45013</v>
      </c>
      <c r="E3363" s="257" t="s">
        <v>8193</v>
      </c>
      <c r="F3363" s="257" t="s">
        <v>8209</v>
      </c>
      <c r="G3363" s="257" t="s">
        <v>8210</v>
      </c>
    </row>
    <row r="3364" customHeight="1" spans="4:7">
      <c r="D3364" s="256">
        <v>45013</v>
      </c>
      <c r="E3364" s="257" t="s">
        <v>8193</v>
      </c>
      <c r="F3364" s="257" t="s">
        <v>8211</v>
      </c>
      <c r="G3364" s="257" t="s">
        <v>8212</v>
      </c>
    </row>
    <row r="3365" customHeight="1" spans="4:7">
      <c r="D3365" s="256">
        <v>45013</v>
      </c>
      <c r="E3365" s="257" t="s">
        <v>8193</v>
      </c>
      <c r="F3365" s="257" t="s">
        <v>8213</v>
      </c>
      <c r="G3365" s="257" t="s">
        <v>8214</v>
      </c>
    </row>
    <row r="3366" customHeight="1" spans="4:7">
      <c r="D3366" s="256">
        <v>45013</v>
      </c>
      <c r="E3366" s="257" t="s">
        <v>8193</v>
      </c>
      <c r="F3366" s="257" t="s">
        <v>8215</v>
      </c>
      <c r="G3366" s="257" t="s">
        <v>1657</v>
      </c>
    </row>
    <row r="3367" customHeight="1" spans="4:7">
      <c r="D3367" s="256">
        <v>45013</v>
      </c>
      <c r="E3367" s="257" t="s">
        <v>8193</v>
      </c>
      <c r="F3367" s="257" t="s">
        <v>8216</v>
      </c>
      <c r="G3367" s="257" t="s">
        <v>8217</v>
      </c>
    </row>
    <row r="3368" customHeight="1" spans="4:7">
      <c r="D3368" s="256">
        <v>45013</v>
      </c>
      <c r="E3368" s="257" t="s">
        <v>8193</v>
      </c>
      <c r="F3368" s="257" t="s">
        <v>8218</v>
      </c>
      <c r="G3368" s="257" t="s">
        <v>8219</v>
      </c>
    </row>
    <row r="3369" customHeight="1" spans="4:7">
      <c r="D3369" s="256">
        <v>45013</v>
      </c>
      <c r="E3369" s="257" t="s">
        <v>8193</v>
      </c>
      <c r="F3369" s="257" t="s">
        <v>8220</v>
      </c>
      <c r="G3369" s="257" t="s">
        <v>4613</v>
      </c>
    </row>
    <row r="3370" customHeight="1" spans="4:7">
      <c r="D3370" s="256">
        <v>45013</v>
      </c>
      <c r="E3370" s="257" t="s">
        <v>8193</v>
      </c>
      <c r="F3370" s="257" t="s">
        <v>8221</v>
      </c>
      <c r="G3370" s="257" t="s">
        <v>8222</v>
      </c>
    </row>
    <row r="3371" customHeight="1" spans="4:7">
      <c r="D3371" s="256">
        <v>45013</v>
      </c>
      <c r="E3371" s="257" t="s">
        <v>8193</v>
      </c>
      <c r="F3371" s="257" t="s">
        <v>8223</v>
      </c>
      <c r="G3371" s="257" t="s">
        <v>8224</v>
      </c>
    </row>
    <row r="3372" customHeight="1" spans="4:7">
      <c r="D3372" s="256">
        <v>45013</v>
      </c>
      <c r="E3372" s="257" t="s">
        <v>8193</v>
      </c>
      <c r="F3372" s="257" t="s">
        <v>8225</v>
      </c>
      <c r="G3372" s="257" t="s">
        <v>8226</v>
      </c>
    </row>
    <row r="3373" customHeight="1" spans="4:7">
      <c r="D3373" s="256">
        <v>45013</v>
      </c>
      <c r="E3373" s="257" t="s">
        <v>8193</v>
      </c>
      <c r="F3373" s="257" t="s">
        <v>8227</v>
      </c>
      <c r="G3373" s="257" t="s">
        <v>8228</v>
      </c>
    </row>
    <row r="3374" customHeight="1" spans="4:7">
      <c r="D3374" s="256">
        <v>45013</v>
      </c>
      <c r="E3374" s="257" t="s">
        <v>8193</v>
      </c>
      <c r="F3374" s="257" t="s">
        <v>8229</v>
      </c>
      <c r="G3374" s="257" t="s">
        <v>8230</v>
      </c>
    </row>
    <row r="3375" customHeight="1" spans="4:7">
      <c r="D3375" s="256">
        <v>52022</v>
      </c>
      <c r="E3375" s="257" t="s">
        <v>8231</v>
      </c>
      <c r="F3375" s="257" t="s">
        <v>8232</v>
      </c>
      <c r="G3375" s="257" t="s">
        <v>2626</v>
      </c>
    </row>
    <row r="3376" customHeight="1" spans="4:7">
      <c r="D3376" s="256">
        <v>52022</v>
      </c>
      <c r="E3376" s="257" t="s">
        <v>8231</v>
      </c>
      <c r="F3376" s="257" t="s">
        <v>8233</v>
      </c>
      <c r="G3376" s="257" t="s">
        <v>8234</v>
      </c>
    </row>
    <row r="3377" customHeight="1" spans="4:7">
      <c r="D3377" s="256">
        <v>52022</v>
      </c>
      <c r="E3377" s="257" t="s">
        <v>8231</v>
      </c>
      <c r="F3377" s="257" t="s">
        <v>8235</v>
      </c>
      <c r="G3377" s="257" t="s">
        <v>8236</v>
      </c>
    </row>
    <row r="3378" customHeight="1" spans="4:7">
      <c r="D3378" s="256">
        <v>52022</v>
      </c>
      <c r="E3378" s="257" t="s">
        <v>8231</v>
      </c>
      <c r="F3378" s="257" t="s">
        <v>8237</v>
      </c>
      <c r="G3378" s="257" t="s">
        <v>8238</v>
      </c>
    </row>
    <row r="3379" customHeight="1" spans="4:7">
      <c r="D3379" s="256">
        <v>52022</v>
      </c>
      <c r="E3379" s="257" t="s">
        <v>8231</v>
      </c>
      <c r="F3379" s="257" t="s">
        <v>8239</v>
      </c>
      <c r="G3379" s="257" t="s">
        <v>8240</v>
      </c>
    </row>
    <row r="3380" customHeight="1" spans="4:7">
      <c r="D3380" s="256">
        <v>52022</v>
      </c>
      <c r="E3380" s="257" t="s">
        <v>8231</v>
      </c>
      <c r="F3380" s="257" t="s">
        <v>8241</v>
      </c>
      <c r="G3380" s="257" t="s">
        <v>8242</v>
      </c>
    </row>
    <row r="3381" customHeight="1" spans="4:7">
      <c r="D3381" s="256">
        <v>52022</v>
      </c>
      <c r="E3381" s="257" t="s">
        <v>8231</v>
      </c>
      <c r="F3381" s="257" t="s">
        <v>8243</v>
      </c>
      <c r="G3381" s="257" t="s">
        <v>8244</v>
      </c>
    </row>
    <row r="3382" customHeight="1" spans="4:7">
      <c r="D3382" s="256">
        <v>52022</v>
      </c>
      <c r="E3382" s="257" t="s">
        <v>8231</v>
      </c>
      <c r="F3382" s="257" t="s">
        <v>8245</v>
      </c>
      <c r="G3382" s="257" t="s">
        <v>7149</v>
      </c>
    </row>
    <row r="3383" customHeight="1" spans="4:7">
      <c r="D3383" s="256">
        <v>52022</v>
      </c>
      <c r="E3383" s="257" t="s">
        <v>8231</v>
      </c>
      <c r="F3383" s="257" t="s">
        <v>8246</v>
      </c>
      <c r="G3383" s="257" t="s">
        <v>8247</v>
      </c>
    </row>
    <row r="3384" customHeight="1" spans="4:7">
      <c r="D3384" s="256">
        <v>52022</v>
      </c>
      <c r="E3384" s="257" t="s">
        <v>8231</v>
      </c>
      <c r="F3384" s="257" t="s">
        <v>8248</v>
      </c>
      <c r="G3384" s="257" t="s">
        <v>8249</v>
      </c>
    </row>
    <row r="3385" customHeight="1" spans="4:7">
      <c r="D3385" s="256">
        <v>52022</v>
      </c>
      <c r="E3385" s="257" t="s">
        <v>8231</v>
      </c>
      <c r="F3385" s="257" t="s">
        <v>8250</v>
      </c>
      <c r="G3385" s="257" t="s">
        <v>8251</v>
      </c>
    </row>
    <row r="3386" customHeight="1" spans="4:7">
      <c r="D3386" s="256">
        <v>52022</v>
      </c>
      <c r="E3386" s="257" t="s">
        <v>8231</v>
      </c>
      <c r="F3386" s="257" t="s">
        <v>8252</v>
      </c>
      <c r="G3386" s="257" t="s">
        <v>8253</v>
      </c>
    </row>
    <row r="3387" customHeight="1" spans="4:7">
      <c r="D3387" s="256">
        <v>52022</v>
      </c>
      <c r="E3387" s="257" t="s">
        <v>8231</v>
      </c>
      <c r="F3387" s="257" t="s">
        <v>8254</v>
      </c>
      <c r="G3387" s="257" t="s">
        <v>8255</v>
      </c>
    </row>
    <row r="3388" customHeight="1" spans="4:7">
      <c r="D3388" s="256">
        <v>52022</v>
      </c>
      <c r="E3388" s="257" t="s">
        <v>8231</v>
      </c>
      <c r="F3388" s="257" t="s">
        <v>8256</v>
      </c>
      <c r="G3388" s="257" t="s">
        <v>2644</v>
      </c>
    </row>
    <row r="3389" customHeight="1" spans="4:7">
      <c r="D3389" s="256">
        <v>52022</v>
      </c>
      <c r="E3389" s="257" t="s">
        <v>8231</v>
      </c>
      <c r="F3389" s="257" t="s">
        <v>8257</v>
      </c>
      <c r="G3389" s="257" t="s">
        <v>8258</v>
      </c>
    </row>
    <row r="3390" customHeight="1" spans="4:7">
      <c r="D3390" s="256">
        <v>52022</v>
      </c>
      <c r="E3390" s="257" t="s">
        <v>8231</v>
      </c>
      <c r="F3390" s="257" t="s">
        <v>8259</v>
      </c>
      <c r="G3390" s="257" t="s">
        <v>8260</v>
      </c>
    </row>
    <row r="3391" customHeight="1" spans="4:7">
      <c r="D3391" s="256">
        <v>52022</v>
      </c>
      <c r="E3391" s="257" t="s">
        <v>8231</v>
      </c>
      <c r="F3391" s="257" t="s">
        <v>8261</v>
      </c>
      <c r="G3391" s="257" t="s">
        <v>5522</v>
      </c>
    </row>
    <row r="3392" customHeight="1" spans="4:7">
      <c r="D3392" s="256">
        <v>52022</v>
      </c>
      <c r="E3392" s="257" t="s">
        <v>8231</v>
      </c>
      <c r="F3392" s="257" t="s">
        <v>8262</v>
      </c>
      <c r="G3392" s="257" t="s">
        <v>8263</v>
      </c>
    </row>
    <row r="3393" customHeight="1" spans="4:7">
      <c r="D3393" s="256">
        <v>52022</v>
      </c>
      <c r="E3393" s="257" t="s">
        <v>8231</v>
      </c>
      <c r="F3393" s="257" t="s">
        <v>8264</v>
      </c>
      <c r="G3393" s="257" t="s">
        <v>8265</v>
      </c>
    </row>
    <row r="3394" customHeight="1" spans="4:7">
      <c r="D3394" s="256">
        <v>52022</v>
      </c>
      <c r="E3394" s="257" t="s">
        <v>8231</v>
      </c>
      <c r="F3394" s="257" t="s">
        <v>8266</v>
      </c>
      <c r="G3394" s="257" t="s">
        <v>8267</v>
      </c>
    </row>
    <row r="3395" customHeight="1" spans="4:7">
      <c r="D3395" s="256">
        <v>52022</v>
      </c>
      <c r="E3395" s="257" t="s">
        <v>8231</v>
      </c>
      <c r="F3395" s="257" t="s">
        <v>8268</v>
      </c>
      <c r="G3395" s="257" t="s">
        <v>8269</v>
      </c>
    </row>
    <row r="3396" customHeight="1" spans="4:7">
      <c r="D3396" s="256">
        <v>52022</v>
      </c>
      <c r="E3396" s="257" t="s">
        <v>8231</v>
      </c>
      <c r="F3396" s="257" t="s">
        <v>8270</v>
      </c>
      <c r="G3396" s="257" t="s">
        <v>8271</v>
      </c>
    </row>
    <row r="3397" customHeight="1" spans="4:7">
      <c r="D3397" s="256">
        <v>52022</v>
      </c>
      <c r="E3397" s="257" t="s">
        <v>8231</v>
      </c>
      <c r="F3397" s="257" t="s">
        <v>8272</v>
      </c>
      <c r="G3397" s="257" t="s">
        <v>8273</v>
      </c>
    </row>
    <row r="3398" customHeight="1" spans="4:7">
      <c r="D3398" s="256">
        <v>52022</v>
      </c>
      <c r="E3398" s="257" t="s">
        <v>8231</v>
      </c>
      <c r="F3398" s="257" t="s">
        <v>8274</v>
      </c>
      <c r="G3398" s="257" t="s">
        <v>8275</v>
      </c>
    </row>
    <row r="3399" customHeight="1" spans="4:7">
      <c r="D3399" s="256">
        <v>52022</v>
      </c>
      <c r="E3399" s="257" t="s">
        <v>8231</v>
      </c>
      <c r="F3399" s="257" t="s">
        <v>8276</v>
      </c>
      <c r="G3399" s="257" t="s">
        <v>8277</v>
      </c>
    </row>
    <row r="3400" customHeight="1" spans="4:7">
      <c r="D3400" s="256">
        <v>52022</v>
      </c>
      <c r="E3400" s="257" t="s">
        <v>8231</v>
      </c>
      <c r="F3400" s="257" t="s">
        <v>8278</v>
      </c>
      <c r="G3400" s="257" t="s">
        <v>8279</v>
      </c>
    </row>
    <row r="3401" customHeight="1" spans="4:7">
      <c r="D3401" s="256">
        <v>52022</v>
      </c>
      <c r="E3401" s="257" t="s">
        <v>8231</v>
      </c>
      <c r="F3401" s="257" t="s">
        <v>8280</v>
      </c>
      <c r="G3401" s="257" t="s">
        <v>8281</v>
      </c>
    </row>
    <row r="3402" customHeight="1" spans="4:7">
      <c r="D3402" s="256">
        <v>52022</v>
      </c>
      <c r="E3402" s="257" t="s">
        <v>8231</v>
      </c>
      <c r="F3402" s="257" t="s">
        <v>8282</v>
      </c>
      <c r="G3402" s="257" t="s">
        <v>8283</v>
      </c>
    </row>
    <row r="3403" customHeight="1" spans="4:7">
      <c r="D3403" s="256">
        <v>52022</v>
      </c>
      <c r="E3403" s="257" t="s">
        <v>8231</v>
      </c>
      <c r="F3403" s="257" t="s">
        <v>8284</v>
      </c>
      <c r="G3403" s="257" t="s">
        <v>8285</v>
      </c>
    </row>
    <row r="3404" customHeight="1" spans="4:7">
      <c r="D3404" s="256">
        <v>52022</v>
      </c>
      <c r="E3404" s="257" t="s">
        <v>8231</v>
      </c>
      <c r="F3404" s="257" t="s">
        <v>8286</v>
      </c>
      <c r="G3404" s="257" t="s">
        <v>8287</v>
      </c>
    </row>
    <row r="3405" customHeight="1" spans="4:7">
      <c r="D3405" s="256">
        <v>52022</v>
      </c>
      <c r="E3405" s="257" t="s">
        <v>8231</v>
      </c>
      <c r="F3405" s="257" t="s">
        <v>8288</v>
      </c>
      <c r="G3405" s="257" t="s">
        <v>8289</v>
      </c>
    </row>
    <row r="3406" customHeight="1" spans="4:7">
      <c r="D3406" s="256">
        <v>52022</v>
      </c>
      <c r="E3406" s="257" t="s">
        <v>8231</v>
      </c>
      <c r="F3406" s="257" t="s">
        <v>8290</v>
      </c>
      <c r="G3406" s="257" t="s">
        <v>2613</v>
      </c>
    </row>
    <row r="3407" customHeight="1" spans="4:7">
      <c r="D3407" s="256">
        <v>52022</v>
      </c>
      <c r="E3407" s="257" t="s">
        <v>8231</v>
      </c>
      <c r="F3407" s="257" t="s">
        <v>8291</v>
      </c>
      <c r="G3407" s="257" t="s">
        <v>8292</v>
      </c>
    </row>
    <row r="3408" customHeight="1" spans="4:7">
      <c r="D3408" s="256">
        <v>52022</v>
      </c>
      <c r="E3408" s="257" t="s">
        <v>8231</v>
      </c>
      <c r="F3408" s="257" t="s">
        <v>8293</v>
      </c>
      <c r="G3408" s="257" t="s">
        <v>2161</v>
      </c>
    </row>
    <row r="3409" customHeight="1" spans="4:7">
      <c r="D3409" s="256">
        <v>52022</v>
      </c>
      <c r="E3409" s="257" t="s">
        <v>8231</v>
      </c>
      <c r="F3409" s="257" t="s">
        <v>8294</v>
      </c>
      <c r="G3409" s="257" t="s">
        <v>8119</v>
      </c>
    </row>
    <row r="3410" customHeight="1" spans="4:7">
      <c r="D3410" s="256">
        <v>52022</v>
      </c>
      <c r="E3410" s="257" t="s">
        <v>8231</v>
      </c>
      <c r="F3410" s="257" t="s">
        <v>8295</v>
      </c>
      <c r="G3410" s="257" t="s">
        <v>8296</v>
      </c>
    </row>
    <row r="3411" customHeight="1" spans="4:7">
      <c r="D3411" s="256">
        <v>52022</v>
      </c>
      <c r="E3411" s="257" t="s">
        <v>8231</v>
      </c>
      <c r="F3411" s="257" t="s">
        <v>8297</v>
      </c>
      <c r="G3411" s="257" t="s">
        <v>8298</v>
      </c>
    </row>
    <row r="3412" customHeight="1" spans="4:7">
      <c r="D3412" s="256">
        <v>52022</v>
      </c>
      <c r="E3412" s="257" t="s">
        <v>8231</v>
      </c>
      <c r="F3412" s="257" t="s">
        <v>8299</v>
      </c>
      <c r="G3412" s="257" t="s">
        <v>8300</v>
      </c>
    </row>
    <row r="3413" customHeight="1" spans="4:7">
      <c r="D3413" s="256">
        <v>52022</v>
      </c>
      <c r="E3413" s="257" t="s">
        <v>8231</v>
      </c>
      <c r="F3413" s="257" t="s">
        <v>8301</v>
      </c>
      <c r="G3413" s="257" t="s">
        <v>8302</v>
      </c>
    </row>
    <row r="3414" customHeight="1" spans="4:7">
      <c r="D3414" s="256">
        <v>52022</v>
      </c>
      <c r="E3414" s="257" t="s">
        <v>8231</v>
      </c>
      <c r="F3414" s="257" t="s">
        <v>8303</v>
      </c>
      <c r="G3414" s="257" t="s">
        <v>8304</v>
      </c>
    </row>
    <row r="3415" customHeight="1" spans="4:7">
      <c r="D3415" s="256">
        <v>52022</v>
      </c>
      <c r="E3415" s="257" t="s">
        <v>8231</v>
      </c>
      <c r="F3415" s="257" t="s">
        <v>8305</v>
      </c>
      <c r="G3415" s="257" t="s">
        <v>8306</v>
      </c>
    </row>
    <row r="3416" customHeight="1" spans="4:7">
      <c r="D3416" s="256">
        <v>52022</v>
      </c>
      <c r="E3416" s="257" t="s">
        <v>8231</v>
      </c>
      <c r="F3416" s="257" t="s">
        <v>8307</v>
      </c>
      <c r="G3416" s="257" t="s">
        <v>8308</v>
      </c>
    </row>
    <row r="3417" customHeight="1" spans="4:7">
      <c r="D3417" s="256">
        <v>100004</v>
      </c>
      <c r="E3417" s="257" t="s">
        <v>8309</v>
      </c>
      <c r="F3417" s="257" t="s">
        <v>8310</v>
      </c>
      <c r="G3417" s="257" t="s">
        <v>8311</v>
      </c>
    </row>
    <row r="3418" customHeight="1" spans="4:7">
      <c r="D3418" s="256">
        <v>100004</v>
      </c>
      <c r="E3418" s="257" t="s">
        <v>8309</v>
      </c>
      <c r="F3418" s="257" t="s">
        <v>8312</v>
      </c>
      <c r="G3418" s="257" t="s">
        <v>8313</v>
      </c>
    </row>
    <row r="3419" customHeight="1" spans="4:7">
      <c r="D3419" s="256">
        <v>100004</v>
      </c>
      <c r="E3419" s="257" t="s">
        <v>8309</v>
      </c>
      <c r="F3419" s="257" t="s">
        <v>8314</v>
      </c>
      <c r="G3419" s="257" t="s">
        <v>3702</v>
      </c>
    </row>
    <row r="3420" customHeight="1" spans="4:7">
      <c r="D3420" s="256">
        <v>100004</v>
      </c>
      <c r="E3420" s="257" t="s">
        <v>8309</v>
      </c>
      <c r="F3420" s="257" t="s">
        <v>8315</v>
      </c>
      <c r="G3420" s="257" t="s">
        <v>8316</v>
      </c>
    </row>
    <row r="3421" customHeight="1" spans="4:7">
      <c r="D3421" s="256">
        <v>100004</v>
      </c>
      <c r="E3421" s="257" t="s">
        <v>8309</v>
      </c>
      <c r="F3421" s="257" t="s">
        <v>8317</v>
      </c>
      <c r="G3421" s="257" t="s">
        <v>8318</v>
      </c>
    </row>
    <row r="3422" customHeight="1" spans="4:7">
      <c r="D3422" s="256">
        <v>100004</v>
      </c>
      <c r="E3422" s="257" t="s">
        <v>8309</v>
      </c>
      <c r="F3422" s="257" t="s">
        <v>8319</v>
      </c>
      <c r="G3422" s="257" t="s">
        <v>8320</v>
      </c>
    </row>
    <row r="3423" customHeight="1" spans="4:7">
      <c r="D3423" s="256">
        <v>50027</v>
      </c>
      <c r="E3423" s="257" t="s">
        <v>8321</v>
      </c>
      <c r="F3423" s="257" t="s">
        <v>8322</v>
      </c>
      <c r="G3423" s="257" t="s">
        <v>8323</v>
      </c>
    </row>
    <row r="3424" customHeight="1" spans="4:7">
      <c r="D3424" s="256">
        <v>50027</v>
      </c>
      <c r="E3424" s="257" t="s">
        <v>8321</v>
      </c>
      <c r="F3424" s="257" t="s">
        <v>8324</v>
      </c>
      <c r="G3424" s="257" t="s">
        <v>8325</v>
      </c>
    </row>
    <row r="3425" customHeight="1" spans="4:7">
      <c r="D3425" s="256">
        <v>50027</v>
      </c>
      <c r="E3425" s="257" t="s">
        <v>8321</v>
      </c>
      <c r="F3425" s="257" t="s">
        <v>8326</v>
      </c>
      <c r="G3425" s="257" t="s">
        <v>8327</v>
      </c>
    </row>
    <row r="3426" customHeight="1" spans="4:7">
      <c r="D3426" s="256">
        <v>50027</v>
      </c>
      <c r="E3426" s="257" t="s">
        <v>8321</v>
      </c>
      <c r="F3426" s="257" t="s">
        <v>8328</v>
      </c>
      <c r="G3426" s="257" t="s">
        <v>8329</v>
      </c>
    </row>
    <row r="3427" customHeight="1" spans="4:7">
      <c r="D3427" s="256">
        <v>50027</v>
      </c>
      <c r="E3427" s="257" t="s">
        <v>8321</v>
      </c>
      <c r="F3427" s="257" t="s">
        <v>8330</v>
      </c>
      <c r="G3427" s="257" t="s">
        <v>7487</v>
      </c>
    </row>
    <row r="3428" customHeight="1" spans="4:7">
      <c r="D3428" s="256">
        <v>50027</v>
      </c>
      <c r="E3428" s="257" t="s">
        <v>8321</v>
      </c>
      <c r="F3428" s="257" t="s">
        <v>8331</v>
      </c>
      <c r="G3428" s="257" t="s">
        <v>8332</v>
      </c>
    </row>
    <row r="3429" customHeight="1" spans="4:7">
      <c r="D3429" s="256">
        <v>50027</v>
      </c>
      <c r="E3429" s="257" t="s">
        <v>8321</v>
      </c>
      <c r="F3429" s="257" t="s">
        <v>8333</v>
      </c>
      <c r="G3429" s="257" t="s">
        <v>8334</v>
      </c>
    </row>
    <row r="3430" customHeight="1" spans="4:7">
      <c r="D3430" s="256">
        <v>50027</v>
      </c>
      <c r="E3430" s="257" t="s">
        <v>8321</v>
      </c>
      <c r="F3430" s="257" t="s">
        <v>8335</v>
      </c>
      <c r="G3430" s="257" t="s">
        <v>8336</v>
      </c>
    </row>
    <row r="3431" customHeight="1" spans="4:7">
      <c r="D3431" s="256">
        <v>50027</v>
      </c>
      <c r="E3431" s="257" t="s">
        <v>8321</v>
      </c>
      <c r="F3431" s="257" t="s">
        <v>8337</v>
      </c>
      <c r="G3431" s="257" t="s">
        <v>8338</v>
      </c>
    </row>
    <row r="3432" customHeight="1" spans="4:7">
      <c r="D3432" s="256">
        <v>50027</v>
      </c>
      <c r="E3432" s="257" t="s">
        <v>8321</v>
      </c>
      <c r="F3432" s="257" t="s">
        <v>8339</v>
      </c>
      <c r="G3432" s="257" t="s">
        <v>7905</v>
      </c>
    </row>
    <row r="3433" customHeight="1" spans="4:7">
      <c r="D3433" s="256">
        <v>50027</v>
      </c>
      <c r="E3433" s="257" t="s">
        <v>8321</v>
      </c>
      <c r="F3433" s="257" t="s">
        <v>8340</v>
      </c>
      <c r="G3433" s="257" t="s">
        <v>8341</v>
      </c>
    </row>
    <row r="3434" customHeight="1" spans="4:7">
      <c r="D3434" s="256">
        <v>50027</v>
      </c>
      <c r="E3434" s="257" t="s">
        <v>8321</v>
      </c>
      <c r="F3434" s="257" t="s">
        <v>8342</v>
      </c>
      <c r="G3434" s="257" t="s">
        <v>7075</v>
      </c>
    </row>
    <row r="3435" customHeight="1" spans="4:7">
      <c r="D3435" s="256">
        <v>50027</v>
      </c>
      <c r="E3435" s="257" t="s">
        <v>8321</v>
      </c>
      <c r="F3435" s="257" t="s">
        <v>8343</v>
      </c>
      <c r="G3435" s="257" t="s">
        <v>8344</v>
      </c>
    </row>
    <row r="3436" customHeight="1" spans="4:7">
      <c r="D3436" s="256">
        <v>50027</v>
      </c>
      <c r="E3436" s="257" t="s">
        <v>8321</v>
      </c>
      <c r="F3436" s="257" t="s">
        <v>8345</v>
      </c>
      <c r="G3436" s="257" t="s">
        <v>8346</v>
      </c>
    </row>
    <row r="3437" customHeight="1" spans="4:7">
      <c r="D3437" s="256">
        <v>50027</v>
      </c>
      <c r="E3437" s="257" t="s">
        <v>8321</v>
      </c>
      <c r="F3437" s="257" t="s">
        <v>8347</v>
      </c>
      <c r="G3437" s="257" t="s">
        <v>8348</v>
      </c>
    </row>
    <row r="3438" customHeight="1" spans="4:7">
      <c r="D3438" s="256">
        <v>50028</v>
      </c>
      <c r="E3438" s="257" t="s">
        <v>8349</v>
      </c>
      <c r="F3438" s="257" t="s">
        <v>8350</v>
      </c>
      <c r="G3438" s="257" t="s">
        <v>8351</v>
      </c>
    </row>
    <row r="3439" customHeight="1" spans="4:7">
      <c r="D3439" s="256">
        <v>50028</v>
      </c>
      <c r="E3439" s="257" t="s">
        <v>8349</v>
      </c>
      <c r="F3439" s="257" t="s">
        <v>8352</v>
      </c>
      <c r="G3439" s="257" t="s">
        <v>8353</v>
      </c>
    </row>
    <row r="3440" customHeight="1" spans="4:7">
      <c r="D3440" s="256">
        <v>50028</v>
      </c>
      <c r="E3440" s="257" t="s">
        <v>8349</v>
      </c>
      <c r="F3440" s="257" t="s">
        <v>8354</v>
      </c>
      <c r="G3440" s="257" t="s">
        <v>8355</v>
      </c>
    </row>
    <row r="3441" customHeight="1" spans="4:7">
      <c r="D3441" s="256">
        <v>48033</v>
      </c>
      <c r="E3441" s="257" t="s">
        <v>8356</v>
      </c>
      <c r="F3441" s="257" t="s">
        <v>8357</v>
      </c>
      <c r="G3441" s="257" t="s">
        <v>8358</v>
      </c>
    </row>
    <row r="3442" customHeight="1" spans="4:7">
      <c r="D3442" s="256">
        <v>48033</v>
      </c>
      <c r="E3442" s="257" t="s">
        <v>8356</v>
      </c>
      <c r="F3442" s="257" t="s">
        <v>8359</v>
      </c>
      <c r="G3442" s="257" t="s">
        <v>8360</v>
      </c>
    </row>
    <row r="3443" customHeight="1" spans="4:7">
      <c r="D3443" s="256">
        <v>48033</v>
      </c>
      <c r="E3443" s="257" t="s">
        <v>8356</v>
      </c>
      <c r="F3443" s="257" t="s">
        <v>8361</v>
      </c>
      <c r="G3443" s="257" t="s">
        <v>8362</v>
      </c>
    </row>
    <row r="3444" customHeight="1" spans="4:7">
      <c r="D3444" s="256">
        <v>48033</v>
      </c>
      <c r="E3444" s="257" t="s">
        <v>8356</v>
      </c>
      <c r="F3444" s="257" t="s">
        <v>8363</v>
      </c>
      <c r="G3444" s="257" t="s">
        <v>8364</v>
      </c>
    </row>
    <row r="3445" customHeight="1" spans="4:7">
      <c r="D3445" s="256">
        <v>48033</v>
      </c>
      <c r="E3445" s="257" t="s">
        <v>8356</v>
      </c>
      <c r="F3445" s="257" t="s">
        <v>8365</v>
      </c>
      <c r="G3445" s="257" t="s">
        <v>3567</v>
      </c>
    </row>
    <row r="3446" customHeight="1" spans="4:7">
      <c r="D3446" s="256">
        <v>48033</v>
      </c>
      <c r="E3446" s="257" t="s">
        <v>8356</v>
      </c>
      <c r="F3446" s="257" t="s">
        <v>8366</v>
      </c>
      <c r="G3446" s="257" t="s">
        <v>2888</v>
      </c>
    </row>
    <row r="3447" customHeight="1" spans="4:7">
      <c r="D3447" s="256">
        <v>48033</v>
      </c>
      <c r="E3447" s="257" t="s">
        <v>8356</v>
      </c>
      <c r="F3447" s="257" t="s">
        <v>8367</v>
      </c>
      <c r="G3447" s="257" t="s">
        <v>8368</v>
      </c>
    </row>
    <row r="3448" customHeight="1" spans="4:7">
      <c r="D3448" s="256">
        <v>48033</v>
      </c>
      <c r="E3448" s="257" t="s">
        <v>8356</v>
      </c>
      <c r="F3448" s="257" t="s">
        <v>8369</v>
      </c>
      <c r="G3448" s="257" t="s">
        <v>8370</v>
      </c>
    </row>
    <row r="3449" customHeight="1" spans="4:7">
      <c r="D3449" s="256">
        <v>48033</v>
      </c>
      <c r="E3449" s="257" t="s">
        <v>8356</v>
      </c>
      <c r="F3449" s="257" t="s">
        <v>8371</v>
      </c>
      <c r="G3449" s="257" t="s">
        <v>8372</v>
      </c>
    </row>
    <row r="3450" customHeight="1" spans="4:7">
      <c r="D3450" s="256">
        <v>48033</v>
      </c>
      <c r="E3450" s="257" t="s">
        <v>8356</v>
      </c>
      <c r="F3450" s="257" t="s">
        <v>8373</v>
      </c>
      <c r="G3450" s="257" t="s">
        <v>8374</v>
      </c>
    </row>
    <row r="3451" customHeight="1" spans="4:7">
      <c r="D3451" s="256">
        <v>48033</v>
      </c>
      <c r="E3451" s="257" t="s">
        <v>8356</v>
      </c>
      <c r="F3451" s="257" t="s">
        <v>8375</v>
      </c>
      <c r="G3451" s="257" t="s">
        <v>8376</v>
      </c>
    </row>
    <row r="3452" customHeight="1" spans="4:7">
      <c r="D3452" s="256">
        <v>48033</v>
      </c>
      <c r="E3452" s="257" t="s">
        <v>8356</v>
      </c>
      <c r="F3452" s="257" t="s">
        <v>8377</v>
      </c>
      <c r="G3452" s="257" t="s">
        <v>8378</v>
      </c>
    </row>
    <row r="3453" customHeight="1" spans="4:7">
      <c r="D3453" s="256">
        <v>48033</v>
      </c>
      <c r="E3453" s="257" t="s">
        <v>8356</v>
      </c>
      <c r="F3453" s="257" t="s">
        <v>8379</v>
      </c>
      <c r="G3453" s="257" t="s">
        <v>8380</v>
      </c>
    </row>
    <row r="3454" customHeight="1" spans="4:7">
      <c r="D3454" s="256">
        <v>48033</v>
      </c>
      <c r="E3454" s="257" t="s">
        <v>8356</v>
      </c>
      <c r="F3454" s="257" t="s">
        <v>8381</v>
      </c>
      <c r="G3454" s="257" t="s">
        <v>8382</v>
      </c>
    </row>
    <row r="3455" customHeight="1" spans="4:7">
      <c r="D3455" s="256">
        <v>48033</v>
      </c>
      <c r="E3455" s="257" t="s">
        <v>8356</v>
      </c>
      <c r="F3455" s="257" t="s">
        <v>8383</v>
      </c>
      <c r="G3455" s="257" t="s">
        <v>8384</v>
      </c>
    </row>
    <row r="3456" customHeight="1" spans="4:7">
      <c r="D3456" s="256">
        <v>48033</v>
      </c>
      <c r="E3456" s="257" t="s">
        <v>8356</v>
      </c>
      <c r="F3456" s="257" t="s">
        <v>8385</v>
      </c>
      <c r="G3456" s="257" t="s">
        <v>8386</v>
      </c>
    </row>
    <row r="3457" customHeight="1" spans="4:7">
      <c r="D3457" s="256">
        <v>48033</v>
      </c>
      <c r="E3457" s="257" t="s">
        <v>8356</v>
      </c>
      <c r="F3457" s="257" t="s">
        <v>8387</v>
      </c>
      <c r="G3457" s="257" t="s">
        <v>2161</v>
      </c>
    </row>
    <row r="3458" customHeight="1" spans="4:7">
      <c r="D3458" s="256">
        <v>48033</v>
      </c>
      <c r="E3458" s="257" t="s">
        <v>8356</v>
      </c>
      <c r="F3458" s="257" t="s">
        <v>8388</v>
      </c>
      <c r="G3458" s="257" t="s">
        <v>8389</v>
      </c>
    </row>
    <row r="3459" customHeight="1" spans="4:7">
      <c r="D3459" s="256">
        <v>48033</v>
      </c>
      <c r="E3459" s="257" t="s">
        <v>8356</v>
      </c>
      <c r="F3459" s="257" t="s">
        <v>8390</v>
      </c>
      <c r="G3459" s="257" t="s">
        <v>8391</v>
      </c>
    </row>
    <row r="3460" customHeight="1" spans="4:7">
      <c r="D3460" s="256">
        <v>48033</v>
      </c>
      <c r="E3460" s="257" t="s">
        <v>8356</v>
      </c>
      <c r="F3460" s="257" t="s">
        <v>8392</v>
      </c>
      <c r="G3460" s="257" t="s">
        <v>8393</v>
      </c>
    </row>
    <row r="3461" customHeight="1" spans="4:7">
      <c r="D3461" s="256">
        <v>48033</v>
      </c>
      <c r="E3461" s="257" t="s">
        <v>8356</v>
      </c>
      <c r="F3461" s="257" t="s">
        <v>8394</v>
      </c>
      <c r="G3461" s="257" t="s">
        <v>2437</v>
      </c>
    </row>
    <row r="3462" customHeight="1" spans="4:7">
      <c r="D3462" s="256">
        <v>48033</v>
      </c>
      <c r="E3462" s="257" t="s">
        <v>8356</v>
      </c>
      <c r="F3462" s="257" t="s">
        <v>8395</v>
      </c>
      <c r="G3462" s="257" t="s">
        <v>8396</v>
      </c>
    </row>
    <row r="3463" customHeight="1" spans="4:7">
      <c r="D3463" s="256">
        <v>47016</v>
      </c>
      <c r="E3463" s="257" t="s">
        <v>8397</v>
      </c>
      <c r="F3463" s="257" t="s">
        <v>8398</v>
      </c>
      <c r="G3463" s="257" t="s">
        <v>8399</v>
      </c>
    </row>
    <row r="3464" customHeight="1" spans="4:7">
      <c r="D3464" s="256">
        <v>47016</v>
      </c>
      <c r="E3464" s="257" t="s">
        <v>8397</v>
      </c>
      <c r="F3464" s="257" t="s">
        <v>8400</v>
      </c>
      <c r="G3464" s="257" t="s">
        <v>8401</v>
      </c>
    </row>
    <row r="3465" customHeight="1" spans="4:7">
      <c r="D3465" s="256">
        <v>47016</v>
      </c>
      <c r="E3465" s="257" t="s">
        <v>8397</v>
      </c>
      <c r="F3465" s="257" t="s">
        <v>8402</v>
      </c>
      <c r="G3465" s="257" t="s">
        <v>8403</v>
      </c>
    </row>
    <row r="3466" customHeight="1" spans="4:7">
      <c r="D3466" s="256">
        <v>47016</v>
      </c>
      <c r="E3466" s="257" t="s">
        <v>8397</v>
      </c>
      <c r="F3466" s="257" t="s">
        <v>8404</v>
      </c>
      <c r="G3466" s="257" t="s">
        <v>4181</v>
      </c>
    </row>
    <row r="3467" customHeight="1" spans="4:7">
      <c r="D3467" s="256">
        <v>47016</v>
      </c>
      <c r="E3467" s="257" t="s">
        <v>8397</v>
      </c>
      <c r="F3467" s="257" t="s">
        <v>8405</v>
      </c>
      <c r="G3467" s="257" t="s">
        <v>8406</v>
      </c>
    </row>
    <row r="3468" customHeight="1" spans="4:7">
      <c r="D3468" s="256">
        <v>47016</v>
      </c>
      <c r="E3468" s="257" t="s">
        <v>8397</v>
      </c>
      <c r="F3468" s="257" t="s">
        <v>8407</v>
      </c>
      <c r="G3468" s="257" t="s">
        <v>8408</v>
      </c>
    </row>
    <row r="3469" customHeight="1" spans="4:7">
      <c r="D3469" s="256">
        <v>47016</v>
      </c>
      <c r="E3469" s="257" t="s">
        <v>8397</v>
      </c>
      <c r="F3469" s="257" t="s">
        <v>8409</v>
      </c>
      <c r="G3469" s="257" t="s">
        <v>8410</v>
      </c>
    </row>
    <row r="3470" customHeight="1" spans="4:7">
      <c r="D3470" s="256">
        <v>47016</v>
      </c>
      <c r="E3470" s="257" t="s">
        <v>8397</v>
      </c>
      <c r="F3470" s="257" t="s">
        <v>8411</v>
      </c>
      <c r="G3470" s="257" t="s">
        <v>8412</v>
      </c>
    </row>
    <row r="3471" customHeight="1" spans="4:7">
      <c r="D3471" s="256">
        <v>47016</v>
      </c>
      <c r="E3471" s="257" t="s">
        <v>8397</v>
      </c>
      <c r="F3471" s="257" t="s">
        <v>8413</v>
      </c>
      <c r="G3471" s="257" t="s">
        <v>8414</v>
      </c>
    </row>
    <row r="3472" customHeight="1" spans="4:7">
      <c r="D3472" s="256">
        <v>47016</v>
      </c>
      <c r="E3472" s="257" t="s">
        <v>8397</v>
      </c>
      <c r="F3472" s="257" t="s">
        <v>8415</v>
      </c>
      <c r="G3472" s="257" t="s">
        <v>8416</v>
      </c>
    </row>
    <row r="3473" customHeight="1" spans="4:7">
      <c r="D3473" s="256">
        <v>47016</v>
      </c>
      <c r="E3473" s="257" t="s">
        <v>8397</v>
      </c>
      <c r="F3473" s="257" t="s">
        <v>8417</v>
      </c>
      <c r="G3473" s="257" t="s">
        <v>8418</v>
      </c>
    </row>
    <row r="3474" customHeight="1" spans="4:7">
      <c r="D3474" s="256">
        <v>47016</v>
      </c>
      <c r="E3474" s="257" t="s">
        <v>8397</v>
      </c>
      <c r="F3474" s="257" t="s">
        <v>8419</v>
      </c>
      <c r="G3474" s="257" t="s">
        <v>8420</v>
      </c>
    </row>
    <row r="3475" customHeight="1" spans="4:7">
      <c r="D3475" s="256">
        <v>47016</v>
      </c>
      <c r="E3475" s="257" t="s">
        <v>8397</v>
      </c>
      <c r="F3475" s="257" t="s">
        <v>8421</v>
      </c>
      <c r="G3475" s="257" t="s">
        <v>5942</v>
      </c>
    </row>
    <row r="3476" customHeight="1" spans="4:7">
      <c r="D3476" s="256">
        <v>47016</v>
      </c>
      <c r="E3476" s="257" t="s">
        <v>8397</v>
      </c>
      <c r="F3476" s="257" t="s">
        <v>8422</v>
      </c>
      <c r="G3476" s="257" t="s">
        <v>8423</v>
      </c>
    </row>
    <row r="3477" customHeight="1" spans="4:7">
      <c r="D3477" s="256">
        <v>47016</v>
      </c>
      <c r="E3477" s="257" t="s">
        <v>8397</v>
      </c>
      <c r="F3477" s="257" t="s">
        <v>8424</v>
      </c>
      <c r="G3477" s="257" t="s">
        <v>8425</v>
      </c>
    </row>
    <row r="3478" customHeight="1" spans="4:7">
      <c r="D3478" s="256">
        <v>47016</v>
      </c>
      <c r="E3478" s="257" t="s">
        <v>8397</v>
      </c>
      <c r="F3478" s="257" t="s">
        <v>8426</v>
      </c>
      <c r="G3478" s="257" t="s">
        <v>3916</v>
      </c>
    </row>
    <row r="3479" customHeight="1" spans="4:7">
      <c r="D3479" s="256">
        <v>47016</v>
      </c>
      <c r="E3479" s="257" t="s">
        <v>8397</v>
      </c>
      <c r="F3479" s="257" t="s">
        <v>8427</v>
      </c>
      <c r="G3479" s="257" t="s">
        <v>8428</v>
      </c>
    </row>
    <row r="3480" customHeight="1" spans="4:7">
      <c r="D3480" s="256">
        <v>47016</v>
      </c>
      <c r="E3480" s="257" t="s">
        <v>8397</v>
      </c>
      <c r="F3480" s="257" t="s">
        <v>8429</v>
      </c>
      <c r="G3480" s="257" t="s">
        <v>3085</v>
      </c>
    </row>
    <row r="3481" customHeight="1" spans="4:7">
      <c r="D3481" s="256">
        <v>47016</v>
      </c>
      <c r="E3481" s="257" t="s">
        <v>8397</v>
      </c>
      <c r="F3481" s="257" t="s">
        <v>8430</v>
      </c>
      <c r="G3481" s="257" t="s">
        <v>8431</v>
      </c>
    </row>
    <row r="3482" customHeight="1" spans="4:7">
      <c r="D3482" s="256">
        <v>47016</v>
      </c>
      <c r="E3482" s="257" t="s">
        <v>8397</v>
      </c>
      <c r="F3482" s="257" t="s">
        <v>8432</v>
      </c>
      <c r="G3482" s="257" t="s">
        <v>8433</v>
      </c>
    </row>
    <row r="3483" customHeight="1" spans="4:7">
      <c r="D3483" s="256">
        <v>47016</v>
      </c>
      <c r="E3483" s="257" t="s">
        <v>8397</v>
      </c>
      <c r="F3483" s="257" t="s">
        <v>8434</v>
      </c>
      <c r="G3483" s="257" t="s">
        <v>8435</v>
      </c>
    </row>
    <row r="3484" customHeight="1" spans="4:7">
      <c r="D3484" s="256">
        <v>47016</v>
      </c>
      <c r="E3484" s="257" t="s">
        <v>8397</v>
      </c>
      <c r="F3484" s="257" t="s">
        <v>8436</v>
      </c>
      <c r="G3484" s="257" t="s">
        <v>8437</v>
      </c>
    </row>
    <row r="3485" customHeight="1" spans="4:7">
      <c r="D3485" s="256">
        <v>47016</v>
      </c>
      <c r="E3485" s="257" t="s">
        <v>8397</v>
      </c>
      <c r="F3485" s="257" t="s">
        <v>8438</v>
      </c>
      <c r="G3485" s="257" t="s">
        <v>8439</v>
      </c>
    </row>
    <row r="3486" customHeight="1" spans="4:7">
      <c r="D3486" s="256">
        <v>47016</v>
      </c>
      <c r="E3486" s="257" t="s">
        <v>8397</v>
      </c>
      <c r="F3486" s="257" t="s">
        <v>8440</v>
      </c>
      <c r="G3486" s="257" t="s">
        <v>3210</v>
      </c>
    </row>
    <row r="3487" customHeight="1" spans="4:7">
      <c r="D3487" s="256">
        <v>47016</v>
      </c>
      <c r="E3487" s="257" t="s">
        <v>8397</v>
      </c>
      <c r="F3487" s="257" t="s">
        <v>8441</v>
      </c>
      <c r="G3487" s="257" t="s">
        <v>8442</v>
      </c>
    </row>
    <row r="3488" customHeight="1" spans="4:7">
      <c r="D3488" s="256">
        <v>47016</v>
      </c>
      <c r="E3488" s="257" t="s">
        <v>8397</v>
      </c>
      <c r="F3488" s="257" t="s">
        <v>8443</v>
      </c>
      <c r="G3488" s="257" t="s">
        <v>8444</v>
      </c>
    </row>
    <row r="3489" customHeight="1" spans="4:7">
      <c r="D3489" s="256">
        <v>47016</v>
      </c>
      <c r="E3489" s="257" t="s">
        <v>8397</v>
      </c>
      <c r="F3489" s="257" t="s">
        <v>8445</v>
      </c>
      <c r="G3489" s="257" t="s">
        <v>8446</v>
      </c>
    </row>
    <row r="3490" customHeight="1" spans="4:7">
      <c r="D3490" s="256">
        <v>47016</v>
      </c>
      <c r="E3490" s="257" t="s">
        <v>8397</v>
      </c>
      <c r="F3490" s="257" t="s">
        <v>8447</v>
      </c>
      <c r="G3490" s="257" t="s">
        <v>8448</v>
      </c>
    </row>
    <row r="3491" customHeight="1" spans="4:7">
      <c r="D3491" s="256">
        <v>47016</v>
      </c>
      <c r="E3491" s="257" t="s">
        <v>8397</v>
      </c>
      <c r="F3491" s="257" t="s">
        <v>8449</v>
      </c>
      <c r="G3491" s="257" t="s">
        <v>8450</v>
      </c>
    </row>
    <row r="3492" customHeight="1" spans="4:7">
      <c r="D3492" s="256">
        <v>47016</v>
      </c>
      <c r="E3492" s="257" t="s">
        <v>8397</v>
      </c>
      <c r="F3492" s="257" t="s">
        <v>8451</v>
      </c>
      <c r="G3492" s="257" t="s">
        <v>8452</v>
      </c>
    </row>
    <row r="3493" customHeight="1" spans="4:7">
      <c r="D3493" s="256">
        <v>50029</v>
      </c>
      <c r="E3493" s="257" t="s">
        <v>8453</v>
      </c>
      <c r="F3493" s="257" t="s">
        <v>8454</v>
      </c>
      <c r="G3493" s="257" t="s">
        <v>8455</v>
      </c>
    </row>
    <row r="3494" customHeight="1" spans="4:7">
      <c r="D3494" s="256">
        <v>50029</v>
      </c>
      <c r="E3494" s="257" t="s">
        <v>8453</v>
      </c>
      <c r="F3494" s="257" t="s">
        <v>8456</v>
      </c>
      <c r="G3494" s="257" t="s">
        <v>8457</v>
      </c>
    </row>
    <row r="3495" customHeight="1" spans="4:7">
      <c r="D3495" s="256">
        <v>50029</v>
      </c>
      <c r="E3495" s="257" t="s">
        <v>8453</v>
      </c>
      <c r="F3495" s="257" t="s">
        <v>8458</v>
      </c>
      <c r="G3495" s="257" t="s">
        <v>7459</v>
      </c>
    </row>
    <row r="3496" customHeight="1" spans="4:7">
      <c r="D3496" s="256">
        <v>50029</v>
      </c>
      <c r="E3496" s="257" t="s">
        <v>8453</v>
      </c>
      <c r="F3496" s="257" t="s">
        <v>8459</v>
      </c>
      <c r="G3496" s="257" t="s">
        <v>8460</v>
      </c>
    </row>
    <row r="3497" customHeight="1" spans="4:7">
      <c r="D3497" s="256">
        <v>50029</v>
      </c>
      <c r="E3497" s="257" t="s">
        <v>8453</v>
      </c>
      <c r="F3497" s="257" t="s">
        <v>8461</v>
      </c>
      <c r="G3497" s="257" t="s">
        <v>8462</v>
      </c>
    </row>
    <row r="3498" customHeight="1" spans="4:7">
      <c r="D3498" s="256">
        <v>50029</v>
      </c>
      <c r="E3498" s="257" t="s">
        <v>8453</v>
      </c>
      <c r="F3498" s="257" t="s">
        <v>8463</v>
      </c>
      <c r="G3498" s="257" t="s">
        <v>8464</v>
      </c>
    </row>
    <row r="3499" customHeight="1" spans="4:7">
      <c r="D3499" s="256">
        <v>50029</v>
      </c>
      <c r="E3499" s="257" t="s">
        <v>8453</v>
      </c>
      <c r="F3499" s="257" t="s">
        <v>8465</v>
      </c>
      <c r="G3499" s="257" t="s">
        <v>8466</v>
      </c>
    </row>
    <row r="3500" customHeight="1" spans="4:7">
      <c r="D3500" s="256">
        <v>50029</v>
      </c>
      <c r="E3500" s="257" t="s">
        <v>8453</v>
      </c>
      <c r="F3500" s="257" t="s">
        <v>8467</v>
      </c>
      <c r="G3500" s="257" t="s">
        <v>8468</v>
      </c>
    </row>
    <row r="3501" customHeight="1" spans="4:7">
      <c r="D3501" s="256">
        <v>50029</v>
      </c>
      <c r="E3501" s="257" t="s">
        <v>8453</v>
      </c>
      <c r="F3501" s="257" t="s">
        <v>8469</v>
      </c>
      <c r="G3501" s="257" t="s">
        <v>8470</v>
      </c>
    </row>
    <row r="3502" customHeight="1" spans="4:7">
      <c r="D3502" s="256">
        <v>50029</v>
      </c>
      <c r="E3502" s="257" t="s">
        <v>8453</v>
      </c>
      <c r="F3502" s="257" t="s">
        <v>8471</v>
      </c>
      <c r="G3502" s="257" t="s">
        <v>8472</v>
      </c>
    </row>
    <row r="3503" customHeight="1" spans="4:7">
      <c r="D3503" s="256">
        <v>50029</v>
      </c>
      <c r="E3503" s="257" t="s">
        <v>8453</v>
      </c>
      <c r="F3503" s="257" t="s">
        <v>8473</v>
      </c>
      <c r="G3503" s="257" t="s">
        <v>8474</v>
      </c>
    </row>
    <row r="3504" customHeight="1" spans="4:7">
      <c r="D3504" s="256">
        <v>50029</v>
      </c>
      <c r="E3504" s="257" t="s">
        <v>8453</v>
      </c>
      <c r="F3504" s="257" t="s">
        <v>8475</v>
      </c>
      <c r="G3504" s="257" t="s">
        <v>3397</v>
      </c>
    </row>
    <row r="3505" customHeight="1" spans="4:7">
      <c r="D3505" s="256">
        <v>50029</v>
      </c>
      <c r="E3505" s="257" t="s">
        <v>8453</v>
      </c>
      <c r="F3505" s="257" t="s">
        <v>8476</v>
      </c>
      <c r="G3505" s="257" t="s">
        <v>8477</v>
      </c>
    </row>
    <row r="3506" customHeight="1" spans="4:7">
      <c r="D3506" s="256">
        <v>50029</v>
      </c>
      <c r="E3506" s="257" t="s">
        <v>8453</v>
      </c>
      <c r="F3506" s="257" t="s">
        <v>8478</v>
      </c>
      <c r="G3506" s="257" t="s">
        <v>8479</v>
      </c>
    </row>
    <row r="3507" customHeight="1" spans="4:7">
      <c r="D3507" s="256">
        <v>50029</v>
      </c>
      <c r="E3507" s="257" t="s">
        <v>8453</v>
      </c>
      <c r="F3507" s="257" t="s">
        <v>8480</v>
      </c>
      <c r="G3507" s="257" t="s">
        <v>2285</v>
      </c>
    </row>
    <row r="3508" customHeight="1" spans="4:7">
      <c r="D3508" s="256">
        <v>50029</v>
      </c>
      <c r="E3508" s="257" t="s">
        <v>8453</v>
      </c>
      <c r="F3508" s="257" t="s">
        <v>8481</v>
      </c>
      <c r="G3508" s="257" t="s">
        <v>8482</v>
      </c>
    </row>
    <row r="3509" customHeight="1" spans="4:7">
      <c r="D3509" s="256">
        <v>50029</v>
      </c>
      <c r="E3509" s="257" t="s">
        <v>8453</v>
      </c>
      <c r="F3509" s="257" t="s">
        <v>8483</v>
      </c>
      <c r="G3509" s="257" t="s">
        <v>8484</v>
      </c>
    </row>
    <row r="3510" customHeight="1" spans="4:7">
      <c r="D3510" s="256">
        <v>50029</v>
      </c>
      <c r="E3510" s="257" t="s">
        <v>8453</v>
      </c>
      <c r="F3510" s="257" t="s">
        <v>8485</v>
      </c>
      <c r="G3510" s="257" t="s">
        <v>8486</v>
      </c>
    </row>
    <row r="3511" customHeight="1" spans="4:7">
      <c r="D3511" s="256">
        <v>50029</v>
      </c>
      <c r="E3511" s="257" t="s">
        <v>8453</v>
      </c>
      <c r="F3511" s="257" t="s">
        <v>8487</v>
      </c>
      <c r="G3511" s="257" t="s">
        <v>8488</v>
      </c>
    </row>
    <row r="3512" customHeight="1" spans="4:7">
      <c r="D3512" s="256">
        <v>45014</v>
      </c>
      <c r="E3512" s="257" t="s">
        <v>8489</v>
      </c>
      <c r="F3512" s="257" t="s">
        <v>8490</v>
      </c>
      <c r="G3512" s="257" t="s">
        <v>8491</v>
      </c>
    </row>
    <row r="3513" customHeight="1" spans="4:7">
      <c r="D3513" s="256">
        <v>45014</v>
      </c>
      <c r="E3513" s="257" t="s">
        <v>8489</v>
      </c>
      <c r="F3513" s="257" t="s">
        <v>8492</v>
      </c>
      <c r="G3513" s="257" t="s">
        <v>8493</v>
      </c>
    </row>
    <row r="3514" customHeight="1" spans="4:7">
      <c r="D3514" s="256">
        <v>45014</v>
      </c>
      <c r="E3514" s="257" t="s">
        <v>8489</v>
      </c>
      <c r="F3514" s="257" t="s">
        <v>8494</v>
      </c>
      <c r="G3514" s="257" t="s">
        <v>8495</v>
      </c>
    </row>
    <row r="3515" customHeight="1" spans="4:7">
      <c r="D3515" s="256">
        <v>45014</v>
      </c>
      <c r="E3515" s="257" t="s">
        <v>8489</v>
      </c>
      <c r="F3515" s="257" t="s">
        <v>8496</v>
      </c>
      <c r="G3515" s="257" t="s">
        <v>8497</v>
      </c>
    </row>
    <row r="3516" customHeight="1" spans="4:7">
      <c r="D3516" s="256">
        <v>45014</v>
      </c>
      <c r="E3516" s="257" t="s">
        <v>8489</v>
      </c>
      <c r="F3516" s="257" t="s">
        <v>8498</v>
      </c>
      <c r="G3516" s="257" t="s">
        <v>4031</v>
      </c>
    </row>
    <row r="3517" customHeight="1" spans="4:7">
      <c r="D3517" s="256">
        <v>45014</v>
      </c>
      <c r="E3517" s="257" t="s">
        <v>8489</v>
      </c>
      <c r="F3517" s="257" t="s">
        <v>8499</v>
      </c>
      <c r="G3517" s="257" t="s">
        <v>8500</v>
      </c>
    </row>
    <row r="3518" customHeight="1" spans="4:7">
      <c r="D3518" s="256">
        <v>45014</v>
      </c>
      <c r="E3518" s="257" t="s">
        <v>8489</v>
      </c>
      <c r="F3518" s="257" t="s">
        <v>8501</v>
      </c>
      <c r="G3518" s="257" t="s">
        <v>8502</v>
      </c>
    </row>
    <row r="3519" customHeight="1" spans="4:7">
      <c r="D3519" s="256">
        <v>45014</v>
      </c>
      <c r="E3519" s="257" t="s">
        <v>8489</v>
      </c>
      <c r="F3519" s="257" t="s">
        <v>8503</v>
      </c>
      <c r="G3519" s="257" t="s">
        <v>8504</v>
      </c>
    </row>
    <row r="3520" customHeight="1" spans="4:7">
      <c r="D3520" s="256">
        <v>45014</v>
      </c>
      <c r="E3520" s="257" t="s">
        <v>8489</v>
      </c>
      <c r="F3520" s="257" t="s">
        <v>8505</v>
      </c>
      <c r="G3520" s="257" t="s">
        <v>6058</v>
      </c>
    </row>
    <row r="3521" customHeight="1" spans="4:7">
      <c r="D3521" s="256">
        <v>45014</v>
      </c>
      <c r="E3521" s="257" t="s">
        <v>8489</v>
      </c>
      <c r="F3521" s="257" t="s">
        <v>8506</v>
      </c>
      <c r="G3521" s="257" t="s">
        <v>8507</v>
      </c>
    </row>
    <row r="3522" customHeight="1" spans="4:7">
      <c r="D3522" s="256">
        <v>45014</v>
      </c>
      <c r="E3522" s="257" t="s">
        <v>8489</v>
      </c>
      <c r="F3522" s="257" t="s">
        <v>8508</v>
      </c>
      <c r="G3522" s="257" t="s">
        <v>8509</v>
      </c>
    </row>
    <row r="3523" customHeight="1" spans="4:7">
      <c r="D3523" s="256">
        <v>45014</v>
      </c>
      <c r="E3523" s="257" t="s">
        <v>8489</v>
      </c>
      <c r="F3523" s="257" t="s">
        <v>8510</v>
      </c>
      <c r="G3523" s="257" t="s">
        <v>8511</v>
      </c>
    </row>
    <row r="3524" customHeight="1" spans="4:7">
      <c r="D3524" s="256">
        <v>45014</v>
      </c>
      <c r="E3524" s="257" t="s">
        <v>8489</v>
      </c>
      <c r="F3524" s="257" t="s">
        <v>8512</v>
      </c>
      <c r="G3524" s="257" t="s">
        <v>8513</v>
      </c>
    </row>
    <row r="3525" customHeight="1" spans="4:7">
      <c r="D3525" s="256">
        <v>45014</v>
      </c>
      <c r="E3525" s="257" t="s">
        <v>8489</v>
      </c>
      <c r="F3525" s="257" t="s">
        <v>8514</v>
      </c>
      <c r="G3525" s="257" t="s">
        <v>8515</v>
      </c>
    </row>
    <row r="3526" customHeight="1" spans="4:7">
      <c r="D3526" s="256">
        <v>45014</v>
      </c>
      <c r="E3526" s="257" t="s">
        <v>8489</v>
      </c>
      <c r="F3526" s="257" t="s">
        <v>8516</v>
      </c>
      <c r="G3526" s="257" t="s">
        <v>8517</v>
      </c>
    </row>
    <row r="3527" customHeight="1" spans="4:7">
      <c r="D3527" s="256">
        <v>45014</v>
      </c>
      <c r="E3527" s="257" t="s">
        <v>8489</v>
      </c>
      <c r="F3527" s="257" t="s">
        <v>8518</v>
      </c>
      <c r="G3527" s="257" t="s">
        <v>8519</v>
      </c>
    </row>
    <row r="3528" customHeight="1" spans="4:7">
      <c r="D3528" s="256">
        <v>45014</v>
      </c>
      <c r="E3528" s="257" t="s">
        <v>8489</v>
      </c>
      <c r="F3528" s="257" t="s">
        <v>8520</v>
      </c>
      <c r="G3528" s="257" t="s">
        <v>8521</v>
      </c>
    </row>
    <row r="3529" customHeight="1" spans="4:7">
      <c r="D3529" s="256">
        <v>45014</v>
      </c>
      <c r="E3529" s="257" t="s">
        <v>8489</v>
      </c>
      <c r="F3529" s="257" t="s">
        <v>8522</v>
      </c>
      <c r="G3529" s="257" t="s">
        <v>8523</v>
      </c>
    </row>
    <row r="3530" customHeight="1" spans="4:7">
      <c r="D3530" s="256">
        <v>45014</v>
      </c>
      <c r="E3530" s="257" t="s">
        <v>8489</v>
      </c>
      <c r="F3530" s="257" t="s">
        <v>8524</v>
      </c>
      <c r="G3530" s="257" t="s">
        <v>8525</v>
      </c>
    </row>
    <row r="3531" customHeight="1" spans="4:7">
      <c r="D3531" s="256">
        <v>45014</v>
      </c>
      <c r="E3531" s="257" t="s">
        <v>8489</v>
      </c>
      <c r="F3531" s="257" t="s">
        <v>8526</v>
      </c>
      <c r="G3531" s="257" t="s">
        <v>8527</v>
      </c>
    </row>
    <row r="3532" customHeight="1" spans="4:7">
      <c r="D3532" s="256">
        <v>45014</v>
      </c>
      <c r="E3532" s="257" t="s">
        <v>8489</v>
      </c>
      <c r="F3532" s="257" t="s">
        <v>8528</v>
      </c>
      <c r="G3532" s="257" t="s">
        <v>8529</v>
      </c>
    </row>
    <row r="3533" customHeight="1" spans="4:7">
      <c r="D3533" s="256">
        <v>45014</v>
      </c>
      <c r="E3533" s="257" t="s">
        <v>8489</v>
      </c>
      <c r="F3533" s="257" t="s">
        <v>8530</v>
      </c>
      <c r="G3533" s="257" t="s">
        <v>5238</v>
      </c>
    </row>
    <row r="3534" customHeight="1" spans="4:7">
      <c r="D3534" s="256">
        <v>45014</v>
      </c>
      <c r="E3534" s="257" t="s">
        <v>8489</v>
      </c>
      <c r="F3534" s="257" t="s">
        <v>8531</v>
      </c>
      <c r="G3534" s="257" t="s">
        <v>8532</v>
      </c>
    </row>
    <row r="3535" customHeight="1" spans="4:7">
      <c r="D3535" s="256">
        <v>45014</v>
      </c>
      <c r="E3535" s="257" t="s">
        <v>8489</v>
      </c>
      <c r="F3535" s="257" t="s">
        <v>8533</v>
      </c>
      <c r="G3535" s="257" t="s">
        <v>8534</v>
      </c>
    </row>
    <row r="3536" customHeight="1" spans="4:7">
      <c r="D3536" s="256">
        <v>45014</v>
      </c>
      <c r="E3536" s="257" t="s">
        <v>8489</v>
      </c>
      <c r="F3536" s="257" t="s">
        <v>8535</v>
      </c>
      <c r="G3536" s="257" t="s">
        <v>8536</v>
      </c>
    </row>
    <row r="3537" customHeight="1" spans="4:7">
      <c r="D3537" s="256">
        <v>45014</v>
      </c>
      <c r="E3537" s="257" t="s">
        <v>8489</v>
      </c>
      <c r="F3537" s="257" t="s">
        <v>8537</v>
      </c>
      <c r="G3537" s="257" t="s">
        <v>7740</v>
      </c>
    </row>
    <row r="3538" customHeight="1" spans="4:7">
      <c r="D3538" s="256">
        <v>45014</v>
      </c>
      <c r="E3538" s="257" t="s">
        <v>8489</v>
      </c>
      <c r="F3538" s="257" t="s">
        <v>8538</v>
      </c>
      <c r="G3538" s="257" t="s">
        <v>8539</v>
      </c>
    </row>
    <row r="3539" customHeight="1" spans="4:7">
      <c r="D3539" s="256">
        <v>45014</v>
      </c>
      <c r="E3539" s="257" t="s">
        <v>8489</v>
      </c>
      <c r="F3539" s="257" t="s">
        <v>8540</v>
      </c>
      <c r="G3539" s="257" t="s">
        <v>5528</v>
      </c>
    </row>
    <row r="3540" customHeight="1" spans="4:7">
      <c r="D3540" s="256">
        <v>45014</v>
      </c>
      <c r="E3540" s="257" t="s">
        <v>8489</v>
      </c>
      <c r="F3540" s="257" t="s">
        <v>8541</v>
      </c>
      <c r="G3540" s="257" t="s">
        <v>8542</v>
      </c>
    </row>
    <row r="3541" customHeight="1" spans="4:7">
      <c r="D3541" s="256">
        <v>45014</v>
      </c>
      <c r="E3541" s="257" t="s">
        <v>8489</v>
      </c>
      <c r="F3541" s="257" t="s">
        <v>8543</v>
      </c>
      <c r="G3541" s="257" t="s">
        <v>8544</v>
      </c>
    </row>
    <row r="3542" customHeight="1" spans="4:7">
      <c r="D3542" s="256">
        <v>45014</v>
      </c>
      <c r="E3542" s="257" t="s">
        <v>8489</v>
      </c>
      <c r="F3542" s="257" t="s">
        <v>8545</v>
      </c>
      <c r="G3542" s="257" t="s">
        <v>8546</v>
      </c>
    </row>
    <row r="3543" customHeight="1" spans="4:7">
      <c r="D3543" s="256">
        <v>45014</v>
      </c>
      <c r="E3543" s="257" t="s">
        <v>8489</v>
      </c>
      <c r="F3543" s="257" t="s">
        <v>8547</v>
      </c>
      <c r="G3543" s="257" t="s">
        <v>8548</v>
      </c>
    </row>
    <row r="3544" customHeight="1" spans="4:7">
      <c r="D3544" s="256">
        <v>45014</v>
      </c>
      <c r="E3544" s="257" t="s">
        <v>8489</v>
      </c>
      <c r="F3544" s="257" t="s">
        <v>8549</v>
      </c>
      <c r="G3544" s="257" t="s">
        <v>8550</v>
      </c>
    </row>
    <row r="3545" customHeight="1" spans="4:7">
      <c r="D3545" s="256">
        <v>45014</v>
      </c>
      <c r="E3545" s="257" t="s">
        <v>8489</v>
      </c>
      <c r="F3545" s="257" t="s">
        <v>8551</v>
      </c>
      <c r="G3545" s="257" t="s">
        <v>6342</v>
      </c>
    </row>
    <row r="3546" customHeight="1" spans="4:7">
      <c r="D3546" s="256">
        <v>45014</v>
      </c>
      <c r="E3546" s="257" t="s">
        <v>8489</v>
      </c>
      <c r="F3546" s="257" t="s">
        <v>8552</v>
      </c>
      <c r="G3546" s="257" t="s">
        <v>8553</v>
      </c>
    </row>
    <row r="3547" customHeight="1" spans="4:7">
      <c r="D3547" s="256">
        <v>45014</v>
      </c>
      <c r="E3547" s="257" t="s">
        <v>8489</v>
      </c>
      <c r="F3547" s="257" t="s">
        <v>8554</v>
      </c>
      <c r="G3547" s="257" t="s">
        <v>8555</v>
      </c>
    </row>
    <row r="3548" customHeight="1" spans="4:7">
      <c r="D3548" s="256">
        <v>45014</v>
      </c>
      <c r="E3548" s="257" t="s">
        <v>8489</v>
      </c>
      <c r="F3548" s="257" t="s">
        <v>8556</v>
      </c>
      <c r="G3548" s="257" t="s">
        <v>8557</v>
      </c>
    </row>
    <row r="3549" customHeight="1" spans="4:7">
      <c r="D3549" s="256">
        <v>45014</v>
      </c>
      <c r="E3549" s="257" t="s">
        <v>8489</v>
      </c>
      <c r="F3549" s="257" t="s">
        <v>8558</v>
      </c>
      <c r="G3549" s="257" t="s">
        <v>8559</v>
      </c>
    </row>
    <row r="3550" customHeight="1" spans="4:7">
      <c r="D3550" s="256">
        <v>45014</v>
      </c>
      <c r="E3550" s="257" t="s">
        <v>8489</v>
      </c>
      <c r="F3550" s="257" t="s">
        <v>8560</v>
      </c>
      <c r="G3550" s="257" t="s">
        <v>8561</v>
      </c>
    </row>
    <row r="3551" customHeight="1" spans="4:7">
      <c r="D3551" s="256">
        <v>45014</v>
      </c>
      <c r="E3551" s="257" t="s">
        <v>8489</v>
      </c>
      <c r="F3551" s="257" t="s">
        <v>8562</v>
      </c>
      <c r="G3551" s="257" t="s">
        <v>8563</v>
      </c>
    </row>
    <row r="3552" customHeight="1" spans="4:7">
      <c r="D3552" s="256">
        <v>45014</v>
      </c>
      <c r="E3552" s="257" t="s">
        <v>8489</v>
      </c>
      <c r="F3552" s="257" t="s">
        <v>8564</v>
      </c>
      <c r="G3552" s="257" t="s">
        <v>8565</v>
      </c>
    </row>
    <row r="3553" customHeight="1" spans="4:7">
      <c r="D3553" s="256">
        <v>45014</v>
      </c>
      <c r="E3553" s="257" t="s">
        <v>8489</v>
      </c>
      <c r="F3553" s="257" t="s">
        <v>8566</v>
      </c>
      <c r="G3553" s="257" t="s">
        <v>8567</v>
      </c>
    </row>
    <row r="3554" customHeight="1" spans="4:7">
      <c r="D3554" s="256">
        <v>45014</v>
      </c>
      <c r="E3554" s="257" t="s">
        <v>8489</v>
      </c>
      <c r="F3554" s="257" t="s">
        <v>8568</v>
      </c>
      <c r="G3554" s="257" t="s">
        <v>8569</v>
      </c>
    </row>
    <row r="3555" customHeight="1" spans="4:7">
      <c r="D3555" s="256">
        <v>45014</v>
      </c>
      <c r="E3555" s="257" t="s">
        <v>8489</v>
      </c>
      <c r="F3555" s="257" t="s">
        <v>8570</v>
      </c>
      <c r="G3555" s="257" t="s">
        <v>8571</v>
      </c>
    </row>
    <row r="3556" customHeight="1" spans="4:7">
      <c r="D3556" s="256">
        <v>45014</v>
      </c>
      <c r="E3556" s="257" t="s">
        <v>8489</v>
      </c>
      <c r="F3556" s="257" t="s">
        <v>8572</v>
      </c>
      <c r="G3556" s="257" t="s">
        <v>8573</v>
      </c>
    </row>
    <row r="3557" customHeight="1" spans="4:7">
      <c r="D3557" s="256">
        <v>45014</v>
      </c>
      <c r="E3557" s="257" t="s">
        <v>8489</v>
      </c>
      <c r="F3557" s="257" t="s">
        <v>8574</v>
      </c>
      <c r="G3557" s="257" t="s">
        <v>8575</v>
      </c>
    </row>
    <row r="3558" customHeight="1" spans="4:7">
      <c r="D3558" s="256">
        <v>45014</v>
      </c>
      <c r="E3558" s="257" t="s">
        <v>8489</v>
      </c>
      <c r="F3558" s="257" t="s">
        <v>8576</v>
      </c>
      <c r="G3558" s="257" t="s">
        <v>8577</v>
      </c>
    </row>
    <row r="3559" customHeight="1" spans="4:7">
      <c r="D3559" s="256">
        <v>45014</v>
      </c>
      <c r="E3559" s="257" t="s">
        <v>8489</v>
      </c>
      <c r="F3559" s="257" t="s">
        <v>8578</v>
      </c>
      <c r="G3559" s="257" t="s">
        <v>8579</v>
      </c>
    </row>
    <row r="3560" customHeight="1" spans="4:7">
      <c r="D3560" s="256">
        <v>45014</v>
      </c>
      <c r="E3560" s="257" t="s">
        <v>8489</v>
      </c>
      <c r="F3560" s="257" t="s">
        <v>8580</v>
      </c>
      <c r="G3560" s="257" t="s">
        <v>8581</v>
      </c>
    </row>
    <row r="3561" customHeight="1" spans="4:7">
      <c r="D3561" s="256">
        <v>45014</v>
      </c>
      <c r="E3561" s="257" t="s">
        <v>8489</v>
      </c>
      <c r="F3561" s="257" t="s">
        <v>8582</v>
      </c>
      <c r="G3561" s="257" t="s">
        <v>8583</v>
      </c>
    </row>
    <row r="3562" customHeight="1" spans="4:7">
      <c r="D3562" s="256">
        <v>45014</v>
      </c>
      <c r="E3562" s="257" t="s">
        <v>8489</v>
      </c>
      <c r="F3562" s="257" t="s">
        <v>8584</v>
      </c>
      <c r="G3562" s="257" t="s">
        <v>8585</v>
      </c>
    </row>
    <row r="3563" customHeight="1" spans="4:7">
      <c r="D3563" s="256">
        <v>45014</v>
      </c>
      <c r="E3563" s="257" t="s">
        <v>8489</v>
      </c>
      <c r="F3563" s="257" t="s">
        <v>8586</v>
      </c>
      <c r="G3563" s="257" t="s">
        <v>8587</v>
      </c>
    </row>
    <row r="3564" customHeight="1" spans="4:7">
      <c r="D3564" s="256">
        <v>45014</v>
      </c>
      <c r="E3564" s="257" t="s">
        <v>8489</v>
      </c>
      <c r="F3564" s="257" t="s">
        <v>8588</v>
      </c>
      <c r="G3564" s="257" t="s">
        <v>8589</v>
      </c>
    </row>
    <row r="3565" customHeight="1" spans="4:7">
      <c r="D3565" s="256">
        <v>51031</v>
      </c>
      <c r="E3565" s="257" t="s">
        <v>8590</v>
      </c>
      <c r="F3565" s="257" t="s">
        <v>8591</v>
      </c>
      <c r="G3565" s="257" t="s">
        <v>8592</v>
      </c>
    </row>
    <row r="3566" customHeight="1" spans="4:7">
      <c r="D3566" s="256">
        <v>51031</v>
      </c>
      <c r="E3566" s="257" t="s">
        <v>8590</v>
      </c>
      <c r="F3566" s="257" t="s">
        <v>8593</v>
      </c>
      <c r="G3566" s="257" t="s">
        <v>8594</v>
      </c>
    </row>
    <row r="3567" customHeight="1" spans="4:7">
      <c r="D3567" s="256">
        <v>51031</v>
      </c>
      <c r="E3567" s="257" t="s">
        <v>8590</v>
      </c>
      <c r="F3567" s="257" t="s">
        <v>8595</v>
      </c>
      <c r="G3567" s="257" t="s">
        <v>8596</v>
      </c>
    </row>
    <row r="3568" customHeight="1" spans="4:7">
      <c r="D3568" s="256">
        <v>51031</v>
      </c>
      <c r="E3568" s="257" t="s">
        <v>8590</v>
      </c>
      <c r="F3568" s="257" t="s">
        <v>8597</v>
      </c>
      <c r="G3568" s="257" t="s">
        <v>8598</v>
      </c>
    </row>
    <row r="3569" customHeight="1" spans="4:7">
      <c r="D3569" s="256">
        <v>51031</v>
      </c>
      <c r="E3569" s="257" t="s">
        <v>8590</v>
      </c>
      <c r="F3569" s="257" t="s">
        <v>8599</v>
      </c>
      <c r="G3569" s="257" t="s">
        <v>8600</v>
      </c>
    </row>
    <row r="3570" customHeight="1" spans="4:7">
      <c r="D3570" s="256">
        <v>51031</v>
      </c>
      <c r="E3570" s="257" t="s">
        <v>8590</v>
      </c>
      <c r="F3570" s="257" t="s">
        <v>8601</v>
      </c>
      <c r="G3570" s="257" t="s">
        <v>8602</v>
      </c>
    </row>
    <row r="3571" customHeight="1" spans="4:7">
      <c r="D3571" s="256">
        <v>51031</v>
      </c>
      <c r="E3571" s="257" t="s">
        <v>8590</v>
      </c>
      <c r="F3571" s="257" t="s">
        <v>8603</v>
      </c>
      <c r="G3571" s="257" t="s">
        <v>8604</v>
      </c>
    </row>
    <row r="3572" customHeight="1" spans="4:7">
      <c r="D3572" s="256">
        <v>51031</v>
      </c>
      <c r="E3572" s="257" t="s">
        <v>8590</v>
      </c>
      <c r="F3572" s="257" t="s">
        <v>8605</v>
      </c>
      <c r="G3572" s="257" t="s">
        <v>8606</v>
      </c>
    </row>
    <row r="3573" customHeight="1" spans="4:7">
      <c r="D3573" s="256">
        <v>51031</v>
      </c>
      <c r="E3573" s="257" t="s">
        <v>8590</v>
      </c>
      <c r="F3573" s="257" t="s">
        <v>8607</v>
      </c>
      <c r="G3573" s="257" t="s">
        <v>8608</v>
      </c>
    </row>
    <row r="3574" customHeight="1" spans="4:7">
      <c r="D3574" s="256">
        <v>51031</v>
      </c>
      <c r="E3574" s="257" t="s">
        <v>8590</v>
      </c>
      <c r="F3574" s="257" t="s">
        <v>8609</v>
      </c>
      <c r="G3574" s="257" t="s">
        <v>8610</v>
      </c>
    </row>
    <row r="3575" customHeight="1" spans="4:7">
      <c r="D3575" s="256">
        <v>51031</v>
      </c>
      <c r="E3575" s="257" t="s">
        <v>8590</v>
      </c>
      <c r="F3575" s="257" t="s">
        <v>8611</v>
      </c>
      <c r="G3575" s="257" t="s">
        <v>8612</v>
      </c>
    </row>
    <row r="3576" customHeight="1" spans="4:7">
      <c r="D3576" s="256">
        <v>51031</v>
      </c>
      <c r="E3576" s="257" t="s">
        <v>8590</v>
      </c>
      <c r="F3576" s="257" t="s">
        <v>8613</v>
      </c>
      <c r="G3576" s="257" t="s">
        <v>8614</v>
      </c>
    </row>
    <row r="3577" customHeight="1" spans="4:7">
      <c r="D3577" s="256">
        <v>51031</v>
      </c>
      <c r="E3577" s="257" t="s">
        <v>8590</v>
      </c>
      <c r="F3577" s="257" t="s">
        <v>8615</v>
      </c>
      <c r="G3577" s="257" t="s">
        <v>8616</v>
      </c>
    </row>
    <row r="3578" customHeight="1" spans="4:7">
      <c r="D3578" s="256">
        <v>51031</v>
      </c>
      <c r="E3578" s="257" t="s">
        <v>8590</v>
      </c>
      <c r="F3578" s="257" t="s">
        <v>8617</v>
      </c>
      <c r="G3578" s="257" t="s">
        <v>8618</v>
      </c>
    </row>
    <row r="3579" customHeight="1" spans="4:7">
      <c r="D3579" s="256">
        <v>51031</v>
      </c>
      <c r="E3579" s="257" t="s">
        <v>8590</v>
      </c>
      <c r="F3579" s="257" t="s">
        <v>8619</v>
      </c>
      <c r="G3579" s="257" t="s">
        <v>8620</v>
      </c>
    </row>
    <row r="3580" customHeight="1" spans="4:7">
      <c r="D3580" s="256">
        <v>51031</v>
      </c>
      <c r="E3580" s="257" t="s">
        <v>8590</v>
      </c>
      <c r="F3580" s="257" t="s">
        <v>8621</v>
      </c>
      <c r="G3580" s="257" t="s">
        <v>8622</v>
      </c>
    </row>
    <row r="3581" customHeight="1" spans="4:7">
      <c r="D3581" s="256">
        <v>51031</v>
      </c>
      <c r="E3581" s="257" t="s">
        <v>8590</v>
      </c>
      <c r="F3581" s="257" t="s">
        <v>8623</v>
      </c>
      <c r="G3581" s="257" t="s">
        <v>8624</v>
      </c>
    </row>
    <row r="3582" customHeight="1" spans="4:7">
      <c r="D3582" s="256">
        <v>46026</v>
      </c>
      <c r="E3582" s="257" t="s">
        <v>8625</v>
      </c>
      <c r="F3582" s="257" t="s">
        <v>8626</v>
      </c>
      <c r="G3582" s="257" t="s">
        <v>8627</v>
      </c>
    </row>
    <row r="3583" customHeight="1" spans="4:7">
      <c r="D3583" s="256">
        <v>46026</v>
      </c>
      <c r="E3583" s="257" t="s">
        <v>8625</v>
      </c>
      <c r="F3583" s="257" t="s">
        <v>8628</v>
      </c>
      <c r="G3583" s="257" t="s">
        <v>8629</v>
      </c>
    </row>
    <row r="3584" customHeight="1" spans="4:7">
      <c r="D3584" s="256">
        <v>46026</v>
      </c>
      <c r="E3584" s="257" t="s">
        <v>8625</v>
      </c>
      <c r="F3584" s="257" t="s">
        <v>8630</v>
      </c>
      <c r="G3584" s="257" t="s">
        <v>4605</v>
      </c>
    </row>
    <row r="3585" customHeight="1" spans="4:7">
      <c r="D3585" s="256">
        <v>46026</v>
      </c>
      <c r="E3585" s="257" t="s">
        <v>8625</v>
      </c>
      <c r="F3585" s="257" t="s">
        <v>8631</v>
      </c>
      <c r="G3585" s="257" t="s">
        <v>8632</v>
      </c>
    </row>
    <row r="3586" customHeight="1" spans="4:7">
      <c r="D3586" s="256">
        <v>46026</v>
      </c>
      <c r="E3586" s="257" t="s">
        <v>8625</v>
      </c>
      <c r="F3586" s="257" t="s">
        <v>8633</v>
      </c>
      <c r="G3586" s="257" t="s">
        <v>8634</v>
      </c>
    </row>
    <row r="3587" customHeight="1" spans="4:7">
      <c r="D3587" s="256">
        <v>46026</v>
      </c>
      <c r="E3587" s="257" t="s">
        <v>8625</v>
      </c>
      <c r="F3587" s="257" t="s">
        <v>8635</v>
      </c>
      <c r="G3587" s="257" t="s">
        <v>8636</v>
      </c>
    </row>
    <row r="3588" customHeight="1" spans="4:7">
      <c r="D3588" s="256">
        <v>46026</v>
      </c>
      <c r="E3588" s="257" t="s">
        <v>8625</v>
      </c>
      <c r="F3588" s="257" t="s">
        <v>8637</v>
      </c>
      <c r="G3588" s="257" t="s">
        <v>8638</v>
      </c>
    </row>
    <row r="3589" customHeight="1" spans="4:7">
      <c r="D3589" s="256">
        <v>46026</v>
      </c>
      <c r="E3589" s="257" t="s">
        <v>8625</v>
      </c>
      <c r="F3589" s="257" t="s">
        <v>8639</v>
      </c>
      <c r="G3589" s="257" t="s">
        <v>8640</v>
      </c>
    </row>
    <row r="3590" customHeight="1" spans="4:7">
      <c r="D3590" s="256">
        <v>46026</v>
      </c>
      <c r="E3590" s="257" t="s">
        <v>8625</v>
      </c>
      <c r="F3590" s="257" t="s">
        <v>8641</v>
      </c>
      <c r="G3590" s="257" t="s">
        <v>8642</v>
      </c>
    </row>
    <row r="3591" customHeight="1" spans="4:7">
      <c r="D3591" s="256">
        <v>46026</v>
      </c>
      <c r="E3591" s="257" t="s">
        <v>8625</v>
      </c>
      <c r="F3591" s="257" t="s">
        <v>8643</v>
      </c>
      <c r="G3591" s="257" t="s">
        <v>8644</v>
      </c>
    </row>
    <row r="3592" customHeight="1" spans="4:7">
      <c r="D3592" s="256">
        <v>49013</v>
      </c>
      <c r="E3592" s="257" t="s">
        <v>8645</v>
      </c>
      <c r="F3592" s="257" t="s">
        <v>8646</v>
      </c>
      <c r="G3592" s="257" t="s">
        <v>8647</v>
      </c>
    </row>
    <row r="3593" customHeight="1" spans="4:7">
      <c r="D3593" s="256">
        <v>49013</v>
      </c>
      <c r="E3593" s="257" t="s">
        <v>8645</v>
      </c>
      <c r="F3593" s="257" t="s">
        <v>8648</v>
      </c>
      <c r="G3593" s="257" t="s">
        <v>3152</v>
      </c>
    </row>
    <row r="3594" customHeight="1" spans="4:7">
      <c r="D3594" s="256">
        <v>49013</v>
      </c>
      <c r="E3594" s="257" t="s">
        <v>8645</v>
      </c>
      <c r="F3594" s="257" t="s">
        <v>8649</v>
      </c>
      <c r="G3594" s="257" t="s">
        <v>8650</v>
      </c>
    </row>
    <row r="3595" customHeight="1" spans="4:7">
      <c r="D3595" s="256">
        <v>49014</v>
      </c>
      <c r="E3595" s="257" t="s">
        <v>8651</v>
      </c>
      <c r="F3595" s="257" t="s">
        <v>8652</v>
      </c>
      <c r="G3595" s="257" t="s">
        <v>8653</v>
      </c>
    </row>
    <row r="3596" customHeight="1" spans="4:7">
      <c r="D3596" s="256">
        <v>49014</v>
      </c>
      <c r="E3596" s="257" t="s">
        <v>8651</v>
      </c>
      <c r="F3596" s="257" t="s">
        <v>8654</v>
      </c>
      <c r="G3596" s="257" t="s">
        <v>2791</v>
      </c>
    </row>
    <row r="3597" customHeight="1" spans="4:7">
      <c r="D3597" s="256">
        <v>49014</v>
      </c>
      <c r="E3597" s="257" t="s">
        <v>8651</v>
      </c>
      <c r="F3597" s="257" t="s">
        <v>8655</v>
      </c>
      <c r="G3597" s="257" t="s">
        <v>1452</v>
      </c>
    </row>
    <row r="3598" customHeight="1" spans="4:7">
      <c r="D3598" s="256">
        <v>49014</v>
      </c>
      <c r="E3598" s="257" t="s">
        <v>8651</v>
      </c>
      <c r="F3598" s="257" t="s">
        <v>8656</v>
      </c>
      <c r="G3598" s="257" t="s">
        <v>8657</v>
      </c>
    </row>
    <row r="3599" customHeight="1" spans="4:7">
      <c r="D3599" s="256">
        <v>49014</v>
      </c>
      <c r="E3599" s="257" t="s">
        <v>8651</v>
      </c>
      <c r="F3599" s="257" t="s">
        <v>8658</v>
      </c>
      <c r="G3599" s="257" t="s">
        <v>8659</v>
      </c>
    </row>
    <row r="3600" customHeight="1" spans="4:7">
      <c r="D3600" s="256">
        <v>49014</v>
      </c>
      <c r="E3600" s="257" t="s">
        <v>8651</v>
      </c>
      <c r="F3600" s="257" t="s">
        <v>8660</v>
      </c>
      <c r="G3600" s="257" t="s">
        <v>8661</v>
      </c>
    </row>
    <row r="3601" customHeight="1" spans="4:7">
      <c r="D3601" s="256">
        <v>49014</v>
      </c>
      <c r="E3601" s="257" t="s">
        <v>8651</v>
      </c>
      <c r="F3601" s="257" t="s">
        <v>8662</v>
      </c>
      <c r="G3601" s="257" t="s">
        <v>8663</v>
      </c>
    </row>
    <row r="3602" customHeight="1" spans="4:7">
      <c r="D3602" s="256">
        <v>49014</v>
      </c>
      <c r="E3602" s="257" t="s">
        <v>8651</v>
      </c>
      <c r="F3602" s="257" t="s">
        <v>8664</v>
      </c>
      <c r="G3602" s="257" t="s">
        <v>8665</v>
      </c>
    </row>
    <row r="3603" customHeight="1" spans="4:7">
      <c r="D3603" s="256">
        <v>49014</v>
      </c>
      <c r="E3603" s="257" t="s">
        <v>8651</v>
      </c>
      <c r="F3603" s="257" t="s">
        <v>8666</v>
      </c>
      <c r="G3603" s="257" t="s">
        <v>8667</v>
      </c>
    </row>
    <row r="3604" customHeight="1" spans="4:7">
      <c r="D3604" s="256">
        <v>49014</v>
      </c>
      <c r="E3604" s="257" t="s">
        <v>8651</v>
      </c>
      <c r="F3604" s="257" t="s">
        <v>8668</v>
      </c>
      <c r="G3604" s="257" t="s">
        <v>8472</v>
      </c>
    </row>
    <row r="3605" customHeight="1" spans="4:7">
      <c r="D3605" s="256">
        <v>49014</v>
      </c>
      <c r="E3605" s="257" t="s">
        <v>8651</v>
      </c>
      <c r="F3605" s="257" t="s">
        <v>8669</v>
      </c>
      <c r="G3605" s="257" t="s">
        <v>8670</v>
      </c>
    </row>
    <row r="3606" customHeight="1" spans="4:7">
      <c r="D3606" s="256">
        <v>49014</v>
      </c>
      <c r="E3606" s="257" t="s">
        <v>8651</v>
      </c>
      <c r="F3606" s="257" t="s">
        <v>8671</v>
      </c>
      <c r="G3606" s="257" t="s">
        <v>8672</v>
      </c>
    </row>
    <row r="3607" customHeight="1" spans="4:7">
      <c r="D3607" s="256">
        <v>49014</v>
      </c>
      <c r="E3607" s="257" t="s">
        <v>8651</v>
      </c>
      <c r="F3607" s="257" t="s">
        <v>8673</v>
      </c>
      <c r="G3607" s="257" t="s">
        <v>8674</v>
      </c>
    </row>
    <row r="3608" customHeight="1" spans="4:7">
      <c r="D3608" s="256">
        <v>49014</v>
      </c>
      <c r="E3608" s="257" t="s">
        <v>8651</v>
      </c>
      <c r="F3608" s="257" t="s">
        <v>8675</v>
      </c>
      <c r="G3608" s="257" t="s">
        <v>5887</v>
      </c>
    </row>
    <row r="3609" customHeight="1" spans="4:7">
      <c r="D3609" s="256">
        <v>49014</v>
      </c>
      <c r="E3609" s="257" t="s">
        <v>8651</v>
      </c>
      <c r="F3609" s="257" t="s">
        <v>8676</v>
      </c>
      <c r="G3609" s="257" t="s">
        <v>3042</v>
      </c>
    </row>
    <row r="3610" customHeight="1" spans="4:7">
      <c r="D3610" s="256">
        <v>49014</v>
      </c>
      <c r="E3610" s="257" t="s">
        <v>8651</v>
      </c>
      <c r="F3610" s="257" t="s">
        <v>8677</v>
      </c>
      <c r="G3610" s="257" t="s">
        <v>8678</v>
      </c>
    </row>
    <row r="3611" customHeight="1" spans="4:7">
      <c r="D3611" s="256">
        <v>49014</v>
      </c>
      <c r="E3611" s="257" t="s">
        <v>8651</v>
      </c>
      <c r="F3611" s="257" t="s">
        <v>8679</v>
      </c>
      <c r="G3611" s="257" t="s">
        <v>8680</v>
      </c>
    </row>
    <row r="3612" customHeight="1" spans="4:7">
      <c r="D3612" s="256">
        <v>49014</v>
      </c>
      <c r="E3612" s="257" t="s">
        <v>8651</v>
      </c>
      <c r="F3612" s="257" t="s">
        <v>8681</v>
      </c>
      <c r="G3612" s="257" t="s">
        <v>8682</v>
      </c>
    </row>
    <row r="3613" customHeight="1" spans="4:7">
      <c r="D3613" s="256">
        <v>49014</v>
      </c>
      <c r="E3613" s="257" t="s">
        <v>8651</v>
      </c>
      <c r="F3613" s="257" t="s">
        <v>8683</v>
      </c>
      <c r="G3613" s="257" t="s">
        <v>8684</v>
      </c>
    </row>
    <row r="3614" customHeight="1" spans="4:7">
      <c r="D3614" s="256">
        <v>49014</v>
      </c>
      <c r="E3614" s="257" t="s">
        <v>8651</v>
      </c>
      <c r="F3614" s="257" t="s">
        <v>8685</v>
      </c>
      <c r="G3614" s="257" t="s">
        <v>8686</v>
      </c>
    </row>
    <row r="3615" customHeight="1" spans="4:7">
      <c r="D3615" s="256">
        <v>49014</v>
      </c>
      <c r="E3615" s="257" t="s">
        <v>8651</v>
      </c>
      <c r="F3615" s="257" t="s">
        <v>8687</v>
      </c>
      <c r="G3615" s="257" t="s">
        <v>8688</v>
      </c>
    </row>
    <row r="3616" customHeight="1" spans="4:7">
      <c r="D3616" s="256">
        <v>49014</v>
      </c>
      <c r="E3616" s="257" t="s">
        <v>8651</v>
      </c>
      <c r="F3616" s="257" t="s">
        <v>8689</v>
      </c>
      <c r="G3616" s="257" t="s">
        <v>8690</v>
      </c>
    </row>
    <row r="3617" customHeight="1" spans="4:7">
      <c r="D3617" s="256">
        <v>49014</v>
      </c>
      <c r="E3617" s="257" t="s">
        <v>8651</v>
      </c>
      <c r="F3617" s="257" t="s">
        <v>8691</v>
      </c>
      <c r="G3617" s="257" t="s">
        <v>8692</v>
      </c>
    </row>
    <row r="3618" customHeight="1" spans="4:7">
      <c r="D3618" s="256">
        <v>49014</v>
      </c>
      <c r="E3618" s="257" t="s">
        <v>8651</v>
      </c>
      <c r="F3618" s="257" t="s">
        <v>8693</v>
      </c>
      <c r="G3618" s="257" t="s">
        <v>8694</v>
      </c>
    </row>
    <row r="3619" customHeight="1" spans="4:7">
      <c r="D3619" s="256">
        <v>100005</v>
      </c>
      <c r="E3619" s="257" t="s">
        <v>8695</v>
      </c>
      <c r="F3619" s="257" t="s">
        <v>8696</v>
      </c>
      <c r="G3619" s="257" t="s">
        <v>2203</v>
      </c>
    </row>
    <row r="3620" customHeight="1" spans="4:7">
      <c r="D3620" s="256">
        <v>100005</v>
      </c>
      <c r="E3620" s="257" t="s">
        <v>8695</v>
      </c>
      <c r="F3620" s="257" t="s">
        <v>8697</v>
      </c>
      <c r="G3620" s="257" t="s">
        <v>8698</v>
      </c>
    </row>
    <row r="3621" customHeight="1" spans="4:7">
      <c r="D3621" s="256">
        <v>100005</v>
      </c>
      <c r="E3621" s="257" t="s">
        <v>8695</v>
      </c>
      <c r="F3621" s="257" t="s">
        <v>8699</v>
      </c>
      <c r="G3621" s="257" t="s">
        <v>2093</v>
      </c>
    </row>
    <row r="3622" customHeight="1" spans="4:7">
      <c r="D3622" s="256">
        <v>100005</v>
      </c>
      <c r="E3622" s="257" t="s">
        <v>8695</v>
      </c>
      <c r="F3622" s="257" t="s">
        <v>8700</v>
      </c>
      <c r="G3622" s="257" t="s">
        <v>8701</v>
      </c>
    </row>
    <row r="3623" customHeight="1" spans="4:7">
      <c r="D3623" s="256">
        <v>100005</v>
      </c>
      <c r="E3623" s="257" t="s">
        <v>8695</v>
      </c>
      <c r="F3623" s="257" t="s">
        <v>8702</v>
      </c>
      <c r="G3623" s="257" t="s">
        <v>7845</v>
      </c>
    </row>
    <row r="3624" customHeight="1" spans="4:7">
      <c r="D3624" s="256">
        <v>100005</v>
      </c>
      <c r="E3624" s="257" t="s">
        <v>8695</v>
      </c>
      <c r="F3624" s="257" t="s">
        <v>8703</v>
      </c>
      <c r="G3624" s="257" t="s">
        <v>8704</v>
      </c>
    </row>
    <row r="3625" customHeight="1" spans="4:7">
      <c r="D3625" s="256">
        <v>100005</v>
      </c>
      <c r="E3625" s="257" t="s">
        <v>8695</v>
      </c>
      <c r="F3625" s="257" t="s">
        <v>8705</v>
      </c>
      <c r="G3625" s="257" t="s">
        <v>8706</v>
      </c>
    </row>
    <row r="3626" customHeight="1" spans="4:7">
      <c r="D3626" s="256">
        <v>100005</v>
      </c>
      <c r="E3626" s="257" t="s">
        <v>8695</v>
      </c>
      <c r="F3626" s="257" t="s">
        <v>8707</v>
      </c>
      <c r="G3626" s="257" t="s">
        <v>8708</v>
      </c>
    </row>
    <row r="3627" customHeight="1" spans="4:7">
      <c r="D3627" s="256">
        <v>100005</v>
      </c>
      <c r="E3627" s="257" t="s">
        <v>8695</v>
      </c>
      <c r="F3627" s="257" t="s">
        <v>8709</v>
      </c>
      <c r="G3627" s="257" t="s">
        <v>4202</v>
      </c>
    </row>
    <row r="3628" customHeight="1" spans="4:7">
      <c r="D3628" s="256">
        <v>100005</v>
      </c>
      <c r="E3628" s="257" t="s">
        <v>8695</v>
      </c>
      <c r="F3628" s="257" t="s">
        <v>8710</v>
      </c>
      <c r="G3628" s="257" t="s">
        <v>2896</v>
      </c>
    </row>
    <row r="3629" customHeight="1" spans="4:7">
      <c r="D3629" s="256">
        <v>100005</v>
      </c>
      <c r="E3629" s="257" t="s">
        <v>8695</v>
      </c>
      <c r="F3629" s="257" t="s">
        <v>8711</v>
      </c>
      <c r="G3629" s="257" t="s">
        <v>8712</v>
      </c>
    </row>
    <row r="3630" customHeight="1" spans="4:7">
      <c r="D3630" s="256">
        <v>100005</v>
      </c>
      <c r="E3630" s="257" t="s">
        <v>8695</v>
      </c>
      <c r="F3630" s="257" t="s">
        <v>8713</v>
      </c>
      <c r="G3630" s="257" t="s">
        <v>8714</v>
      </c>
    </row>
    <row r="3631" customHeight="1" spans="4:7">
      <c r="D3631" s="256">
        <v>100005</v>
      </c>
      <c r="E3631" s="257" t="s">
        <v>8695</v>
      </c>
      <c r="F3631" s="257" t="s">
        <v>8715</v>
      </c>
      <c r="G3631" s="257" t="s">
        <v>8716</v>
      </c>
    </row>
    <row r="3632" customHeight="1" spans="4:7">
      <c r="D3632" s="256">
        <v>100005</v>
      </c>
      <c r="E3632" s="257" t="s">
        <v>8695</v>
      </c>
      <c r="F3632" s="257" t="s">
        <v>8717</v>
      </c>
      <c r="G3632" s="257" t="s">
        <v>8718</v>
      </c>
    </row>
    <row r="3633" customHeight="1" spans="4:7">
      <c r="D3633" s="256">
        <v>100005</v>
      </c>
      <c r="E3633" s="257" t="s">
        <v>8695</v>
      </c>
      <c r="F3633" s="257" t="s">
        <v>8719</v>
      </c>
      <c r="G3633" s="257" t="s">
        <v>6021</v>
      </c>
    </row>
    <row r="3634" customHeight="1" spans="4:7">
      <c r="D3634" s="256">
        <v>100005</v>
      </c>
      <c r="E3634" s="257" t="s">
        <v>8695</v>
      </c>
      <c r="F3634" s="257" t="s">
        <v>8720</v>
      </c>
      <c r="G3634" s="257" t="s">
        <v>8226</v>
      </c>
    </row>
    <row r="3635" customHeight="1" spans="4:7">
      <c r="D3635" s="256">
        <v>100005</v>
      </c>
      <c r="E3635" s="257" t="s">
        <v>8695</v>
      </c>
      <c r="F3635" s="257" t="s">
        <v>8721</v>
      </c>
      <c r="G3635" s="257" t="s">
        <v>8722</v>
      </c>
    </row>
    <row r="3636" customHeight="1" spans="4:7">
      <c r="D3636" s="256">
        <v>51032</v>
      </c>
      <c r="E3636" s="257" t="s">
        <v>8723</v>
      </c>
      <c r="F3636" s="257" t="s">
        <v>8724</v>
      </c>
      <c r="G3636" s="257" t="s">
        <v>8725</v>
      </c>
    </row>
    <row r="3637" customHeight="1" spans="4:7">
      <c r="D3637" s="256">
        <v>51032</v>
      </c>
      <c r="E3637" s="257" t="s">
        <v>8723</v>
      </c>
      <c r="F3637" s="257" t="s">
        <v>8726</v>
      </c>
      <c r="G3637" s="257" t="s">
        <v>8727</v>
      </c>
    </row>
    <row r="3638" customHeight="1" spans="4:7">
      <c r="D3638" s="256">
        <v>51032</v>
      </c>
      <c r="E3638" s="257" t="s">
        <v>8723</v>
      </c>
      <c r="F3638" s="257" t="s">
        <v>8728</v>
      </c>
      <c r="G3638" s="257" t="s">
        <v>8729</v>
      </c>
    </row>
    <row r="3639" customHeight="1" spans="4:7">
      <c r="D3639" s="256">
        <v>51032</v>
      </c>
      <c r="E3639" s="257" t="s">
        <v>8723</v>
      </c>
      <c r="F3639" s="257" t="s">
        <v>8730</v>
      </c>
      <c r="G3639" s="257" t="s">
        <v>8731</v>
      </c>
    </row>
    <row r="3640" customHeight="1" spans="4:7">
      <c r="D3640" s="256">
        <v>51032</v>
      </c>
      <c r="E3640" s="257" t="s">
        <v>8723</v>
      </c>
      <c r="F3640" s="257" t="s">
        <v>8732</v>
      </c>
      <c r="G3640" s="257" t="s">
        <v>6570</v>
      </c>
    </row>
    <row r="3641" customHeight="1" spans="4:7">
      <c r="D3641" s="256">
        <v>51032</v>
      </c>
      <c r="E3641" s="257" t="s">
        <v>8723</v>
      </c>
      <c r="F3641" s="257" t="s">
        <v>8733</v>
      </c>
      <c r="G3641" s="257" t="s">
        <v>8734</v>
      </c>
    </row>
    <row r="3642" customHeight="1" spans="4:7">
      <c r="D3642" s="256">
        <v>51032</v>
      </c>
      <c r="E3642" s="257" t="s">
        <v>8723</v>
      </c>
      <c r="F3642" s="257" t="s">
        <v>8735</v>
      </c>
      <c r="G3642" s="257" t="s">
        <v>8736</v>
      </c>
    </row>
    <row r="3643" customHeight="1" spans="4:7">
      <c r="D3643" s="256">
        <v>51032</v>
      </c>
      <c r="E3643" s="257" t="s">
        <v>8723</v>
      </c>
      <c r="F3643" s="257" t="s">
        <v>8737</v>
      </c>
      <c r="G3643" s="257" t="s">
        <v>2051</v>
      </c>
    </row>
    <row r="3644" customHeight="1" spans="4:7">
      <c r="D3644" s="256">
        <v>51032</v>
      </c>
      <c r="E3644" s="257" t="s">
        <v>8723</v>
      </c>
      <c r="F3644" s="257" t="s">
        <v>8738</v>
      </c>
      <c r="G3644" s="257" t="s">
        <v>8739</v>
      </c>
    </row>
    <row r="3645" customHeight="1" spans="4:7">
      <c r="D3645" s="256">
        <v>51032</v>
      </c>
      <c r="E3645" s="257" t="s">
        <v>8723</v>
      </c>
      <c r="F3645" s="257" t="s">
        <v>8740</v>
      </c>
      <c r="G3645" s="257" t="s">
        <v>8741</v>
      </c>
    </row>
    <row r="3646" customHeight="1" spans="4:7">
      <c r="D3646" s="256">
        <v>51032</v>
      </c>
      <c r="E3646" s="257" t="s">
        <v>8723</v>
      </c>
      <c r="F3646" s="257" t="s">
        <v>8742</v>
      </c>
      <c r="G3646" s="257" t="s">
        <v>8743</v>
      </c>
    </row>
    <row r="3647" customHeight="1" spans="4:7">
      <c r="D3647" s="256">
        <v>51032</v>
      </c>
      <c r="E3647" s="257" t="s">
        <v>8723</v>
      </c>
      <c r="F3647" s="257" t="s">
        <v>8744</v>
      </c>
      <c r="G3647" s="257" t="s">
        <v>8745</v>
      </c>
    </row>
    <row r="3648" customHeight="1" spans="4:7">
      <c r="D3648" s="256">
        <v>51032</v>
      </c>
      <c r="E3648" s="257" t="s">
        <v>8723</v>
      </c>
      <c r="F3648" s="257" t="s">
        <v>8746</v>
      </c>
      <c r="G3648" s="257" t="s">
        <v>2740</v>
      </c>
    </row>
    <row r="3649" customHeight="1" spans="4:7">
      <c r="D3649" s="256">
        <v>47017</v>
      </c>
      <c r="E3649" s="257" t="s">
        <v>8747</v>
      </c>
      <c r="F3649" s="257" t="s">
        <v>8748</v>
      </c>
      <c r="G3649" s="257" t="s">
        <v>8749</v>
      </c>
    </row>
    <row r="3650" customHeight="1" spans="4:7">
      <c r="D3650" s="256">
        <v>47017</v>
      </c>
      <c r="E3650" s="257" t="s">
        <v>8747</v>
      </c>
      <c r="F3650" s="257" t="s">
        <v>8750</v>
      </c>
      <c r="G3650" s="257" t="s">
        <v>8751</v>
      </c>
    </row>
    <row r="3651" customHeight="1" spans="4:7">
      <c r="D3651" s="256">
        <v>47017</v>
      </c>
      <c r="E3651" s="257" t="s">
        <v>8747</v>
      </c>
      <c r="F3651" s="257" t="s">
        <v>8752</v>
      </c>
      <c r="G3651" s="257" t="s">
        <v>8753</v>
      </c>
    </row>
    <row r="3652" customHeight="1" spans="4:7">
      <c r="D3652" s="256">
        <v>47017</v>
      </c>
      <c r="E3652" s="257" t="s">
        <v>8747</v>
      </c>
      <c r="F3652" s="257" t="s">
        <v>8754</v>
      </c>
      <c r="G3652" s="257" t="s">
        <v>3969</v>
      </c>
    </row>
    <row r="3653" customHeight="1" spans="4:7">
      <c r="D3653" s="256">
        <v>47017</v>
      </c>
      <c r="E3653" s="257" t="s">
        <v>8747</v>
      </c>
      <c r="F3653" s="257" t="s">
        <v>8755</v>
      </c>
      <c r="G3653" s="257" t="s">
        <v>8756</v>
      </c>
    </row>
    <row r="3654" customHeight="1" spans="4:7">
      <c r="D3654" s="256">
        <v>47017</v>
      </c>
      <c r="E3654" s="257" t="s">
        <v>8747</v>
      </c>
      <c r="F3654" s="257" t="s">
        <v>8757</v>
      </c>
      <c r="G3654" s="257" t="s">
        <v>8758</v>
      </c>
    </row>
    <row r="3655" customHeight="1" spans="4:7">
      <c r="D3655" s="256">
        <v>47017</v>
      </c>
      <c r="E3655" s="257" t="s">
        <v>8747</v>
      </c>
      <c r="F3655" s="257" t="s">
        <v>8759</v>
      </c>
      <c r="G3655" s="257" t="s">
        <v>8760</v>
      </c>
    </row>
    <row r="3656" customHeight="1" spans="4:7">
      <c r="D3656" s="256">
        <v>47017</v>
      </c>
      <c r="E3656" s="257" t="s">
        <v>8747</v>
      </c>
      <c r="F3656" s="257" t="s">
        <v>8761</v>
      </c>
      <c r="G3656" s="257" t="s">
        <v>8762</v>
      </c>
    </row>
    <row r="3657" customHeight="1" spans="4:7">
      <c r="D3657" s="256">
        <v>47017</v>
      </c>
      <c r="E3657" s="257" t="s">
        <v>8747</v>
      </c>
      <c r="F3657" s="257" t="s">
        <v>8763</v>
      </c>
      <c r="G3657" s="257" t="s">
        <v>8764</v>
      </c>
    </row>
    <row r="3658" customHeight="1" spans="4:7">
      <c r="D3658" s="256">
        <v>47017</v>
      </c>
      <c r="E3658" s="257" t="s">
        <v>8747</v>
      </c>
      <c r="F3658" s="257" t="s">
        <v>8765</v>
      </c>
      <c r="G3658" s="257" t="s">
        <v>8766</v>
      </c>
    </row>
    <row r="3659" customHeight="1" spans="4:7">
      <c r="D3659" s="256">
        <v>47017</v>
      </c>
      <c r="E3659" s="257" t="s">
        <v>8747</v>
      </c>
      <c r="F3659" s="257" t="s">
        <v>8767</v>
      </c>
      <c r="G3659" s="257" t="s">
        <v>8768</v>
      </c>
    </row>
    <row r="3660" customHeight="1" spans="4:7">
      <c r="D3660" s="256">
        <v>47017</v>
      </c>
      <c r="E3660" s="257" t="s">
        <v>8747</v>
      </c>
      <c r="F3660" s="257" t="s">
        <v>8769</v>
      </c>
      <c r="G3660" s="257" t="s">
        <v>6500</v>
      </c>
    </row>
    <row r="3661" customHeight="1" spans="4:7">
      <c r="D3661" s="256">
        <v>47017</v>
      </c>
      <c r="E3661" s="257" t="s">
        <v>8747</v>
      </c>
      <c r="F3661" s="257" t="s">
        <v>8770</v>
      </c>
      <c r="G3661" s="257" t="s">
        <v>3667</v>
      </c>
    </row>
    <row r="3662" customHeight="1" spans="4:7">
      <c r="D3662" s="256">
        <v>47017</v>
      </c>
      <c r="E3662" s="257" t="s">
        <v>8747</v>
      </c>
      <c r="F3662" s="257" t="s">
        <v>8771</v>
      </c>
      <c r="G3662" s="257" t="s">
        <v>8772</v>
      </c>
    </row>
    <row r="3663" customHeight="1" spans="4:7">
      <c r="D3663" s="256">
        <v>47017</v>
      </c>
      <c r="E3663" s="257" t="s">
        <v>8747</v>
      </c>
      <c r="F3663" s="257" t="s">
        <v>8773</v>
      </c>
      <c r="G3663" s="257" t="s">
        <v>5898</v>
      </c>
    </row>
    <row r="3664" customHeight="1" spans="4:7">
      <c r="D3664" s="256">
        <v>47017</v>
      </c>
      <c r="E3664" s="257" t="s">
        <v>8747</v>
      </c>
      <c r="F3664" s="257" t="s">
        <v>8774</v>
      </c>
      <c r="G3664" s="257" t="s">
        <v>1994</v>
      </c>
    </row>
    <row r="3665" customHeight="1" spans="4:7">
      <c r="D3665" s="256">
        <v>47017</v>
      </c>
      <c r="E3665" s="257" t="s">
        <v>8747</v>
      </c>
      <c r="F3665" s="257" t="s">
        <v>8775</v>
      </c>
      <c r="G3665" s="257" t="s">
        <v>1357</v>
      </c>
    </row>
    <row r="3666" customHeight="1" spans="4:7">
      <c r="D3666" s="256">
        <v>47017</v>
      </c>
      <c r="E3666" s="257" t="s">
        <v>8747</v>
      </c>
      <c r="F3666" s="257" t="s">
        <v>8776</v>
      </c>
      <c r="G3666" s="257" t="s">
        <v>8777</v>
      </c>
    </row>
    <row r="3667" customHeight="1" spans="4:7">
      <c r="D3667" s="256">
        <v>47017</v>
      </c>
      <c r="E3667" s="257" t="s">
        <v>8747</v>
      </c>
      <c r="F3667" s="257" t="s">
        <v>8778</v>
      </c>
      <c r="G3667" s="257" t="s">
        <v>8779</v>
      </c>
    </row>
    <row r="3668" customHeight="1" spans="4:7">
      <c r="D3668" s="256">
        <v>47017</v>
      </c>
      <c r="E3668" s="257" t="s">
        <v>8747</v>
      </c>
      <c r="F3668" s="257" t="s">
        <v>8780</v>
      </c>
      <c r="G3668" s="257" t="s">
        <v>1866</v>
      </c>
    </row>
    <row r="3669" customHeight="1" spans="4:7">
      <c r="D3669" s="256">
        <v>47017</v>
      </c>
      <c r="E3669" s="257" t="s">
        <v>8747</v>
      </c>
      <c r="F3669" s="257" t="s">
        <v>8781</v>
      </c>
      <c r="G3669" s="257" t="s">
        <v>8782</v>
      </c>
    </row>
    <row r="3670" customHeight="1" spans="4:7">
      <c r="D3670" s="256">
        <v>47017</v>
      </c>
      <c r="E3670" s="257" t="s">
        <v>8747</v>
      </c>
      <c r="F3670" s="257" t="s">
        <v>8783</v>
      </c>
      <c r="G3670" s="257" t="s">
        <v>7286</v>
      </c>
    </row>
    <row r="3671" customHeight="1" spans="4:7">
      <c r="D3671" s="256">
        <v>47017</v>
      </c>
      <c r="E3671" s="257" t="s">
        <v>8747</v>
      </c>
      <c r="F3671" s="257" t="s">
        <v>8784</v>
      </c>
      <c r="G3671" s="257" t="s">
        <v>4971</v>
      </c>
    </row>
    <row r="3672" customHeight="1" spans="4:7">
      <c r="D3672" s="256">
        <v>47017</v>
      </c>
      <c r="E3672" s="257" t="s">
        <v>8747</v>
      </c>
      <c r="F3672" s="257" t="s">
        <v>8785</v>
      </c>
      <c r="G3672" s="257" t="s">
        <v>8786</v>
      </c>
    </row>
    <row r="3673" customHeight="1" spans="4:7">
      <c r="D3673" s="256">
        <v>47017</v>
      </c>
      <c r="E3673" s="257" t="s">
        <v>8747</v>
      </c>
      <c r="F3673" s="257" t="s">
        <v>8787</v>
      </c>
      <c r="G3673" s="257" t="s">
        <v>8788</v>
      </c>
    </row>
    <row r="3674" customHeight="1" spans="4:7">
      <c r="D3674" s="256">
        <v>47017</v>
      </c>
      <c r="E3674" s="257" t="s">
        <v>8747</v>
      </c>
      <c r="F3674" s="257" t="s">
        <v>8789</v>
      </c>
      <c r="G3674" s="257" t="s">
        <v>1684</v>
      </c>
    </row>
    <row r="3675" customHeight="1" spans="4:7">
      <c r="D3675" s="256">
        <v>47017</v>
      </c>
      <c r="E3675" s="257" t="s">
        <v>8747</v>
      </c>
      <c r="F3675" s="257" t="s">
        <v>8790</v>
      </c>
      <c r="G3675" s="257" t="s">
        <v>2736</v>
      </c>
    </row>
    <row r="3676" customHeight="1" spans="4:7">
      <c r="D3676" s="256">
        <v>47017</v>
      </c>
      <c r="E3676" s="257" t="s">
        <v>8747</v>
      </c>
      <c r="F3676" s="257" t="s">
        <v>8791</v>
      </c>
      <c r="G3676" s="257" t="s">
        <v>8792</v>
      </c>
    </row>
    <row r="3677" customHeight="1" spans="4:7">
      <c r="D3677" s="256">
        <v>47017</v>
      </c>
      <c r="E3677" s="257" t="s">
        <v>8747</v>
      </c>
      <c r="F3677" s="257" t="s">
        <v>8793</v>
      </c>
      <c r="G3677" s="257" t="s">
        <v>8794</v>
      </c>
    </row>
    <row r="3678" customHeight="1" spans="4:7">
      <c r="D3678" s="256">
        <v>47017</v>
      </c>
      <c r="E3678" s="257" t="s">
        <v>8747</v>
      </c>
      <c r="F3678" s="257" t="s">
        <v>8795</v>
      </c>
      <c r="G3678" s="257" t="s">
        <v>2431</v>
      </c>
    </row>
    <row r="3679" customHeight="1" spans="4:7">
      <c r="D3679" s="256">
        <v>47017</v>
      </c>
      <c r="E3679" s="257" t="s">
        <v>8747</v>
      </c>
      <c r="F3679" s="257" t="s">
        <v>8796</v>
      </c>
      <c r="G3679" s="257" t="s">
        <v>8797</v>
      </c>
    </row>
    <row r="3680" customHeight="1" spans="4:7">
      <c r="D3680" s="256">
        <v>47017</v>
      </c>
      <c r="E3680" s="257" t="s">
        <v>8747</v>
      </c>
      <c r="F3680" s="257" t="s">
        <v>8798</v>
      </c>
      <c r="G3680" s="257" t="s">
        <v>8799</v>
      </c>
    </row>
    <row r="3681" customHeight="1" spans="4:7">
      <c r="D3681" s="256">
        <v>47017</v>
      </c>
      <c r="E3681" s="257" t="s">
        <v>8747</v>
      </c>
      <c r="F3681" s="257" t="s">
        <v>8800</v>
      </c>
      <c r="G3681" s="257" t="s">
        <v>2875</v>
      </c>
    </row>
    <row r="3682" customHeight="1" spans="4:7">
      <c r="D3682" s="256">
        <v>47017</v>
      </c>
      <c r="E3682" s="257" t="s">
        <v>8747</v>
      </c>
      <c r="F3682" s="257" t="s">
        <v>8801</v>
      </c>
      <c r="G3682" s="257" t="s">
        <v>8802</v>
      </c>
    </row>
    <row r="3683" customHeight="1" spans="4:7">
      <c r="D3683" s="256">
        <v>47017</v>
      </c>
      <c r="E3683" s="257" t="s">
        <v>8747</v>
      </c>
      <c r="F3683" s="257" t="s">
        <v>8803</v>
      </c>
      <c r="G3683" s="257" t="s">
        <v>8804</v>
      </c>
    </row>
    <row r="3684" customHeight="1" spans="4:7">
      <c r="D3684" s="256">
        <v>47017</v>
      </c>
      <c r="E3684" s="257" t="s">
        <v>8747</v>
      </c>
      <c r="F3684" s="257" t="s">
        <v>8805</v>
      </c>
      <c r="G3684" s="257" t="s">
        <v>8806</v>
      </c>
    </row>
    <row r="3685" customHeight="1" spans="4:7">
      <c r="D3685" s="256">
        <v>47017</v>
      </c>
      <c r="E3685" s="257" t="s">
        <v>8747</v>
      </c>
      <c r="F3685" s="257" t="s">
        <v>8807</v>
      </c>
      <c r="G3685" s="257" t="s">
        <v>8808</v>
      </c>
    </row>
    <row r="3686" customHeight="1" spans="4:7">
      <c r="D3686" s="256">
        <v>47017</v>
      </c>
      <c r="E3686" s="257" t="s">
        <v>8747</v>
      </c>
      <c r="F3686" s="257" t="s">
        <v>8809</v>
      </c>
      <c r="G3686" s="257" t="s">
        <v>8810</v>
      </c>
    </row>
    <row r="3687" customHeight="1" spans="4:7">
      <c r="D3687" s="256">
        <v>47017</v>
      </c>
      <c r="E3687" s="257" t="s">
        <v>8747</v>
      </c>
      <c r="F3687" s="257" t="s">
        <v>8811</v>
      </c>
      <c r="G3687" s="257" t="s">
        <v>8812</v>
      </c>
    </row>
    <row r="3688" customHeight="1" spans="4:7">
      <c r="D3688" s="256">
        <v>52023</v>
      </c>
      <c r="E3688" s="257" t="s">
        <v>8813</v>
      </c>
      <c r="F3688" s="257" t="s">
        <v>8814</v>
      </c>
      <c r="G3688" s="257" t="s">
        <v>8815</v>
      </c>
    </row>
    <row r="3689" customHeight="1" spans="4:7">
      <c r="D3689" s="256">
        <v>52023</v>
      </c>
      <c r="E3689" s="257" t="s">
        <v>8813</v>
      </c>
      <c r="F3689" s="257" t="s">
        <v>8816</v>
      </c>
      <c r="G3689" s="257" t="s">
        <v>8817</v>
      </c>
    </row>
    <row r="3690" customHeight="1" spans="4:7">
      <c r="D3690" s="256">
        <v>52023</v>
      </c>
      <c r="E3690" s="257" t="s">
        <v>8813</v>
      </c>
      <c r="F3690" s="257" t="s">
        <v>8818</v>
      </c>
      <c r="G3690" s="257" t="s">
        <v>8819</v>
      </c>
    </row>
    <row r="3691" customHeight="1" spans="4:7">
      <c r="D3691" s="256">
        <v>52023</v>
      </c>
      <c r="E3691" s="257" t="s">
        <v>8813</v>
      </c>
      <c r="F3691" s="257" t="s">
        <v>8820</v>
      </c>
      <c r="G3691" s="257" t="s">
        <v>8821</v>
      </c>
    </row>
    <row r="3692" customHeight="1" spans="4:7">
      <c r="D3692" s="256">
        <v>52023</v>
      </c>
      <c r="E3692" s="257" t="s">
        <v>8813</v>
      </c>
      <c r="F3692" s="257" t="s">
        <v>8822</v>
      </c>
      <c r="G3692" s="257" t="s">
        <v>8823</v>
      </c>
    </row>
    <row r="3693" customHeight="1" spans="4:7">
      <c r="D3693" s="256">
        <v>52023</v>
      </c>
      <c r="E3693" s="257" t="s">
        <v>8813</v>
      </c>
      <c r="F3693" s="257" t="s">
        <v>8824</v>
      </c>
      <c r="G3693" s="257" t="s">
        <v>6692</v>
      </c>
    </row>
    <row r="3694" customHeight="1" spans="4:7">
      <c r="D3694" s="256">
        <v>52023</v>
      </c>
      <c r="E3694" s="257" t="s">
        <v>8813</v>
      </c>
      <c r="F3694" s="257" t="s">
        <v>8825</v>
      </c>
      <c r="G3694" s="257" t="s">
        <v>8826</v>
      </c>
    </row>
    <row r="3695" customHeight="1" spans="4:7">
      <c r="D3695" s="256">
        <v>52023</v>
      </c>
      <c r="E3695" s="257" t="s">
        <v>8813</v>
      </c>
      <c r="F3695" s="257" t="s">
        <v>8827</v>
      </c>
      <c r="G3695" s="257" t="s">
        <v>8828</v>
      </c>
    </row>
    <row r="3696" customHeight="1" spans="4:7">
      <c r="D3696" s="256">
        <v>52023</v>
      </c>
      <c r="E3696" s="257" t="s">
        <v>8813</v>
      </c>
      <c r="F3696" s="257" t="s">
        <v>8829</v>
      </c>
      <c r="G3696" s="257" t="s">
        <v>2740</v>
      </c>
    </row>
    <row r="3697" customHeight="1" spans="4:7">
      <c r="D3697" s="256">
        <v>52023</v>
      </c>
      <c r="E3697" s="257" t="s">
        <v>8813</v>
      </c>
      <c r="F3697" s="257" t="s">
        <v>8830</v>
      </c>
      <c r="G3697" s="257" t="s">
        <v>4815</v>
      </c>
    </row>
    <row r="3698" customHeight="1" spans="4:7">
      <c r="D3698" s="256">
        <v>52024</v>
      </c>
      <c r="E3698" s="257" t="s">
        <v>8831</v>
      </c>
      <c r="F3698" s="257" t="s">
        <v>8832</v>
      </c>
      <c r="G3698" s="257" t="s">
        <v>8833</v>
      </c>
    </row>
    <row r="3699" customHeight="1" spans="4:7">
      <c r="D3699" s="256">
        <v>52024</v>
      </c>
      <c r="E3699" s="257" t="s">
        <v>8831</v>
      </c>
      <c r="F3699" s="257" t="s">
        <v>8834</v>
      </c>
      <c r="G3699" s="257" t="s">
        <v>8835</v>
      </c>
    </row>
    <row r="3700" customHeight="1" spans="4:7">
      <c r="D3700" s="256">
        <v>52024</v>
      </c>
      <c r="E3700" s="257" t="s">
        <v>8831</v>
      </c>
      <c r="F3700" s="257" t="s">
        <v>8836</v>
      </c>
      <c r="G3700" s="257" t="s">
        <v>8837</v>
      </c>
    </row>
    <row r="3701" customHeight="1" spans="4:7">
      <c r="D3701" s="256">
        <v>52024</v>
      </c>
      <c r="E3701" s="257" t="s">
        <v>8831</v>
      </c>
      <c r="F3701" s="257" t="s">
        <v>8838</v>
      </c>
      <c r="G3701" s="257" t="s">
        <v>8839</v>
      </c>
    </row>
    <row r="3702" customHeight="1" spans="4:7">
      <c r="D3702" s="256">
        <v>52025</v>
      </c>
      <c r="E3702" s="257" t="s">
        <v>8840</v>
      </c>
      <c r="F3702" s="257" t="s">
        <v>8841</v>
      </c>
      <c r="G3702" s="257" t="s">
        <v>8842</v>
      </c>
    </row>
    <row r="3703" customHeight="1" spans="4:7">
      <c r="D3703" s="256">
        <v>52025</v>
      </c>
      <c r="E3703" s="257" t="s">
        <v>8840</v>
      </c>
      <c r="F3703" s="257" t="s">
        <v>8843</v>
      </c>
      <c r="G3703" s="257" t="s">
        <v>8844</v>
      </c>
    </row>
    <row r="3704" customHeight="1" spans="4:7">
      <c r="D3704" s="256">
        <v>52025</v>
      </c>
      <c r="E3704" s="257" t="s">
        <v>8840</v>
      </c>
      <c r="F3704" s="257" t="s">
        <v>8845</v>
      </c>
      <c r="G3704" s="257" t="s">
        <v>8846</v>
      </c>
    </row>
    <row r="3705" customHeight="1" spans="4:7">
      <c r="D3705" s="256">
        <v>52025</v>
      </c>
      <c r="E3705" s="257" t="s">
        <v>8840</v>
      </c>
      <c r="F3705" s="257" t="s">
        <v>8847</v>
      </c>
      <c r="G3705" s="257" t="s">
        <v>8848</v>
      </c>
    </row>
    <row r="3706" customHeight="1" spans="4:7">
      <c r="D3706" s="256">
        <v>52026</v>
      </c>
      <c r="E3706" s="257" t="s">
        <v>8849</v>
      </c>
      <c r="F3706" s="257" t="s">
        <v>8850</v>
      </c>
      <c r="G3706" s="257" t="s">
        <v>8851</v>
      </c>
    </row>
    <row r="3707" customHeight="1" spans="4:7">
      <c r="D3707" s="256">
        <v>52026</v>
      </c>
      <c r="E3707" s="257" t="s">
        <v>8849</v>
      </c>
      <c r="F3707" s="257" t="s">
        <v>8852</v>
      </c>
      <c r="G3707" s="257" t="s">
        <v>8853</v>
      </c>
    </row>
    <row r="3708" customHeight="1" spans="4:7">
      <c r="D3708" s="256">
        <v>52026</v>
      </c>
      <c r="E3708" s="257" t="s">
        <v>8849</v>
      </c>
      <c r="F3708" s="257" t="s">
        <v>8854</v>
      </c>
      <c r="G3708" s="257" t="s">
        <v>8855</v>
      </c>
    </row>
    <row r="3709" customHeight="1" spans="4:7">
      <c r="D3709" s="256">
        <v>52026</v>
      </c>
      <c r="E3709" s="257" t="s">
        <v>8849</v>
      </c>
      <c r="F3709" s="257" t="s">
        <v>8856</v>
      </c>
      <c r="G3709" s="257" t="s">
        <v>8857</v>
      </c>
    </row>
    <row r="3710" customHeight="1" spans="4:7">
      <c r="D3710" s="256">
        <v>52026</v>
      </c>
      <c r="E3710" s="257" t="s">
        <v>8849</v>
      </c>
      <c r="F3710" s="257" t="s">
        <v>8858</v>
      </c>
      <c r="G3710" s="257" t="s">
        <v>8859</v>
      </c>
    </row>
    <row r="3711" customHeight="1" spans="4:7">
      <c r="D3711" s="256">
        <v>52026</v>
      </c>
      <c r="E3711" s="257" t="s">
        <v>8849</v>
      </c>
      <c r="F3711" s="257" t="s">
        <v>8860</v>
      </c>
      <c r="G3711" s="257" t="s">
        <v>8861</v>
      </c>
    </row>
    <row r="3712" customHeight="1" spans="4:7">
      <c r="D3712" s="256">
        <v>52026</v>
      </c>
      <c r="E3712" s="257" t="s">
        <v>8849</v>
      </c>
      <c r="F3712" s="257" t="s">
        <v>8862</v>
      </c>
      <c r="G3712" s="257" t="s">
        <v>8863</v>
      </c>
    </row>
    <row r="3713" customHeight="1" spans="4:7">
      <c r="D3713" s="256">
        <v>48035</v>
      </c>
      <c r="E3713" s="257" t="s">
        <v>8864</v>
      </c>
      <c r="F3713" s="257" t="s">
        <v>8865</v>
      </c>
      <c r="G3713" s="257" t="s">
        <v>8866</v>
      </c>
    </row>
    <row r="3714" customHeight="1" spans="4:7">
      <c r="D3714" s="256">
        <v>48035</v>
      </c>
      <c r="E3714" s="257" t="s">
        <v>8864</v>
      </c>
      <c r="F3714" s="257" t="s">
        <v>8867</v>
      </c>
      <c r="G3714" s="257" t="s">
        <v>8868</v>
      </c>
    </row>
    <row r="3715" customHeight="1" spans="4:7">
      <c r="D3715" s="256">
        <v>48035</v>
      </c>
      <c r="E3715" s="257" t="s">
        <v>8864</v>
      </c>
      <c r="F3715" s="257" t="s">
        <v>8869</v>
      </c>
      <c r="G3715" s="257" t="s">
        <v>1851</v>
      </c>
    </row>
    <row r="3716" customHeight="1" spans="4:7">
      <c r="D3716" s="256">
        <v>48035</v>
      </c>
      <c r="E3716" s="257" t="s">
        <v>8864</v>
      </c>
      <c r="F3716" s="257" t="s">
        <v>8870</v>
      </c>
      <c r="G3716" s="257" t="s">
        <v>8871</v>
      </c>
    </row>
    <row r="3717" customHeight="1" spans="4:7">
      <c r="D3717" s="256">
        <v>48035</v>
      </c>
      <c r="E3717" s="257" t="s">
        <v>8864</v>
      </c>
      <c r="F3717" s="257" t="s">
        <v>8872</v>
      </c>
      <c r="G3717" s="257" t="s">
        <v>8873</v>
      </c>
    </row>
    <row r="3718" customHeight="1" spans="4:7">
      <c r="D3718" s="256">
        <v>48035</v>
      </c>
      <c r="E3718" s="257" t="s">
        <v>8864</v>
      </c>
      <c r="F3718" s="257" t="s">
        <v>8874</v>
      </c>
      <c r="G3718" s="257" t="s">
        <v>4358</v>
      </c>
    </row>
    <row r="3719" customHeight="1" spans="4:7">
      <c r="D3719" s="256">
        <v>48035</v>
      </c>
      <c r="E3719" s="257" t="s">
        <v>8864</v>
      </c>
      <c r="F3719" s="257" t="s">
        <v>8875</v>
      </c>
      <c r="G3719" s="257" t="s">
        <v>8876</v>
      </c>
    </row>
    <row r="3720" customHeight="1" spans="4:7">
      <c r="D3720" s="256">
        <v>48035</v>
      </c>
      <c r="E3720" s="257" t="s">
        <v>8864</v>
      </c>
      <c r="F3720" s="257" t="s">
        <v>8877</v>
      </c>
      <c r="G3720" s="257" t="s">
        <v>8878</v>
      </c>
    </row>
    <row r="3721" customHeight="1" spans="4:7">
      <c r="D3721" s="256">
        <v>48035</v>
      </c>
      <c r="E3721" s="257" t="s">
        <v>8864</v>
      </c>
      <c r="F3721" s="257" t="s">
        <v>8879</v>
      </c>
      <c r="G3721" s="257" t="s">
        <v>8880</v>
      </c>
    </row>
    <row r="3722" customHeight="1" spans="4:7">
      <c r="D3722" s="256">
        <v>48035</v>
      </c>
      <c r="E3722" s="257" t="s">
        <v>8864</v>
      </c>
      <c r="F3722" s="257" t="s">
        <v>8881</v>
      </c>
      <c r="G3722" s="257" t="s">
        <v>8882</v>
      </c>
    </row>
    <row r="3723" customHeight="1" spans="4:7">
      <c r="D3723" s="256">
        <v>48035</v>
      </c>
      <c r="E3723" s="257" t="s">
        <v>8864</v>
      </c>
      <c r="F3723" s="257" t="s">
        <v>8883</v>
      </c>
      <c r="G3723" s="257" t="s">
        <v>8884</v>
      </c>
    </row>
    <row r="3724" customHeight="1" spans="4:7">
      <c r="D3724" s="256">
        <v>48035</v>
      </c>
      <c r="E3724" s="257" t="s">
        <v>8864</v>
      </c>
      <c r="F3724" s="257" t="s">
        <v>8885</v>
      </c>
      <c r="G3724" s="257" t="s">
        <v>3124</v>
      </c>
    </row>
    <row r="3725" customHeight="1" spans="4:7">
      <c r="D3725" s="256">
        <v>48035</v>
      </c>
      <c r="E3725" s="257" t="s">
        <v>8864</v>
      </c>
      <c r="F3725" s="257" t="s">
        <v>8886</v>
      </c>
      <c r="G3725" s="257" t="s">
        <v>7682</v>
      </c>
    </row>
    <row r="3726" customHeight="1" spans="4:7">
      <c r="D3726" s="256">
        <v>48035</v>
      </c>
      <c r="E3726" s="257" t="s">
        <v>8864</v>
      </c>
      <c r="F3726" s="257" t="s">
        <v>8887</v>
      </c>
      <c r="G3726" s="257" t="s">
        <v>8888</v>
      </c>
    </row>
    <row r="3727" customHeight="1" spans="4:7">
      <c r="D3727" s="256">
        <v>48035</v>
      </c>
      <c r="E3727" s="257" t="s">
        <v>8864</v>
      </c>
      <c r="F3727" s="257" t="s">
        <v>8889</v>
      </c>
      <c r="G3727" s="257" t="s">
        <v>8890</v>
      </c>
    </row>
    <row r="3728" customHeight="1" spans="4:7">
      <c r="D3728" s="256">
        <v>48035</v>
      </c>
      <c r="E3728" s="257" t="s">
        <v>8864</v>
      </c>
      <c r="F3728" s="257" t="s">
        <v>8891</v>
      </c>
      <c r="G3728" s="257" t="s">
        <v>8892</v>
      </c>
    </row>
    <row r="3729" customHeight="1" spans="4:7">
      <c r="D3729" s="256">
        <v>48035</v>
      </c>
      <c r="E3729" s="257" t="s">
        <v>8864</v>
      </c>
      <c r="F3729" s="257" t="s">
        <v>8893</v>
      </c>
      <c r="G3729" s="257" t="s">
        <v>8894</v>
      </c>
    </row>
    <row r="3730" customHeight="1" spans="4:7">
      <c r="D3730" s="256">
        <v>48035</v>
      </c>
      <c r="E3730" s="257" t="s">
        <v>8864</v>
      </c>
      <c r="F3730" s="257" t="s">
        <v>8895</v>
      </c>
      <c r="G3730" s="257" t="s">
        <v>8896</v>
      </c>
    </row>
    <row r="3731" customHeight="1" spans="4:7">
      <c r="D3731" s="256">
        <v>48035</v>
      </c>
      <c r="E3731" s="257" t="s">
        <v>8864</v>
      </c>
      <c r="F3731" s="257" t="s">
        <v>8897</v>
      </c>
      <c r="G3731" s="257" t="s">
        <v>8898</v>
      </c>
    </row>
    <row r="3732" customHeight="1" spans="4:7">
      <c r="D3732" s="256">
        <v>48035</v>
      </c>
      <c r="E3732" s="257" t="s">
        <v>8864</v>
      </c>
      <c r="F3732" s="257" t="s">
        <v>8899</v>
      </c>
      <c r="G3732" s="257" t="s">
        <v>8900</v>
      </c>
    </row>
    <row r="3733" customHeight="1" spans="4:7">
      <c r="D3733" s="256">
        <v>48035</v>
      </c>
      <c r="E3733" s="257" t="s">
        <v>8864</v>
      </c>
      <c r="F3733" s="257" t="s">
        <v>8901</v>
      </c>
      <c r="G3733" s="257" t="s">
        <v>8902</v>
      </c>
    </row>
    <row r="3734" customHeight="1" spans="4:7">
      <c r="D3734" s="256">
        <v>48035</v>
      </c>
      <c r="E3734" s="257" t="s">
        <v>8864</v>
      </c>
      <c r="F3734" s="257" t="s">
        <v>8903</v>
      </c>
      <c r="G3734" s="257" t="s">
        <v>8904</v>
      </c>
    </row>
    <row r="3735" customHeight="1" spans="4:7">
      <c r="D3735" s="256">
        <v>48035</v>
      </c>
      <c r="E3735" s="257" t="s">
        <v>8864</v>
      </c>
      <c r="F3735" s="257" t="s">
        <v>8905</v>
      </c>
      <c r="G3735" s="257" t="s">
        <v>8906</v>
      </c>
    </row>
    <row r="3736" customHeight="1" spans="4:7">
      <c r="D3736" s="256">
        <v>48035</v>
      </c>
      <c r="E3736" s="257" t="s">
        <v>8864</v>
      </c>
      <c r="F3736" s="257" t="s">
        <v>8907</v>
      </c>
      <c r="G3736" s="257" t="s">
        <v>8908</v>
      </c>
    </row>
    <row r="3737" customHeight="1" spans="4:7">
      <c r="D3737" s="256">
        <v>48035</v>
      </c>
      <c r="E3737" s="257" t="s">
        <v>8864</v>
      </c>
      <c r="F3737" s="257" t="s">
        <v>8909</v>
      </c>
      <c r="G3737" s="257" t="s">
        <v>8910</v>
      </c>
    </row>
    <row r="3738" customHeight="1" spans="4:7">
      <c r="D3738" s="256">
        <v>48035</v>
      </c>
      <c r="E3738" s="257" t="s">
        <v>8864</v>
      </c>
      <c r="F3738" s="257" t="s">
        <v>8911</v>
      </c>
      <c r="G3738" s="257" t="s">
        <v>8912</v>
      </c>
    </row>
    <row r="3739" customHeight="1" spans="4:7">
      <c r="D3739" s="256">
        <v>48035</v>
      </c>
      <c r="E3739" s="257" t="s">
        <v>8864</v>
      </c>
      <c r="F3739" s="257" t="s">
        <v>8913</v>
      </c>
      <c r="G3739" s="257" t="s">
        <v>8914</v>
      </c>
    </row>
    <row r="3740" customHeight="1" spans="4:7">
      <c r="D3740" s="256">
        <v>48035</v>
      </c>
      <c r="E3740" s="257" t="s">
        <v>8864</v>
      </c>
      <c r="F3740" s="257" t="s">
        <v>8915</v>
      </c>
      <c r="G3740" s="257" t="s">
        <v>7545</v>
      </c>
    </row>
    <row r="3741" customHeight="1" spans="4:7">
      <c r="D3741" s="256">
        <v>48035</v>
      </c>
      <c r="E3741" s="257" t="s">
        <v>8864</v>
      </c>
      <c r="F3741" s="257" t="s">
        <v>8916</v>
      </c>
      <c r="G3741" s="257" t="s">
        <v>8917</v>
      </c>
    </row>
    <row r="3742" customHeight="1" spans="4:7">
      <c r="D3742" s="256">
        <v>48035</v>
      </c>
      <c r="E3742" s="257" t="s">
        <v>8864</v>
      </c>
      <c r="F3742" s="257" t="s">
        <v>8918</v>
      </c>
      <c r="G3742" s="257" t="s">
        <v>8919</v>
      </c>
    </row>
    <row r="3743" customHeight="1" spans="4:7">
      <c r="D3743" s="256">
        <v>48035</v>
      </c>
      <c r="E3743" s="257" t="s">
        <v>8864</v>
      </c>
      <c r="F3743" s="257" t="s">
        <v>8920</v>
      </c>
      <c r="G3743" s="257" t="s">
        <v>7694</v>
      </c>
    </row>
    <row r="3744" customHeight="1" spans="4:7">
      <c r="D3744" s="256">
        <v>48035</v>
      </c>
      <c r="E3744" s="257" t="s">
        <v>8864</v>
      </c>
      <c r="F3744" s="257" t="s">
        <v>8921</v>
      </c>
      <c r="G3744" s="257" t="s">
        <v>8922</v>
      </c>
    </row>
    <row r="3745" customHeight="1" spans="4:7">
      <c r="D3745" s="256">
        <v>48035</v>
      </c>
      <c r="E3745" s="257" t="s">
        <v>8864</v>
      </c>
      <c r="F3745" s="257" t="s">
        <v>8923</v>
      </c>
      <c r="G3745" s="257" t="s">
        <v>1908</v>
      </c>
    </row>
    <row r="3746" customHeight="1" spans="4:7">
      <c r="D3746" s="256">
        <v>48036</v>
      </c>
      <c r="E3746" s="257" t="s">
        <v>8924</v>
      </c>
      <c r="F3746" s="257" t="s">
        <v>8925</v>
      </c>
      <c r="G3746" s="257" t="s">
        <v>8926</v>
      </c>
    </row>
    <row r="3747" customHeight="1" spans="4:7">
      <c r="D3747" s="256">
        <v>48036</v>
      </c>
      <c r="E3747" s="257" t="s">
        <v>8924</v>
      </c>
      <c r="F3747" s="257" t="s">
        <v>8927</v>
      </c>
      <c r="G3747" s="257" t="s">
        <v>8928</v>
      </c>
    </row>
    <row r="3748" customHeight="1" spans="4:7">
      <c r="D3748" s="256">
        <v>48036</v>
      </c>
      <c r="E3748" s="257" t="s">
        <v>8924</v>
      </c>
      <c r="F3748" s="257" t="s">
        <v>8929</v>
      </c>
      <c r="G3748" s="257" t="s">
        <v>8930</v>
      </c>
    </row>
    <row r="3749" customHeight="1" spans="4:7">
      <c r="D3749" s="256">
        <v>48036</v>
      </c>
      <c r="E3749" s="257" t="s">
        <v>8924</v>
      </c>
      <c r="F3749" s="257" t="s">
        <v>8931</v>
      </c>
      <c r="G3749" s="257" t="s">
        <v>8932</v>
      </c>
    </row>
    <row r="3750" customHeight="1" spans="4:7">
      <c r="D3750" s="256">
        <v>48036</v>
      </c>
      <c r="E3750" s="257" t="s">
        <v>8924</v>
      </c>
      <c r="F3750" s="257" t="s">
        <v>8933</v>
      </c>
      <c r="G3750" s="257" t="s">
        <v>8934</v>
      </c>
    </row>
    <row r="3751" customHeight="1" spans="4:7">
      <c r="D3751" s="256">
        <v>48036</v>
      </c>
      <c r="E3751" s="257" t="s">
        <v>8924</v>
      </c>
      <c r="F3751" s="257" t="s">
        <v>8935</v>
      </c>
      <c r="G3751" s="257" t="s">
        <v>6011</v>
      </c>
    </row>
    <row r="3752" customHeight="1" spans="4:7">
      <c r="D3752" s="256">
        <v>48036</v>
      </c>
      <c r="E3752" s="257" t="s">
        <v>8924</v>
      </c>
      <c r="F3752" s="257" t="s">
        <v>8936</v>
      </c>
      <c r="G3752" s="257" t="s">
        <v>4072</v>
      </c>
    </row>
    <row r="3753" customHeight="1" spans="4:7">
      <c r="D3753" s="256">
        <v>48036</v>
      </c>
      <c r="E3753" s="257" t="s">
        <v>8924</v>
      </c>
      <c r="F3753" s="257" t="s">
        <v>8937</v>
      </c>
      <c r="G3753" s="257" t="s">
        <v>5142</v>
      </c>
    </row>
    <row r="3754" customHeight="1" spans="4:7">
      <c r="D3754" s="256">
        <v>48036</v>
      </c>
      <c r="E3754" s="257" t="s">
        <v>8924</v>
      </c>
      <c r="F3754" s="257" t="s">
        <v>8938</v>
      </c>
      <c r="G3754" s="257" t="s">
        <v>8939</v>
      </c>
    </row>
    <row r="3755" customHeight="1" spans="4:7">
      <c r="D3755" s="256">
        <v>48036</v>
      </c>
      <c r="E3755" s="257" t="s">
        <v>8924</v>
      </c>
      <c r="F3755" s="257" t="s">
        <v>8940</v>
      </c>
      <c r="G3755" s="257" t="s">
        <v>8941</v>
      </c>
    </row>
    <row r="3756" customHeight="1" spans="4:7">
      <c r="D3756" s="256">
        <v>48036</v>
      </c>
      <c r="E3756" s="257" t="s">
        <v>8924</v>
      </c>
      <c r="F3756" s="257" t="s">
        <v>8942</v>
      </c>
      <c r="G3756" s="257" t="s">
        <v>8943</v>
      </c>
    </row>
    <row r="3757" customHeight="1" spans="4:7">
      <c r="D3757" s="256">
        <v>48036</v>
      </c>
      <c r="E3757" s="257" t="s">
        <v>8924</v>
      </c>
      <c r="F3757" s="257" t="s">
        <v>8944</v>
      </c>
      <c r="G3757" s="257" t="s">
        <v>8945</v>
      </c>
    </row>
    <row r="3758" customHeight="1" spans="4:7">
      <c r="D3758" s="256">
        <v>48036</v>
      </c>
      <c r="E3758" s="257" t="s">
        <v>8924</v>
      </c>
      <c r="F3758" s="257" t="s">
        <v>8946</v>
      </c>
      <c r="G3758" s="257" t="s">
        <v>8947</v>
      </c>
    </row>
    <row r="3759" customHeight="1" spans="4:7">
      <c r="D3759" s="256">
        <v>48036</v>
      </c>
      <c r="E3759" s="257" t="s">
        <v>8924</v>
      </c>
      <c r="F3759" s="257" t="s">
        <v>8948</v>
      </c>
      <c r="G3759" s="257" t="s">
        <v>2158</v>
      </c>
    </row>
    <row r="3760" customHeight="1" spans="4:7">
      <c r="D3760" s="256">
        <v>48036</v>
      </c>
      <c r="E3760" s="257" t="s">
        <v>8924</v>
      </c>
      <c r="F3760" s="257" t="s">
        <v>8949</v>
      </c>
      <c r="G3760" s="257" t="s">
        <v>2161</v>
      </c>
    </row>
    <row r="3761" customHeight="1" spans="4:7">
      <c r="D3761" s="256">
        <v>48036</v>
      </c>
      <c r="E3761" s="257" t="s">
        <v>8924</v>
      </c>
      <c r="F3761" s="257" t="s">
        <v>8950</v>
      </c>
      <c r="G3761" s="257" t="s">
        <v>3830</v>
      </c>
    </row>
    <row r="3762" customHeight="1" spans="4:7">
      <c r="D3762" s="256">
        <v>48036</v>
      </c>
      <c r="E3762" s="257" t="s">
        <v>8924</v>
      </c>
      <c r="F3762" s="257" t="s">
        <v>8951</v>
      </c>
      <c r="G3762" s="257" t="s">
        <v>2387</v>
      </c>
    </row>
    <row r="3763" customHeight="1" spans="4:7">
      <c r="D3763" s="256">
        <v>48036</v>
      </c>
      <c r="E3763" s="257" t="s">
        <v>8924</v>
      </c>
      <c r="F3763" s="257" t="s">
        <v>8952</v>
      </c>
      <c r="G3763" s="257" t="s">
        <v>8953</v>
      </c>
    </row>
    <row r="3764" customHeight="1" spans="4:7">
      <c r="D3764" s="256">
        <v>48036</v>
      </c>
      <c r="E3764" s="257" t="s">
        <v>8924</v>
      </c>
      <c r="F3764" s="257" t="s">
        <v>8954</v>
      </c>
      <c r="G3764" s="257" t="s">
        <v>8955</v>
      </c>
    </row>
    <row r="3765" customHeight="1" spans="4:7">
      <c r="D3765" s="256">
        <v>48036</v>
      </c>
      <c r="E3765" s="257" t="s">
        <v>8924</v>
      </c>
      <c r="F3765" s="257" t="s">
        <v>8956</v>
      </c>
      <c r="G3765" s="257" t="s">
        <v>8302</v>
      </c>
    </row>
    <row r="3766" customHeight="1" spans="4:7">
      <c r="D3766" s="256">
        <v>48036</v>
      </c>
      <c r="E3766" s="257" t="s">
        <v>8924</v>
      </c>
      <c r="F3766" s="257" t="s">
        <v>8957</v>
      </c>
      <c r="G3766" s="257" t="s">
        <v>8958</v>
      </c>
    </row>
    <row r="3767" customHeight="1" spans="4:7">
      <c r="D3767" s="256">
        <v>48036</v>
      </c>
      <c r="E3767" s="257" t="s">
        <v>8924</v>
      </c>
      <c r="F3767" s="257" t="s">
        <v>8959</v>
      </c>
      <c r="G3767" s="257" t="s">
        <v>8960</v>
      </c>
    </row>
    <row r="3768" customHeight="1" spans="4:7">
      <c r="D3768" s="256">
        <v>49015</v>
      </c>
      <c r="E3768" s="257" t="s">
        <v>8961</v>
      </c>
      <c r="F3768" s="257" t="s">
        <v>8962</v>
      </c>
      <c r="G3768" s="257" t="s">
        <v>8963</v>
      </c>
    </row>
    <row r="3769" customHeight="1" spans="4:7">
      <c r="D3769" s="256">
        <v>49015</v>
      </c>
      <c r="E3769" s="257" t="s">
        <v>8961</v>
      </c>
      <c r="F3769" s="257" t="s">
        <v>8964</v>
      </c>
      <c r="G3769" s="257" t="s">
        <v>8965</v>
      </c>
    </row>
    <row r="3770" customHeight="1" spans="4:7">
      <c r="D3770" s="256">
        <v>49015</v>
      </c>
      <c r="E3770" s="257" t="s">
        <v>8961</v>
      </c>
      <c r="F3770" s="257" t="s">
        <v>8966</v>
      </c>
      <c r="G3770" s="257" t="s">
        <v>8967</v>
      </c>
    </row>
    <row r="3771" customHeight="1" spans="4:7">
      <c r="D3771" s="256">
        <v>49015</v>
      </c>
      <c r="E3771" s="257" t="s">
        <v>8961</v>
      </c>
      <c r="F3771" s="257" t="s">
        <v>8968</v>
      </c>
      <c r="G3771" s="257" t="s">
        <v>8969</v>
      </c>
    </row>
    <row r="3772" customHeight="1" spans="4:7">
      <c r="D3772" s="256">
        <v>49015</v>
      </c>
      <c r="E3772" s="257" t="s">
        <v>8961</v>
      </c>
      <c r="F3772" s="257" t="s">
        <v>8970</v>
      </c>
      <c r="G3772" s="257" t="s">
        <v>2772</v>
      </c>
    </row>
    <row r="3773" customHeight="1" spans="4:7">
      <c r="D3773" s="256">
        <v>49015</v>
      </c>
      <c r="E3773" s="257" t="s">
        <v>8961</v>
      </c>
      <c r="F3773" s="257" t="s">
        <v>8971</v>
      </c>
      <c r="G3773" s="257" t="s">
        <v>8972</v>
      </c>
    </row>
    <row r="3774" customHeight="1" spans="4:7">
      <c r="D3774" s="256">
        <v>49015</v>
      </c>
      <c r="E3774" s="257" t="s">
        <v>8961</v>
      </c>
      <c r="F3774" s="257" t="s">
        <v>8973</v>
      </c>
      <c r="G3774" s="257" t="s">
        <v>8974</v>
      </c>
    </row>
    <row r="3775" customHeight="1" spans="4:7">
      <c r="D3775" s="256">
        <v>49015</v>
      </c>
      <c r="E3775" s="257" t="s">
        <v>8961</v>
      </c>
      <c r="F3775" s="257" t="s">
        <v>8975</v>
      </c>
      <c r="G3775" s="257" t="s">
        <v>8976</v>
      </c>
    </row>
    <row r="3776" customHeight="1" spans="4:7">
      <c r="D3776" s="256">
        <v>49015</v>
      </c>
      <c r="E3776" s="257" t="s">
        <v>8961</v>
      </c>
      <c r="F3776" s="257" t="s">
        <v>8977</v>
      </c>
      <c r="G3776" s="257" t="s">
        <v>8978</v>
      </c>
    </row>
    <row r="3777" customHeight="1" spans="4:7">
      <c r="D3777" s="256">
        <v>49016</v>
      </c>
      <c r="E3777" s="257" t="s">
        <v>8979</v>
      </c>
      <c r="F3777" s="257" t="s">
        <v>8980</v>
      </c>
      <c r="G3777" s="257" t="s">
        <v>1452</v>
      </c>
    </row>
    <row r="3778" customHeight="1" spans="4:7">
      <c r="D3778" s="256">
        <v>49016</v>
      </c>
      <c r="E3778" s="257" t="s">
        <v>8979</v>
      </c>
      <c r="F3778" s="257" t="s">
        <v>8981</v>
      </c>
      <c r="G3778" s="257" t="s">
        <v>8982</v>
      </c>
    </row>
    <row r="3779" customHeight="1" spans="4:7">
      <c r="D3779" s="256">
        <v>49016</v>
      </c>
      <c r="E3779" s="257" t="s">
        <v>8979</v>
      </c>
      <c r="F3779" s="257" t="s">
        <v>8983</v>
      </c>
      <c r="G3779" s="257" t="s">
        <v>2772</v>
      </c>
    </row>
    <row r="3780" customHeight="1" spans="4:7">
      <c r="D3780" s="256">
        <v>49016</v>
      </c>
      <c r="E3780" s="257" t="s">
        <v>8979</v>
      </c>
      <c r="F3780" s="257" t="s">
        <v>8984</v>
      </c>
      <c r="G3780" s="257" t="s">
        <v>8985</v>
      </c>
    </row>
    <row r="3781" customHeight="1" spans="4:7">
      <c r="D3781" s="256">
        <v>49016</v>
      </c>
      <c r="E3781" s="257" t="s">
        <v>8979</v>
      </c>
      <c r="F3781" s="257" t="s">
        <v>8986</v>
      </c>
      <c r="G3781" s="257" t="s">
        <v>8987</v>
      </c>
    </row>
    <row r="3782" customHeight="1" spans="4:7">
      <c r="D3782" s="256">
        <v>49016</v>
      </c>
      <c r="E3782" s="257" t="s">
        <v>8979</v>
      </c>
      <c r="F3782" s="257" t="s">
        <v>8988</v>
      </c>
      <c r="G3782" s="257" t="s">
        <v>8989</v>
      </c>
    </row>
    <row r="3783" customHeight="1" spans="4:7">
      <c r="D3783" s="256">
        <v>50030</v>
      </c>
      <c r="E3783" s="257" t="s">
        <v>8990</v>
      </c>
      <c r="F3783" s="257" t="s">
        <v>8991</v>
      </c>
      <c r="G3783" s="257" t="s">
        <v>8992</v>
      </c>
    </row>
    <row r="3784" customHeight="1" spans="4:7">
      <c r="D3784" s="256">
        <v>50030</v>
      </c>
      <c r="E3784" s="257" t="s">
        <v>8990</v>
      </c>
      <c r="F3784" s="257" t="s">
        <v>8993</v>
      </c>
      <c r="G3784" s="257" t="s">
        <v>8994</v>
      </c>
    </row>
    <row r="3785" customHeight="1" spans="4:7">
      <c r="D3785" s="256">
        <v>50030</v>
      </c>
      <c r="E3785" s="257" t="s">
        <v>8990</v>
      </c>
      <c r="F3785" s="257" t="s">
        <v>8995</v>
      </c>
      <c r="G3785" s="257" t="s">
        <v>8996</v>
      </c>
    </row>
    <row r="3786" customHeight="1" spans="4:7">
      <c r="D3786" s="256">
        <v>50030</v>
      </c>
      <c r="E3786" s="257" t="s">
        <v>8990</v>
      </c>
      <c r="F3786" s="257" t="s">
        <v>8997</v>
      </c>
      <c r="G3786" s="257" t="s">
        <v>8998</v>
      </c>
    </row>
    <row r="3787" customHeight="1" spans="4:7">
      <c r="D3787" s="256">
        <v>50030</v>
      </c>
      <c r="E3787" s="257" t="s">
        <v>8990</v>
      </c>
      <c r="F3787" s="257" t="s">
        <v>8999</v>
      </c>
      <c r="G3787" s="257" t="s">
        <v>9000</v>
      </c>
    </row>
    <row r="3788" customHeight="1" spans="4:7">
      <c r="D3788" s="256">
        <v>50030</v>
      </c>
      <c r="E3788" s="257" t="s">
        <v>8990</v>
      </c>
      <c r="F3788" s="257" t="s">
        <v>9001</v>
      </c>
      <c r="G3788" s="257" t="s">
        <v>2161</v>
      </c>
    </row>
    <row r="3789" customHeight="1" spans="4:7">
      <c r="D3789" s="256">
        <v>53020</v>
      </c>
      <c r="E3789" s="257" t="s">
        <v>9002</v>
      </c>
      <c r="F3789" s="257" t="s">
        <v>9003</v>
      </c>
      <c r="G3789" s="257" t="s">
        <v>9004</v>
      </c>
    </row>
    <row r="3790" customHeight="1" spans="4:7">
      <c r="D3790" s="256">
        <v>53020</v>
      </c>
      <c r="E3790" s="257" t="s">
        <v>9002</v>
      </c>
      <c r="F3790" s="257" t="s">
        <v>9005</v>
      </c>
      <c r="G3790" s="257" t="s">
        <v>9006</v>
      </c>
    </row>
    <row r="3791" customHeight="1" spans="4:7">
      <c r="D3791" s="256">
        <v>53020</v>
      </c>
      <c r="E3791" s="257" t="s">
        <v>9002</v>
      </c>
      <c r="F3791" s="257" t="s">
        <v>9007</v>
      </c>
      <c r="G3791" s="257" t="s">
        <v>9008</v>
      </c>
    </row>
    <row r="3792" customHeight="1" spans="4:7">
      <c r="D3792" s="256">
        <v>53020</v>
      </c>
      <c r="E3792" s="257" t="s">
        <v>9002</v>
      </c>
      <c r="F3792" s="257" t="s">
        <v>9009</v>
      </c>
      <c r="G3792" s="257" t="s">
        <v>9010</v>
      </c>
    </row>
    <row r="3793" customHeight="1" spans="4:7">
      <c r="D3793" s="256">
        <v>53020</v>
      </c>
      <c r="E3793" s="257" t="s">
        <v>9002</v>
      </c>
      <c r="F3793" s="257" t="s">
        <v>9011</v>
      </c>
      <c r="G3793" s="257" t="s">
        <v>9012</v>
      </c>
    </row>
    <row r="3794" customHeight="1" spans="4:7">
      <c r="D3794" s="256">
        <v>53020</v>
      </c>
      <c r="E3794" s="257" t="s">
        <v>9002</v>
      </c>
      <c r="F3794" s="257" t="s">
        <v>9013</v>
      </c>
      <c r="G3794" s="257" t="s">
        <v>9014</v>
      </c>
    </row>
    <row r="3795" customHeight="1" spans="4:7">
      <c r="D3795" s="256">
        <v>53020</v>
      </c>
      <c r="E3795" s="257" t="s">
        <v>9002</v>
      </c>
      <c r="F3795" s="257" t="s">
        <v>9015</v>
      </c>
      <c r="G3795" s="257" t="s">
        <v>9016</v>
      </c>
    </row>
    <row r="3796" customHeight="1" spans="4:7">
      <c r="D3796" s="256">
        <v>53020</v>
      </c>
      <c r="E3796" s="257" t="s">
        <v>9002</v>
      </c>
      <c r="F3796" s="257" t="s">
        <v>9017</v>
      </c>
      <c r="G3796" s="257" t="s">
        <v>9018</v>
      </c>
    </row>
    <row r="3797" customHeight="1" spans="4:7">
      <c r="D3797" s="256">
        <v>53020</v>
      </c>
      <c r="E3797" s="257" t="s">
        <v>9002</v>
      </c>
      <c r="F3797" s="257" t="s">
        <v>9019</v>
      </c>
      <c r="G3797" s="257" t="s">
        <v>9020</v>
      </c>
    </row>
    <row r="3798" customHeight="1" spans="4:7">
      <c r="D3798" s="256">
        <v>53021</v>
      </c>
      <c r="E3798" s="257" t="s">
        <v>9021</v>
      </c>
      <c r="F3798" s="257" t="s">
        <v>9022</v>
      </c>
      <c r="G3798" s="257" t="s">
        <v>9023</v>
      </c>
    </row>
    <row r="3799" customHeight="1" spans="4:7">
      <c r="D3799" s="256">
        <v>53021</v>
      </c>
      <c r="E3799" s="257" t="s">
        <v>9021</v>
      </c>
      <c r="F3799" s="257" t="s">
        <v>9024</v>
      </c>
      <c r="G3799" s="257" t="s">
        <v>5613</v>
      </c>
    </row>
    <row r="3800" customHeight="1" spans="4:7">
      <c r="D3800" s="256">
        <v>53021</v>
      </c>
      <c r="E3800" s="257" t="s">
        <v>9021</v>
      </c>
      <c r="F3800" s="257" t="s">
        <v>9025</v>
      </c>
      <c r="G3800" s="257" t="s">
        <v>9026</v>
      </c>
    </row>
    <row r="3801" customHeight="1" spans="4:7">
      <c r="D3801" s="256">
        <v>53021</v>
      </c>
      <c r="E3801" s="257" t="s">
        <v>9021</v>
      </c>
      <c r="F3801" s="257" t="s">
        <v>9027</v>
      </c>
      <c r="G3801" s="257" t="s">
        <v>9028</v>
      </c>
    </row>
    <row r="3802" customHeight="1" spans="4:7">
      <c r="D3802" s="256">
        <v>53021</v>
      </c>
      <c r="E3802" s="257" t="s">
        <v>9021</v>
      </c>
      <c r="F3802" s="257" t="s">
        <v>9029</v>
      </c>
      <c r="G3802" s="257" t="s">
        <v>9030</v>
      </c>
    </row>
    <row r="3803" customHeight="1" spans="4:7">
      <c r="D3803" s="256">
        <v>53021</v>
      </c>
      <c r="E3803" s="257" t="s">
        <v>9021</v>
      </c>
      <c r="F3803" s="257" t="s">
        <v>9031</v>
      </c>
      <c r="G3803" s="257" t="s">
        <v>3264</v>
      </c>
    </row>
    <row r="3804" customHeight="1" spans="4:7">
      <c r="D3804" s="256">
        <v>53021</v>
      </c>
      <c r="E3804" s="257" t="s">
        <v>9021</v>
      </c>
      <c r="F3804" s="257" t="s">
        <v>9032</v>
      </c>
      <c r="G3804" s="257" t="s">
        <v>9033</v>
      </c>
    </row>
    <row r="3805" customHeight="1" spans="4:7">
      <c r="D3805" s="256">
        <v>53021</v>
      </c>
      <c r="E3805" s="257" t="s">
        <v>9021</v>
      </c>
      <c r="F3805" s="257" t="s">
        <v>9034</v>
      </c>
      <c r="G3805" s="257" t="s">
        <v>9035</v>
      </c>
    </row>
    <row r="3806" customHeight="1" spans="4:7">
      <c r="D3806" s="256">
        <v>53021</v>
      </c>
      <c r="E3806" s="257" t="s">
        <v>9021</v>
      </c>
      <c r="F3806" s="257" t="s">
        <v>9036</v>
      </c>
      <c r="G3806" s="257" t="s">
        <v>9037</v>
      </c>
    </row>
    <row r="3807" customHeight="1" spans="4:7">
      <c r="D3807" s="256">
        <v>53021</v>
      </c>
      <c r="E3807" s="257" t="s">
        <v>9021</v>
      </c>
      <c r="F3807" s="257" t="s">
        <v>9038</v>
      </c>
      <c r="G3807" s="257" t="s">
        <v>9039</v>
      </c>
    </row>
    <row r="3808" customHeight="1" spans="4:7">
      <c r="D3808" s="256">
        <v>53021</v>
      </c>
      <c r="E3808" s="257" t="s">
        <v>9021</v>
      </c>
      <c r="F3808" s="257" t="s">
        <v>9040</v>
      </c>
      <c r="G3808" s="257" t="s">
        <v>9041</v>
      </c>
    </row>
    <row r="3809" customHeight="1" spans="4:7">
      <c r="D3809" s="256">
        <v>53021</v>
      </c>
      <c r="E3809" s="257" t="s">
        <v>9021</v>
      </c>
      <c r="F3809" s="257" t="s">
        <v>9042</v>
      </c>
      <c r="G3809" s="257" t="s">
        <v>9043</v>
      </c>
    </row>
    <row r="3810" customHeight="1" spans="4:7">
      <c r="D3810" s="256">
        <v>53021</v>
      </c>
      <c r="E3810" s="257" t="s">
        <v>9021</v>
      </c>
      <c r="F3810" s="257" t="s">
        <v>9044</v>
      </c>
      <c r="G3810" s="257" t="s">
        <v>9045</v>
      </c>
    </row>
    <row r="3811" customHeight="1" spans="4:7">
      <c r="D3811" s="256">
        <v>53021</v>
      </c>
      <c r="E3811" s="257" t="s">
        <v>9021</v>
      </c>
      <c r="F3811" s="257" t="s">
        <v>9046</v>
      </c>
      <c r="G3811" s="257" t="s">
        <v>9047</v>
      </c>
    </row>
    <row r="3812" customHeight="1" spans="4:7">
      <c r="D3812" s="256">
        <v>53021</v>
      </c>
      <c r="E3812" s="257" t="s">
        <v>9021</v>
      </c>
      <c r="F3812" s="257" t="s">
        <v>9048</v>
      </c>
      <c r="G3812" s="257" t="s">
        <v>9049</v>
      </c>
    </row>
    <row r="3813" customHeight="1" spans="4:7">
      <c r="D3813" s="256">
        <v>53021</v>
      </c>
      <c r="E3813" s="257" t="s">
        <v>9021</v>
      </c>
      <c r="F3813" s="257" t="s">
        <v>9050</v>
      </c>
      <c r="G3813" s="257" t="s">
        <v>9051</v>
      </c>
    </row>
    <row r="3814" customHeight="1" spans="4:7">
      <c r="D3814" s="256">
        <v>49017</v>
      </c>
      <c r="E3814" s="257" t="s">
        <v>9052</v>
      </c>
      <c r="F3814" s="257" t="s">
        <v>9053</v>
      </c>
      <c r="G3814" s="257" t="s">
        <v>8653</v>
      </c>
    </row>
    <row r="3815" customHeight="1" spans="4:7">
      <c r="D3815" s="256">
        <v>49017</v>
      </c>
      <c r="E3815" s="257" t="s">
        <v>9052</v>
      </c>
      <c r="F3815" s="257" t="s">
        <v>9054</v>
      </c>
      <c r="G3815" s="257" t="s">
        <v>2920</v>
      </c>
    </row>
    <row r="3816" customHeight="1" spans="4:7">
      <c r="D3816" s="256">
        <v>49017</v>
      </c>
      <c r="E3816" s="257" t="s">
        <v>9052</v>
      </c>
      <c r="F3816" s="257" t="s">
        <v>9055</v>
      </c>
      <c r="G3816" s="257" t="s">
        <v>9056</v>
      </c>
    </row>
    <row r="3817" customHeight="1" spans="4:7">
      <c r="D3817" s="256">
        <v>49017</v>
      </c>
      <c r="E3817" s="257" t="s">
        <v>9052</v>
      </c>
      <c r="F3817" s="257" t="s">
        <v>9057</v>
      </c>
      <c r="G3817" s="257" t="s">
        <v>9058</v>
      </c>
    </row>
    <row r="3818" customHeight="1" spans="4:7">
      <c r="D3818" s="256">
        <v>49017</v>
      </c>
      <c r="E3818" s="257" t="s">
        <v>9052</v>
      </c>
      <c r="F3818" s="257" t="s">
        <v>9059</v>
      </c>
      <c r="G3818" s="257" t="s">
        <v>9060</v>
      </c>
    </row>
    <row r="3819" customHeight="1" spans="4:7">
      <c r="D3819" s="256">
        <v>49017</v>
      </c>
      <c r="E3819" s="257" t="s">
        <v>9052</v>
      </c>
      <c r="F3819" s="257" t="s">
        <v>9061</v>
      </c>
      <c r="G3819" s="257" t="s">
        <v>9062</v>
      </c>
    </row>
    <row r="3820" customHeight="1" spans="4:7">
      <c r="D3820" s="256">
        <v>49017</v>
      </c>
      <c r="E3820" s="257" t="s">
        <v>9052</v>
      </c>
      <c r="F3820" s="257" t="s">
        <v>9063</v>
      </c>
      <c r="G3820" s="257" t="s">
        <v>9064</v>
      </c>
    </row>
    <row r="3821" customHeight="1" spans="4:7">
      <c r="D3821" s="256">
        <v>49017</v>
      </c>
      <c r="E3821" s="257" t="s">
        <v>9052</v>
      </c>
      <c r="F3821" s="257" t="s">
        <v>9065</v>
      </c>
      <c r="G3821" s="257" t="s">
        <v>9066</v>
      </c>
    </row>
    <row r="3822" customHeight="1" spans="4:7">
      <c r="D3822" s="256">
        <v>49017</v>
      </c>
      <c r="E3822" s="257" t="s">
        <v>9052</v>
      </c>
      <c r="F3822" s="257" t="s">
        <v>9067</v>
      </c>
      <c r="G3822" s="257" t="s">
        <v>9068</v>
      </c>
    </row>
    <row r="3823" customHeight="1" spans="4:7">
      <c r="D3823" s="256">
        <v>49017</v>
      </c>
      <c r="E3823" s="257" t="s">
        <v>9052</v>
      </c>
      <c r="F3823" s="257" t="s">
        <v>9069</v>
      </c>
      <c r="G3823" s="257" t="s">
        <v>9070</v>
      </c>
    </row>
    <row r="3824" customHeight="1" spans="4:7">
      <c r="D3824" s="256">
        <v>49017</v>
      </c>
      <c r="E3824" s="257" t="s">
        <v>9052</v>
      </c>
      <c r="F3824" s="257" t="s">
        <v>9071</v>
      </c>
      <c r="G3824" s="257" t="s">
        <v>9072</v>
      </c>
    </row>
    <row r="3825" customHeight="1" spans="4:7">
      <c r="D3825" s="256">
        <v>49017</v>
      </c>
      <c r="E3825" s="257" t="s">
        <v>9052</v>
      </c>
      <c r="F3825" s="257" t="s">
        <v>9073</v>
      </c>
      <c r="G3825" s="257" t="s">
        <v>4112</v>
      </c>
    </row>
    <row r="3826" customHeight="1" spans="4:7">
      <c r="D3826" s="256">
        <v>49017</v>
      </c>
      <c r="E3826" s="257" t="s">
        <v>9052</v>
      </c>
      <c r="F3826" s="257" t="s">
        <v>9074</v>
      </c>
      <c r="G3826" s="257" t="s">
        <v>9075</v>
      </c>
    </row>
    <row r="3827" customHeight="1" spans="4:7">
      <c r="D3827" s="256">
        <v>49017</v>
      </c>
      <c r="E3827" s="257" t="s">
        <v>9052</v>
      </c>
      <c r="F3827" s="257" t="s">
        <v>9076</v>
      </c>
      <c r="G3827" s="257" t="s">
        <v>9077</v>
      </c>
    </row>
    <row r="3828" customHeight="1" spans="4:7">
      <c r="D3828" s="256">
        <v>49017</v>
      </c>
      <c r="E3828" s="257" t="s">
        <v>9052</v>
      </c>
      <c r="F3828" s="257" t="s">
        <v>9078</v>
      </c>
      <c r="G3828" s="257" t="s">
        <v>9079</v>
      </c>
    </row>
    <row r="3829" customHeight="1" spans="4:7">
      <c r="D3829" s="256">
        <v>49017</v>
      </c>
      <c r="E3829" s="257" t="s">
        <v>9052</v>
      </c>
      <c r="F3829" s="257" t="s">
        <v>9080</v>
      </c>
      <c r="G3829" s="257" t="s">
        <v>9081</v>
      </c>
    </row>
    <row r="3830" customHeight="1" spans="4:7">
      <c r="D3830" s="256">
        <v>49017</v>
      </c>
      <c r="E3830" s="257" t="s">
        <v>9052</v>
      </c>
      <c r="F3830" s="257" t="s">
        <v>9082</v>
      </c>
      <c r="G3830" s="257" t="s">
        <v>9083</v>
      </c>
    </row>
    <row r="3831" customHeight="1" spans="4:7">
      <c r="D3831" s="256">
        <v>49017</v>
      </c>
      <c r="E3831" s="257" t="s">
        <v>9052</v>
      </c>
      <c r="F3831" s="257" t="s">
        <v>9084</v>
      </c>
      <c r="G3831" s="257" t="s">
        <v>9085</v>
      </c>
    </row>
    <row r="3832" customHeight="1" spans="4:7">
      <c r="D3832" s="256">
        <v>49017</v>
      </c>
      <c r="E3832" s="257" t="s">
        <v>9052</v>
      </c>
      <c r="F3832" s="257" t="s">
        <v>9086</v>
      </c>
      <c r="G3832" s="257" t="s">
        <v>9087</v>
      </c>
    </row>
    <row r="3833" customHeight="1" spans="4:7">
      <c r="D3833" s="256">
        <v>48037</v>
      </c>
      <c r="E3833" s="257" t="s">
        <v>9088</v>
      </c>
      <c r="F3833" s="257" t="s">
        <v>9089</v>
      </c>
      <c r="G3833" s="257" t="s">
        <v>9090</v>
      </c>
    </row>
    <row r="3834" customHeight="1" spans="4:7">
      <c r="D3834" s="256">
        <v>48037</v>
      </c>
      <c r="E3834" s="257" t="s">
        <v>9088</v>
      </c>
      <c r="F3834" s="257" t="s">
        <v>9091</v>
      </c>
      <c r="G3834" s="257" t="s">
        <v>9092</v>
      </c>
    </row>
    <row r="3835" customHeight="1" spans="4:7">
      <c r="D3835" s="256">
        <v>48037</v>
      </c>
      <c r="E3835" s="257" t="s">
        <v>9088</v>
      </c>
      <c r="F3835" s="257" t="s">
        <v>9093</v>
      </c>
      <c r="G3835" s="257" t="s">
        <v>9094</v>
      </c>
    </row>
    <row r="3836" customHeight="1" spans="4:7">
      <c r="D3836" s="256">
        <v>48037</v>
      </c>
      <c r="E3836" s="257" t="s">
        <v>9088</v>
      </c>
      <c r="F3836" s="257" t="s">
        <v>9095</v>
      </c>
      <c r="G3836" s="257" t="s">
        <v>3667</v>
      </c>
    </row>
    <row r="3837" customHeight="1" spans="4:7">
      <c r="D3837" s="256">
        <v>48037</v>
      </c>
      <c r="E3837" s="257" t="s">
        <v>9088</v>
      </c>
      <c r="F3837" s="257" t="s">
        <v>9096</v>
      </c>
      <c r="G3837" s="257" t="s">
        <v>9097</v>
      </c>
    </row>
    <row r="3838" customHeight="1" spans="4:7">
      <c r="D3838" s="256">
        <v>48037</v>
      </c>
      <c r="E3838" s="257" t="s">
        <v>9088</v>
      </c>
      <c r="F3838" s="257" t="s">
        <v>9098</v>
      </c>
      <c r="G3838" s="257" t="s">
        <v>2488</v>
      </c>
    </row>
    <row r="3839" customHeight="1" spans="4:7">
      <c r="D3839" s="256">
        <v>48037</v>
      </c>
      <c r="E3839" s="257" t="s">
        <v>9088</v>
      </c>
      <c r="F3839" s="257" t="s">
        <v>9099</v>
      </c>
      <c r="G3839" s="257" t="s">
        <v>9100</v>
      </c>
    </row>
    <row r="3840" customHeight="1" spans="4:7">
      <c r="D3840" s="256">
        <v>48037</v>
      </c>
      <c r="E3840" s="257" t="s">
        <v>9088</v>
      </c>
      <c r="F3840" s="257" t="s">
        <v>9101</v>
      </c>
      <c r="G3840" s="257" t="s">
        <v>9102</v>
      </c>
    </row>
    <row r="3841" customHeight="1" spans="4:7">
      <c r="D3841" s="256">
        <v>48037</v>
      </c>
      <c r="E3841" s="257" t="s">
        <v>9088</v>
      </c>
      <c r="F3841" s="257" t="s">
        <v>9103</v>
      </c>
      <c r="G3841" s="257" t="s">
        <v>9104</v>
      </c>
    </row>
    <row r="3842" customHeight="1" spans="4:7">
      <c r="D3842" s="256">
        <v>48037</v>
      </c>
      <c r="E3842" s="257" t="s">
        <v>9088</v>
      </c>
      <c r="F3842" s="257" t="s">
        <v>9105</v>
      </c>
      <c r="G3842" s="257" t="s">
        <v>9106</v>
      </c>
    </row>
    <row r="3843" customHeight="1" spans="4:7">
      <c r="D3843" s="256">
        <v>48037</v>
      </c>
      <c r="E3843" s="257" t="s">
        <v>9088</v>
      </c>
      <c r="F3843" s="257" t="s">
        <v>9107</v>
      </c>
      <c r="G3843" s="257" t="s">
        <v>9108</v>
      </c>
    </row>
    <row r="3844" customHeight="1" spans="4:7">
      <c r="D3844" s="256">
        <v>48037</v>
      </c>
      <c r="E3844" s="257" t="s">
        <v>9088</v>
      </c>
      <c r="F3844" s="257" t="s">
        <v>9109</v>
      </c>
      <c r="G3844" s="257" t="s">
        <v>2152</v>
      </c>
    </row>
    <row r="3845" customHeight="1" spans="4:7">
      <c r="D3845" s="256">
        <v>48037</v>
      </c>
      <c r="E3845" s="257" t="s">
        <v>9088</v>
      </c>
      <c r="F3845" s="257" t="s">
        <v>9110</v>
      </c>
      <c r="G3845" s="257" t="s">
        <v>9111</v>
      </c>
    </row>
    <row r="3846" customHeight="1" spans="4:7">
      <c r="D3846" s="256">
        <v>48037</v>
      </c>
      <c r="E3846" s="257" t="s">
        <v>9088</v>
      </c>
      <c r="F3846" s="257" t="s">
        <v>9112</v>
      </c>
      <c r="G3846" s="257" t="s">
        <v>9113</v>
      </c>
    </row>
    <row r="3847" customHeight="1" spans="4:7">
      <c r="D3847" s="256">
        <v>48037</v>
      </c>
      <c r="E3847" s="257" t="s">
        <v>9088</v>
      </c>
      <c r="F3847" s="257" t="s">
        <v>9114</v>
      </c>
      <c r="G3847" s="257" t="s">
        <v>8859</v>
      </c>
    </row>
    <row r="3848" customHeight="1" spans="4:7">
      <c r="D3848" s="256">
        <v>48037</v>
      </c>
      <c r="E3848" s="257" t="s">
        <v>9088</v>
      </c>
      <c r="F3848" s="257" t="s">
        <v>9115</v>
      </c>
      <c r="G3848" s="257" t="s">
        <v>9116</v>
      </c>
    </row>
    <row r="3849" customHeight="1" spans="4:7">
      <c r="D3849" s="256">
        <v>47018</v>
      </c>
      <c r="E3849" s="257" t="s">
        <v>9117</v>
      </c>
      <c r="F3849" s="257" t="s">
        <v>9118</v>
      </c>
      <c r="G3849" s="257" t="s">
        <v>9119</v>
      </c>
    </row>
    <row r="3850" customHeight="1" spans="4:7">
      <c r="D3850" s="256">
        <v>47018</v>
      </c>
      <c r="E3850" s="257" t="s">
        <v>9117</v>
      </c>
      <c r="F3850" s="257" t="s">
        <v>9120</v>
      </c>
      <c r="G3850" s="257" t="s">
        <v>1370</v>
      </c>
    </row>
    <row r="3851" customHeight="1" spans="4:7">
      <c r="D3851" s="256">
        <v>47018</v>
      </c>
      <c r="E3851" s="257" t="s">
        <v>9117</v>
      </c>
      <c r="F3851" s="257" t="s">
        <v>9121</v>
      </c>
      <c r="G3851" s="257" t="s">
        <v>7041</v>
      </c>
    </row>
    <row r="3852" customHeight="1" spans="4:7">
      <c r="D3852" s="256">
        <v>47018</v>
      </c>
      <c r="E3852" s="257" t="s">
        <v>9117</v>
      </c>
      <c r="F3852" s="257" t="s">
        <v>9122</v>
      </c>
      <c r="G3852" s="257" t="s">
        <v>9123</v>
      </c>
    </row>
    <row r="3853" customHeight="1" spans="4:7">
      <c r="D3853" s="256">
        <v>47018</v>
      </c>
      <c r="E3853" s="257" t="s">
        <v>9117</v>
      </c>
      <c r="F3853" s="257" t="s">
        <v>9124</v>
      </c>
      <c r="G3853" s="257" t="s">
        <v>9125</v>
      </c>
    </row>
    <row r="3854" customHeight="1" spans="4:7">
      <c r="D3854" s="256">
        <v>47018</v>
      </c>
      <c r="E3854" s="257" t="s">
        <v>9117</v>
      </c>
      <c r="F3854" s="257" t="s">
        <v>9126</v>
      </c>
      <c r="G3854" s="257" t="s">
        <v>9127</v>
      </c>
    </row>
    <row r="3855" customHeight="1" spans="4:7">
      <c r="D3855" s="256">
        <v>47018</v>
      </c>
      <c r="E3855" s="257" t="s">
        <v>9117</v>
      </c>
      <c r="F3855" s="257" t="s">
        <v>9128</v>
      </c>
      <c r="G3855" s="257" t="s">
        <v>9129</v>
      </c>
    </row>
    <row r="3856" customHeight="1" spans="4:7">
      <c r="D3856" s="256">
        <v>47018</v>
      </c>
      <c r="E3856" s="257" t="s">
        <v>9117</v>
      </c>
      <c r="F3856" s="257" t="s">
        <v>9130</v>
      </c>
      <c r="G3856" s="257" t="s">
        <v>9131</v>
      </c>
    </row>
    <row r="3857" customHeight="1" spans="4:7">
      <c r="D3857" s="256">
        <v>47018</v>
      </c>
      <c r="E3857" s="257" t="s">
        <v>9117</v>
      </c>
      <c r="F3857" s="257" t="s">
        <v>9132</v>
      </c>
      <c r="G3857" s="257" t="s">
        <v>2560</v>
      </c>
    </row>
    <row r="3858" customHeight="1" spans="4:7">
      <c r="D3858" s="256">
        <v>47018</v>
      </c>
      <c r="E3858" s="257" t="s">
        <v>9117</v>
      </c>
      <c r="F3858" s="257" t="s">
        <v>9133</v>
      </c>
      <c r="G3858" s="257" t="s">
        <v>9134</v>
      </c>
    </row>
    <row r="3859" customHeight="1" spans="4:7">
      <c r="D3859" s="256">
        <v>47018</v>
      </c>
      <c r="E3859" s="257" t="s">
        <v>9117</v>
      </c>
      <c r="F3859" s="257" t="s">
        <v>9135</v>
      </c>
      <c r="G3859" s="257" t="s">
        <v>9136</v>
      </c>
    </row>
    <row r="3860" customHeight="1" spans="4:7">
      <c r="D3860" s="256">
        <v>47018</v>
      </c>
      <c r="E3860" s="257" t="s">
        <v>9117</v>
      </c>
      <c r="F3860" s="257" t="s">
        <v>9137</v>
      </c>
      <c r="G3860" s="257" t="s">
        <v>9138</v>
      </c>
    </row>
    <row r="3861" customHeight="1" spans="4:7">
      <c r="D3861" s="256">
        <v>47018</v>
      </c>
      <c r="E3861" s="257" t="s">
        <v>9117</v>
      </c>
      <c r="F3861" s="257" t="s">
        <v>9139</v>
      </c>
      <c r="G3861" s="257" t="s">
        <v>9070</v>
      </c>
    </row>
    <row r="3862" customHeight="1" spans="4:7">
      <c r="D3862" s="256">
        <v>47018</v>
      </c>
      <c r="E3862" s="257" t="s">
        <v>9117</v>
      </c>
      <c r="F3862" s="257" t="s">
        <v>9140</v>
      </c>
      <c r="G3862" s="257" t="s">
        <v>3036</v>
      </c>
    </row>
    <row r="3863" customHeight="1" spans="4:7">
      <c r="D3863" s="256">
        <v>47018</v>
      </c>
      <c r="E3863" s="257" t="s">
        <v>9117</v>
      </c>
      <c r="F3863" s="257" t="s">
        <v>9141</v>
      </c>
      <c r="G3863" s="257" t="s">
        <v>9142</v>
      </c>
    </row>
    <row r="3864" customHeight="1" spans="4:7">
      <c r="D3864" s="256">
        <v>47018</v>
      </c>
      <c r="E3864" s="257" t="s">
        <v>9117</v>
      </c>
      <c r="F3864" s="257" t="s">
        <v>9143</v>
      </c>
      <c r="G3864" s="257" t="s">
        <v>9144</v>
      </c>
    </row>
    <row r="3865" customHeight="1" spans="4:7">
      <c r="D3865" s="256">
        <v>47018</v>
      </c>
      <c r="E3865" s="257" t="s">
        <v>9117</v>
      </c>
      <c r="F3865" s="257" t="s">
        <v>9145</v>
      </c>
      <c r="G3865" s="257" t="s">
        <v>9146</v>
      </c>
    </row>
    <row r="3866" customHeight="1" spans="4:7">
      <c r="D3866" s="256">
        <v>47018</v>
      </c>
      <c r="E3866" s="257" t="s">
        <v>9117</v>
      </c>
      <c r="F3866" s="257" t="s">
        <v>9147</v>
      </c>
      <c r="G3866" s="257" t="s">
        <v>9148</v>
      </c>
    </row>
    <row r="3867" customHeight="1" spans="4:7">
      <c r="D3867" s="256">
        <v>47018</v>
      </c>
      <c r="E3867" s="257" t="s">
        <v>9117</v>
      </c>
      <c r="F3867" s="257" t="s">
        <v>9149</v>
      </c>
      <c r="G3867" s="257" t="s">
        <v>9150</v>
      </c>
    </row>
    <row r="3868" customHeight="1" spans="4:7">
      <c r="D3868" s="256">
        <v>47018</v>
      </c>
      <c r="E3868" s="257" t="s">
        <v>9117</v>
      </c>
      <c r="F3868" s="257" t="s">
        <v>9151</v>
      </c>
      <c r="G3868" s="257" t="s">
        <v>9152</v>
      </c>
    </row>
    <row r="3869" customHeight="1" spans="4:7">
      <c r="D3869" s="256">
        <v>47018</v>
      </c>
      <c r="E3869" s="257" t="s">
        <v>9117</v>
      </c>
      <c r="F3869" s="257" t="s">
        <v>9153</v>
      </c>
      <c r="G3869" s="257" t="s">
        <v>9154</v>
      </c>
    </row>
    <row r="3870" customHeight="1" spans="4:7">
      <c r="D3870" s="256">
        <v>47018</v>
      </c>
      <c r="E3870" s="257" t="s">
        <v>9117</v>
      </c>
      <c r="F3870" s="257" t="s">
        <v>9155</v>
      </c>
      <c r="G3870" s="257" t="s">
        <v>9156</v>
      </c>
    </row>
    <row r="3871" customHeight="1" spans="4:7">
      <c r="D3871" s="256">
        <v>47018</v>
      </c>
      <c r="E3871" s="257" t="s">
        <v>9117</v>
      </c>
      <c r="F3871" s="257" t="s">
        <v>9157</v>
      </c>
      <c r="G3871" s="257" t="s">
        <v>4024</v>
      </c>
    </row>
    <row r="3872" customHeight="1" spans="4:7">
      <c r="D3872" s="256">
        <v>47018</v>
      </c>
      <c r="E3872" s="257" t="s">
        <v>9117</v>
      </c>
      <c r="F3872" s="257" t="s">
        <v>9158</v>
      </c>
      <c r="G3872" s="257" t="s">
        <v>9159</v>
      </c>
    </row>
    <row r="3873" customHeight="1" spans="4:7">
      <c r="D3873" s="256">
        <v>47018</v>
      </c>
      <c r="E3873" s="257" t="s">
        <v>9117</v>
      </c>
      <c r="F3873" s="257" t="s">
        <v>9160</v>
      </c>
      <c r="G3873" s="257" t="s">
        <v>9161</v>
      </c>
    </row>
    <row r="3874" customHeight="1" spans="4:7">
      <c r="D3874" s="256">
        <v>47018</v>
      </c>
      <c r="E3874" s="257" t="s">
        <v>9117</v>
      </c>
      <c r="F3874" s="257" t="s">
        <v>9162</v>
      </c>
      <c r="G3874" s="257" t="s">
        <v>8302</v>
      </c>
    </row>
    <row r="3875" customHeight="1" spans="4:7">
      <c r="D3875" s="256">
        <v>47018</v>
      </c>
      <c r="E3875" s="257" t="s">
        <v>9117</v>
      </c>
      <c r="F3875" s="257" t="s">
        <v>9163</v>
      </c>
      <c r="G3875" s="257" t="s">
        <v>9164</v>
      </c>
    </row>
    <row r="3876" customHeight="1" spans="4:7">
      <c r="D3876" s="256">
        <v>52027</v>
      </c>
      <c r="E3876" s="257" t="s">
        <v>9165</v>
      </c>
      <c r="F3876" s="257" t="s">
        <v>9166</v>
      </c>
      <c r="G3876" s="257" t="s">
        <v>9167</v>
      </c>
    </row>
    <row r="3877" customHeight="1" spans="4:7">
      <c r="D3877" s="256">
        <v>52027</v>
      </c>
      <c r="E3877" s="257" t="s">
        <v>9165</v>
      </c>
      <c r="F3877" s="257" t="s">
        <v>9168</v>
      </c>
      <c r="G3877" s="257" t="s">
        <v>9169</v>
      </c>
    </row>
    <row r="3878" customHeight="1" spans="4:7">
      <c r="D3878" s="256">
        <v>52027</v>
      </c>
      <c r="E3878" s="257" t="s">
        <v>9165</v>
      </c>
      <c r="F3878" s="257" t="s">
        <v>9170</v>
      </c>
      <c r="G3878" s="257" t="s">
        <v>9171</v>
      </c>
    </row>
    <row r="3879" customHeight="1" spans="4:7">
      <c r="D3879" s="256">
        <v>52027</v>
      </c>
      <c r="E3879" s="257" t="s">
        <v>9165</v>
      </c>
      <c r="F3879" s="257" t="s">
        <v>9172</v>
      </c>
      <c r="G3879" s="257" t="s">
        <v>9173</v>
      </c>
    </row>
    <row r="3880" customHeight="1" spans="4:7">
      <c r="D3880" s="256">
        <v>52027</v>
      </c>
      <c r="E3880" s="257" t="s">
        <v>9165</v>
      </c>
      <c r="F3880" s="257" t="s">
        <v>9174</v>
      </c>
      <c r="G3880" s="257" t="s">
        <v>9175</v>
      </c>
    </row>
    <row r="3881" customHeight="1" spans="4:7">
      <c r="D3881" s="256">
        <v>52027</v>
      </c>
      <c r="E3881" s="257" t="s">
        <v>9165</v>
      </c>
      <c r="F3881" s="257" t="s">
        <v>9176</v>
      </c>
      <c r="G3881" s="257" t="s">
        <v>9177</v>
      </c>
    </row>
    <row r="3882" customHeight="1" spans="4:7">
      <c r="D3882" s="256">
        <v>52027</v>
      </c>
      <c r="E3882" s="257" t="s">
        <v>9165</v>
      </c>
      <c r="F3882" s="257" t="s">
        <v>9178</v>
      </c>
      <c r="G3882" s="257" t="s">
        <v>9179</v>
      </c>
    </row>
    <row r="3883" customHeight="1" spans="4:7">
      <c r="D3883" s="256">
        <v>52027</v>
      </c>
      <c r="E3883" s="257" t="s">
        <v>9165</v>
      </c>
      <c r="F3883" s="257" t="s">
        <v>9180</v>
      </c>
      <c r="G3883" s="257" t="s">
        <v>6283</v>
      </c>
    </row>
    <row r="3884" customHeight="1" spans="4:7">
      <c r="D3884" s="256">
        <v>52027</v>
      </c>
      <c r="E3884" s="257" t="s">
        <v>9165</v>
      </c>
      <c r="F3884" s="257" t="s">
        <v>9181</v>
      </c>
      <c r="G3884" s="257" t="s">
        <v>9182</v>
      </c>
    </row>
    <row r="3885" customHeight="1" spans="4:7">
      <c r="D3885" s="256">
        <v>52027</v>
      </c>
      <c r="E3885" s="257" t="s">
        <v>9165</v>
      </c>
      <c r="F3885" s="257" t="s">
        <v>9183</v>
      </c>
      <c r="G3885" s="257" t="s">
        <v>9184</v>
      </c>
    </row>
    <row r="3886" customHeight="1" spans="4:7">
      <c r="D3886" s="256">
        <v>52027</v>
      </c>
      <c r="E3886" s="257" t="s">
        <v>9165</v>
      </c>
      <c r="F3886" s="257" t="s">
        <v>9185</v>
      </c>
      <c r="G3886" s="257" t="s">
        <v>9186</v>
      </c>
    </row>
    <row r="3887" customHeight="1" spans="4:7">
      <c r="D3887" s="256">
        <v>48038</v>
      </c>
      <c r="E3887" s="257" t="s">
        <v>9187</v>
      </c>
      <c r="F3887" s="257" t="s">
        <v>9188</v>
      </c>
      <c r="G3887" s="257" t="s">
        <v>9189</v>
      </c>
    </row>
    <row r="3888" customHeight="1" spans="4:7">
      <c r="D3888" s="256">
        <v>48038</v>
      </c>
      <c r="E3888" s="257" t="s">
        <v>9187</v>
      </c>
      <c r="F3888" s="257" t="s">
        <v>9190</v>
      </c>
      <c r="G3888" s="257" t="s">
        <v>2743</v>
      </c>
    </row>
    <row r="3889" customHeight="1" spans="4:7">
      <c r="D3889" s="256">
        <v>48038</v>
      </c>
      <c r="E3889" s="257" t="s">
        <v>9187</v>
      </c>
      <c r="F3889" s="257" t="s">
        <v>9191</v>
      </c>
      <c r="G3889" s="257" t="s">
        <v>9192</v>
      </c>
    </row>
    <row r="3890" customHeight="1" spans="4:7">
      <c r="D3890" s="256">
        <v>48038</v>
      </c>
      <c r="E3890" s="257" t="s">
        <v>9187</v>
      </c>
      <c r="F3890" s="257" t="s">
        <v>9193</v>
      </c>
      <c r="G3890" s="257" t="s">
        <v>9194</v>
      </c>
    </row>
    <row r="3891" customHeight="1" spans="4:7">
      <c r="D3891" s="256">
        <v>48038</v>
      </c>
      <c r="E3891" s="257" t="s">
        <v>9187</v>
      </c>
      <c r="F3891" s="257" t="s">
        <v>9195</v>
      </c>
      <c r="G3891" s="257" t="s">
        <v>7151</v>
      </c>
    </row>
    <row r="3892" customHeight="1" spans="4:7">
      <c r="D3892" s="256">
        <v>48038</v>
      </c>
      <c r="E3892" s="257" t="s">
        <v>9187</v>
      </c>
      <c r="F3892" s="257" t="s">
        <v>9196</v>
      </c>
      <c r="G3892" s="257" t="s">
        <v>3389</v>
      </c>
    </row>
    <row r="3893" customHeight="1" spans="4:7">
      <c r="D3893" s="256">
        <v>48038</v>
      </c>
      <c r="E3893" s="257" t="s">
        <v>9187</v>
      </c>
      <c r="F3893" s="257" t="s">
        <v>9197</v>
      </c>
      <c r="G3893" s="257" t="s">
        <v>9198</v>
      </c>
    </row>
    <row r="3894" customHeight="1" spans="4:7">
      <c r="D3894" s="256">
        <v>48038</v>
      </c>
      <c r="E3894" s="257" t="s">
        <v>9187</v>
      </c>
      <c r="F3894" s="257" t="s">
        <v>9199</v>
      </c>
      <c r="G3894" s="257" t="s">
        <v>7479</v>
      </c>
    </row>
    <row r="3895" customHeight="1" spans="4:7">
      <c r="D3895" s="256">
        <v>48038</v>
      </c>
      <c r="E3895" s="257" t="s">
        <v>9187</v>
      </c>
      <c r="F3895" s="257" t="s">
        <v>9200</v>
      </c>
      <c r="G3895" s="257" t="s">
        <v>6929</v>
      </c>
    </row>
    <row r="3896" customHeight="1" spans="4:7">
      <c r="D3896" s="256">
        <v>48038</v>
      </c>
      <c r="E3896" s="257" t="s">
        <v>9187</v>
      </c>
      <c r="F3896" s="257" t="s">
        <v>9201</v>
      </c>
      <c r="G3896" s="257" t="s">
        <v>9202</v>
      </c>
    </row>
    <row r="3897" customHeight="1" spans="4:7">
      <c r="D3897" s="256">
        <v>48038</v>
      </c>
      <c r="E3897" s="257" t="s">
        <v>9187</v>
      </c>
      <c r="F3897" s="257" t="s">
        <v>9203</v>
      </c>
      <c r="G3897" s="257" t="s">
        <v>4727</v>
      </c>
    </row>
    <row r="3898" customHeight="1" spans="4:7">
      <c r="D3898" s="256">
        <v>48038</v>
      </c>
      <c r="E3898" s="257" t="s">
        <v>9187</v>
      </c>
      <c r="F3898" s="257" t="s">
        <v>9204</v>
      </c>
      <c r="G3898" s="257" t="s">
        <v>9205</v>
      </c>
    </row>
    <row r="3899" customHeight="1" spans="4:7">
      <c r="D3899" s="256">
        <v>48038</v>
      </c>
      <c r="E3899" s="257" t="s">
        <v>9187</v>
      </c>
      <c r="F3899" s="257" t="s">
        <v>9206</v>
      </c>
      <c r="G3899" s="257" t="s">
        <v>9207</v>
      </c>
    </row>
    <row r="3900" customHeight="1" spans="4:7">
      <c r="D3900" s="256">
        <v>48038</v>
      </c>
      <c r="E3900" s="257" t="s">
        <v>9187</v>
      </c>
      <c r="F3900" s="257" t="s">
        <v>9208</v>
      </c>
      <c r="G3900" s="257" t="s">
        <v>9209</v>
      </c>
    </row>
    <row r="3901" customHeight="1" spans="4:7">
      <c r="D3901" s="256">
        <v>48038</v>
      </c>
      <c r="E3901" s="257" t="s">
        <v>9187</v>
      </c>
      <c r="F3901" s="257" t="s">
        <v>9210</v>
      </c>
      <c r="G3901" s="257" t="s">
        <v>9211</v>
      </c>
    </row>
    <row r="3902" customHeight="1" spans="4:7">
      <c r="D3902" s="256">
        <v>48038</v>
      </c>
      <c r="E3902" s="257" t="s">
        <v>9187</v>
      </c>
      <c r="F3902" s="257" t="s">
        <v>9212</v>
      </c>
      <c r="G3902" s="257" t="s">
        <v>9213</v>
      </c>
    </row>
    <row r="3903" customHeight="1" spans="4:7">
      <c r="D3903" s="256">
        <v>48038</v>
      </c>
      <c r="E3903" s="257" t="s">
        <v>9187</v>
      </c>
      <c r="F3903" s="257" t="s">
        <v>9214</v>
      </c>
      <c r="G3903" s="257" t="s">
        <v>9213</v>
      </c>
    </row>
    <row r="3904" customHeight="1" spans="4:7">
      <c r="D3904" s="256">
        <v>48038</v>
      </c>
      <c r="E3904" s="257" t="s">
        <v>9187</v>
      </c>
      <c r="F3904" s="257" t="s">
        <v>9215</v>
      </c>
      <c r="G3904" s="257" t="s">
        <v>9216</v>
      </c>
    </row>
    <row r="3905" customHeight="1" spans="4:7">
      <c r="D3905" s="256">
        <v>48038</v>
      </c>
      <c r="E3905" s="257" t="s">
        <v>9187</v>
      </c>
      <c r="F3905" s="257" t="s">
        <v>9217</v>
      </c>
      <c r="G3905" s="257" t="s">
        <v>9218</v>
      </c>
    </row>
    <row r="3906" customHeight="1" spans="4:7">
      <c r="D3906" s="256">
        <v>48038</v>
      </c>
      <c r="E3906" s="257" t="s">
        <v>9187</v>
      </c>
      <c r="F3906" s="257" t="s">
        <v>9219</v>
      </c>
      <c r="G3906" s="257" t="s">
        <v>9220</v>
      </c>
    </row>
    <row r="3907" customHeight="1" spans="4:7">
      <c r="D3907" s="256">
        <v>48038</v>
      </c>
      <c r="E3907" s="257" t="s">
        <v>9187</v>
      </c>
      <c r="F3907" s="257" t="s">
        <v>9221</v>
      </c>
      <c r="G3907" s="257" t="s">
        <v>2675</v>
      </c>
    </row>
    <row r="3908" customHeight="1" spans="4:7">
      <c r="D3908" s="256">
        <v>48038</v>
      </c>
      <c r="E3908" s="257" t="s">
        <v>9187</v>
      </c>
      <c r="F3908" s="257" t="s">
        <v>9222</v>
      </c>
      <c r="G3908" s="257" t="s">
        <v>9223</v>
      </c>
    </row>
    <row r="3909" customHeight="1" spans="4:7">
      <c r="D3909" s="256">
        <v>48038</v>
      </c>
      <c r="E3909" s="257" t="s">
        <v>9187</v>
      </c>
      <c r="F3909" s="257" t="s">
        <v>9224</v>
      </c>
      <c r="G3909" s="257" t="s">
        <v>2786</v>
      </c>
    </row>
    <row r="3910" customHeight="1" spans="4:7">
      <c r="D3910" s="256">
        <v>48038</v>
      </c>
      <c r="E3910" s="257" t="s">
        <v>9187</v>
      </c>
      <c r="F3910" s="257" t="s">
        <v>9225</v>
      </c>
      <c r="G3910" s="257" t="s">
        <v>9226</v>
      </c>
    </row>
    <row r="3911" customHeight="1" spans="4:7">
      <c r="D3911" s="256">
        <v>48038</v>
      </c>
      <c r="E3911" s="257" t="s">
        <v>9187</v>
      </c>
      <c r="F3911" s="257" t="s">
        <v>9227</v>
      </c>
      <c r="G3911" s="257" t="s">
        <v>8119</v>
      </c>
    </row>
    <row r="3912" customHeight="1" spans="4:7">
      <c r="D3912" s="256">
        <v>48038</v>
      </c>
      <c r="E3912" s="257" t="s">
        <v>9187</v>
      </c>
      <c r="F3912" s="257" t="s">
        <v>9228</v>
      </c>
      <c r="G3912" s="257" t="s">
        <v>9229</v>
      </c>
    </row>
    <row r="3913" customHeight="1" spans="4:7">
      <c r="D3913" s="256">
        <v>48038</v>
      </c>
      <c r="E3913" s="257" t="s">
        <v>9187</v>
      </c>
      <c r="F3913" s="257" t="s">
        <v>9230</v>
      </c>
      <c r="G3913" s="257" t="s">
        <v>9231</v>
      </c>
    </row>
    <row r="3914" customHeight="1" spans="4:7">
      <c r="D3914" s="256">
        <v>52028</v>
      </c>
      <c r="E3914" s="257" t="s">
        <v>9232</v>
      </c>
      <c r="F3914" s="257" t="s">
        <v>9233</v>
      </c>
      <c r="G3914" s="257" t="s">
        <v>9234</v>
      </c>
    </row>
    <row r="3915" customHeight="1" spans="4:7">
      <c r="D3915" s="256">
        <v>52028</v>
      </c>
      <c r="E3915" s="257" t="s">
        <v>9232</v>
      </c>
      <c r="F3915" s="257" t="s">
        <v>9235</v>
      </c>
      <c r="G3915" s="257" t="s">
        <v>9236</v>
      </c>
    </row>
    <row r="3916" customHeight="1" spans="4:7">
      <c r="D3916" s="256">
        <v>52028</v>
      </c>
      <c r="E3916" s="257" t="s">
        <v>9232</v>
      </c>
      <c r="F3916" s="257" t="s">
        <v>9237</v>
      </c>
      <c r="G3916" s="257" t="s">
        <v>4492</v>
      </c>
    </row>
    <row r="3917" customHeight="1" spans="4:7">
      <c r="D3917" s="256">
        <v>52028</v>
      </c>
      <c r="E3917" s="257" t="s">
        <v>9232</v>
      </c>
      <c r="F3917" s="257" t="s">
        <v>9238</v>
      </c>
      <c r="G3917" s="257" t="s">
        <v>9239</v>
      </c>
    </row>
    <row r="3918" customHeight="1" spans="4:7">
      <c r="D3918" s="256">
        <v>52028</v>
      </c>
      <c r="E3918" s="257" t="s">
        <v>9232</v>
      </c>
      <c r="F3918" s="257" t="s">
        <v>9240</v>
      </c>
      <c r="G3918" s="257" t="s">
        <v>3625</v>
      </c>
    </row>
    <row r="3919" customHeight="1" spans="4:7">
      <c r="D3919" s="256">
        <v>52028</v>
      </c>
      <c r="E3919" s="257" t="s">
        <v>9232</v>
      </c>
      <c r="F3919" s="257" t="s">
        <v>9241</v>
      </c>
      <c r="G3919" s="257" t="s">
        <v>9242</v>
      </c>
    </row>
    <row r="3920" customHeight="1" spans="4:7">
      <c r="D3920" s="256">
        <v>52028</v>
      </c>
      <c r="E3920" s="257" t="s">
        <v>9232</v>
      </c>
      <c r="F3920" s="257" t="s">
        <v>9243</v>
      </c>
      <c r="G3920" s="257" t="s">
        <v>9244</v>
      </c>
    </row>
    <row r="3921" customHeight="1" spans="4:7">
      <c r="D3921" s="256">
        <v>52028</v>
      </c>
      <c r="E3921" s="257" t="s">
        <v>9232</v>
      </c>
      <c r="F3921" s="257" t="s">
        <v>9245</v>
      </c>
      <c r="G3921" s="257" t="s">
        <v>2531</v>
      </c>
    </row>
    <row r="3922" customHeight="1" spans="4:7">
      <c r="D3922" s="256">
        <v>52028</v>
      </c>
      <c r="E3922" s="257" t="s">
        <v>9232</v>
      </c>
      <c r="F3922" s="257" t="s">
        <v>9246</v>
      </c>
      <c r="G3922" s="257" t="s">
        <v>9247</v>
      </c>
    </row>
    <row r="3923" customHeight="1" spans="4:7">
      <c r="D3923" s="256">
        <v>52028</v>
      </c>
      <c r="E3923" s="257" t="s">
        <v>9232</v>
      </c>
      <c r="F3923" s="257" t="s">
        <v>9248</v>
      </c>
      <c r="G3923" s="257" t="s">
        <v>2285</v>
      </c>
    </row>
    <row r="3924" customHeight="1" spans="4:7">
      <c r="D3924" s="256">
        <v>52028</v>
      </c>
      <c r="E3924" s="257" t="s">
        <v>9232</v>
      </c>
      <c r="F3924" s="257" t="s">
        <v>9249</v>
      </c>
      <c r="G3924" s="257" t="s">
        <v>9250</v>
      </c>
    </row>
    <row r="3925" customHeight="1" spans="4:7">
      <c r="D3925" s="256">
        <v>52029</v>
      </c>
      <c r="E3925" s="257" t="s">
        <v>9251</v>
      </c>
      <c r="F3925" s="257" t="s">
        <v>9252</v>
      </c>
      <c r="G3925" s="257" t="s">
        <v>9253</v>
      </c>
    </row>
    <row r="3926" customHeight="1" spans="4:7">
      <c r="D3926" s="256">
        <v>52029</v>
      </c>
      <c r="E3926" s="257" t="s">
        <v>9251</v>
      </c>
      <c r="F3926" s="257" t="s">
        <v>9254</v>
      </c>
      <c r="G3926" s="257" t="s">
        <v>9255</v>
      </c>
    </row>
    <row r="3927" customHeight="1" spans="4:7">
      <c r="D3927" s="256">
        <v>52029</v>
      </c>
      <c r="E3927" s="257" t="s">
        <v>9251</v>
      </c>
      <c r="F3927" s="257" t="s">
        <v>9256</v>
      </c>
      <c r="G3927" s="257" t="s">
        <v>9257</v>
      </c>
    </row>
    <row r="3928" customHeight="1" spans="4:7">
      <c r="D3928" s="256">
        <v>52029</v>
      </c>
      <c r="E3928" s="257" t="s">
        <v>9251</v>
      </c>
      <c r="F3928" s="257" t="s">
        <v>9258</v>
      </c>
      <c r="G3928" s="257" t="s">
        <v>9259</v>
      </c>
    </row>
    <row r="3929" customHeight="1" spans="4:7">
      <c r="D3929" s="256">
        <v>51033</v>
      </c>
      <c r="E3929" s="257" t="s">
        <v>9260</v>
      </c>
      <c r="F3929" s="257" t="s">
        <v>9261</v>
      </c>
      <c r="G3929" s="257" t="s">
        <v>9262</v>
      </c>
    </row>
    <row r="3930" customHeight="1" spans="4:7">
      <c r="D3930" s="256">
        <v>51033</v>
      </c>
      <c r="E3930" s="257" t="s">
        <v>9260</v>
      </c>
      <c r="F3930" s="257" t="s">
        <v>9263</v>
      </c>
      <c r="G3930" s="257" t="s">
        <v>9264</v>
      </c>
    </row>
    <row r="3931" customHeight="1" spans="4:7">
      <c r="D3931" s="256">
        <v>51033</v>
      </c>
      <c r="E3931" s="257" t="s">
        <v>9260</v>
      </c>
      <c r="F3931" s="257" t="s">
        <v>9265</v>
      </c>
      <c r="G3931" s="257" t="s">
        <v>9266</v>
      </c>
    </row>
    <row r="3932" customHeight="1" spans="4:7">
      <c r="D3932" s="256">
        <v>51033</v>
      </c>
      <c r="E3932" s="257" t="s">
        <v>9260</v>
      </c>
      <c r="F3932" s="257" t="s">
        <v>9267</v>
      </c>
      <c r="G3932" s="257" t="s">
        <v>9268</v>
      </c>
    </row>
    <row r="3933" customHeight="1" spans="4:7">
      <c r="D3933" s="256">
        <v>51033</v>
      </c>
      <c r="E3933" s="257" t="s">
        <v>9260</v>
      </c>
      <c r="F3933" s="257" t="s">
        <v>9269</v>
      </c>
      <c r="G3933" s="257" t="s">
        <v>4097</v>
      </c>
    </row>
    <row r="3934" customHeight="1" spans="4:7">
      <c r="D3934" s="256">
        <v>51033</v>
      </c>
      <c r="E3934" s="257" t="s">
        <v>9260</v>
      </c>
      <c r="F3934" s="257" t="s">
        <v>9270</v>
      </c>
      <c r="G3934" s="257" t="s">
        <v>9271</v>
      </c>
    </row>
    <row r="3935" customHeight="1" spans="4:7">
      <c r="D3935" s="256">
        <v>50031</v>
      </c>
      <c r="E3935" s="257" t="s">
        <v>9272</v>
      </c>
      <c r="F3935" s="257" t="s">
        <v>9273</v>
      </c>
      <c r="G3935" s="257" t="s">
        <v>9274</v>
      </c>
    </row>
    <row r="3936" customHeight="1" spans="4:7">
      <c r="D3936" s="256">
        <v>50031</v>
      </c>
      <c r="E3936" s="257" t="s">
        <v>9272</v>
      </c>
      <c r="F3936" s="257" t="s">
        <v>9275</v>
      </c>
      <c r="G3936" s="257" t="s">
        <v>9276</v>
      </c>
    </row>
    <row r="3937" customHeight="1" spans="4:7">
      <c r="D3937" s="256">
        <v>50031</v>
      </c>
      <c r="E3937" s="257" t="s">
        <v>9272</v>
      </c>
      <c r="F3937" s="257" t="s">
        <v>9277</v>
      </c>
      <c r="G3937" s="257" t="s">
        <v>9278</v>
      </c>
    </row>
    <row r="3938" customHeight="1" spans="4:7">
      <c r="D3938" s="256">
        <v>50031</v>
      </c>
      <c r="E3938" s="257" t="s">
        <v>9272</v>
      </c>
      <c r="F3938" s="257" t="s">
        <v>9279</v>
      </c>
      <c r="G3938" s="257" t="s">
        <v>9280</v>
      </c>
    </row>
    <row r="3939" customHeight="1" spans="4:7">
      <c r="D3939" s="256">
        <v>50031</v>
      </c>
      <c r="E3939" s="257" t="s">
        <v>9272</v>
      </c>
      <c r="F3939" s="257" t="s">
        <v>9281</v>
      </c>
      <c r="G3939" s="257" t="s">
        <v>9282</v>
      </c>
    </row>
    <row r="3940" customHeight="1" spans="4:7">
      <c r="D3940" s="256">
        <v>50031</v>
      </c>
      <c r="E3940" s="257" t="s">
        <v>9272</v>
      </c>
      <c r="F3940" s="257" t="s">
        <v>9283</v>
      </c>
      <c r="G3940" s="257" t="s">
        <v>1784</v>
      </c>
    </row>
    <row r="3941" customHeight="1" spans="4:7">
      <c r="D3941" s="256">
        <v>50031</v>
      </c>
      <c r="E3941" s="257" t="s">
        <v>9272</v>
      </c>
      <c r="F3941" s="257" t="s">
        <v>9284</v>
      </c>
      <c r="G3941" s="257" t="s">
        <v>9285</v>
      </c>
    </row>
    <row r="3942" customHeight="1" spans="4:7">
      <c r="D3942" s="256">
        <v>50031</v>
      </c>
      <c r="E3942" s="257" t="s">
        <v>9272</v>
      </c>
      <c r="F3942" s="257" t="s">
        <v>9286</v>
      </c>
      <c r="G3942" s="257" t="s">
        <v>5553</v>
      </c>
    </row>
    <row r="3943" customHeight="1" spans="4:7">
      <c r="D3943" s="256">
        <v>50031</v>
      </c>
      <c r="E3943" s="257" t="s">
        <v>9272</v>
      </c>
      <c r="F3943" s="257" t="s">
        <v>9287</v>
      </c>
      <c r="G3943" s="257" t="s">
        <v>9288</v>
      </c>
    </row>
    <row r="3944" customHeight="1" spans="4:7">
      <c r="D3944" s="256">
        <v>50031</v>
      </c>
      <c r="E3944" s="257" t="s">
        <v>9272</v>
      </c>
      <c r="F3944" s="257" t="s">
        <v>9289</v>
      </c>
      <c r="G3944" s="257" t="s">
        <v>9290</v>
      </c>
    </row>
    <row r="3945" customHeight="1" spans="4:7">
      <c r="D3945" s="256">
        <v>50031</v>
      </c>
      <c r="E3945" s="257" t="s">
        <v>9272</v>
      </c>
      <c r="F3945" s="257" t="s">
        <v>9291</v>
      </c>
      <c r="G3945" s="257" t="s">
        <v>9292</v>
      </c>
    </row>
    <row r="3946" customHeight="1" spans="4:7">
      <c r="D3946" s="256">
        <v>50031</v>
      </c>
      <c r="E3946" s="257" t="s">
        <v>9272</v>
      </c>
      <c r="F3946" s="257" t="s">
        <v>9293</v>
      </c>
      <c r="G3946" s="257" t="s">
        <v>9294</v>
      </c>
    </row>
    <row r="3947" customHeight="1" spans="4:7">
      <c r="D3947" s="256">
        <v>50031</v>
      </c>
      <c r="E3947" s="257" t="s">
        <v>9272</v>
      </c>
      <c r="F3947" s="257" t="s">
        <v>9295</v>
      </c>
      <c r="G3947" s="257" t="s">
        <v>7845</v>
      </c>
    </row>
    <row r="3948" customHeight="1" spans="4:7">
      <c r="D3948" s="256">
        <v>50031</v>
      </c>
      <c r="E3948" s="257" t="s">
        <v>9272</v>
      </c>
      <c r="F3948" s="257" t="s">
        <v>9296</v>
      </c>
      <c r="G3948" s="257" t="s">
        <v>4533</v>
      </c>
    </row>
    <row r="3949" customHeight="1" spans="4:7">
      <c r="D3949" s="256">
        <v>50031</v>
      </c>
      <c r="E3949" s="257" t="s">
        <v>9272</v>
      </c>
      <c r="F3949" s="257" t="s">
        <v>9297</v>
      </c>
      <c r="G3949" s="257" t="s">
        <v>9298</v>
      </c>
    </row>
    <row r="3950" customHeight="1" spans="4:7">
      <c r="D3950" s="256">
        <v>50031</v>
      </c>
      <c r="E3950" s="257" t="s">
        <v>9272</v>
      </c>
      <c r="F3950" s="257" t="s">
        <v>9299</v>
      </c>
      <c r="G3950" s="257" t="s">
        <v>9300</v>
      </c>
    </row>
    <row r="3951" customHeight="1" spans="4:7">
      <c r="D3951" s="256">
        <v>50031</v>
      </c>
      <c r="E3951" s="257" t="s">
        <v>9272</v>
      </c>
      <c r="F3951" s="257" t="s">
        <v>9301</v>
      </c>
      <c r="G3951" s="257" t="s">
        <v>7459</v>
      </c>
    </row>
    <row r="3952" customHeight="1" spans="4:7">
      <c r="D3952" s="256">
        <v>50031</v>
      </c>
      <c r="E3952" s="257" t="s">
        <v>9272</v>
      </c>
      <c r="F3952" s="257" t="s">
        <v>9302</v>
      </c>
      <c r="G3952" s="257" t="s">
        <v>5817</v>
      </c>
    </row>
    <row r="3953" customHeight="1" spans="4:7">
      <c r="D3953" s="256">
        <v>50031</v>
      </c>
      <c r="E3953" s="257" t="s">
        <v>9272</v>
      </c>
      <c r="F3953" s="257" t="s">
        <v>9303</v>
      </c>
      <c r="G3953" s="257" t="s">
        <v>9304</v>
      </c>
    </row>
    <row r="3954" customHeight="1" spans="4:7">
      <c r="D3954" s="256">
        <v>50031</v>
      </c>
      <c r="E3954" s="257" t="s">
        <v>9272</v>
      </c>
      <c r="F3954" s="257" t="s">
        <v>9305</v>
      </c>
      <c r="G3954" s="257" t="s">
        <v>9306</v>
      </c>
    </row>
    <row r="3955" customHeight="1" spans="4:7">
      <c r="D3955" s="256">
        <v>50031</v>
      </c>
      <c r="E3955" s="257" t="s">
        <v>9272</v>
      </c>
      <c r="F3955" s="257" t="s">
        <v>9307</v>
      </c>
      <c r="G3955" s="257" t="s">
        <v>9308</v>
      </c>
    </row>
    <row r="3956" customHeight="1" spans="4:7">
      <c r="D3956" s="256">
        <v>50031</v>
      </c>
      <c r="E3956" s="257" t="s">
        <v>9272</v>
      </c>
      <c r="F3956" s="257" t="s">
        <v>9309</v>
      </c>
      <c r="G3956" s="257" t="s">
        <v>9310</v>
      </c>
    </row>
    <row r="3957" customHeight="1" spans="4:7">
      <c r="D3957" s="256">
        <v>50031</v>
      </c>
      <c r="E3957" s="257" t="s">
        <v>9272</v>
      </c>
      <c r="F3957" s="257" t="s">
        <v>9311</v>
      </c>
      <c r="G3957" s="257" t="s">
        <v>9312</v>
      </c>
    </row>
    <row r="3958" customHeight="1" spans="4:7">
      <c r="D3958" s="256">
        <v>50031</v>
      </c>
      <c r="E3958" s="257" t="s">
        <v>9272</v>
      </c>
      <c r="F3958" s="257" t="s">
        <v>9313</v>
      </c>
      <c r="G3958" s="257" t="s">
        <v>2825</v>
      </c>
    </row>
    <row r="3959" customHeight="1" spans="4:7">
      <c r="D3959" s="256">
        <v>50031</v>
      </c>
      <c r="E3959" s="257" t="s">
        <v>9272</v>
      </c>
      <c r="F3959" s="257" t="s">
        <v>9314</v>
      </c>
      <c r="G3959" s="257" t="s">
        <v>9315</v>
      </c>
    </row>
    <row r="3960" customHeight="1" spans="4:7">
      <c r="D3960" s="256">
        <v>50031</v>
      </c>
      <c r="E3960" s="257" t="s">
        <v>9272</v>
      </c>
      <c r="F3960" s="257" t="s">
        <v>9316</v>
      </c>
      <c r="G3960" s="257" t="s">
        <v>9315</v>
      </c>
    </row>
    <row r="3961" customHeight="1" spans="4:7">
      <c r="D3961" s="256">
        <v>50031</v>
      </c>
      <c r="E3961" s="257" t="s">
        <v>9272</v>
      </c>
      <c r="F3961" s="257" t="s">
        <v>9317</v>
      </c>
      <c r="G3961" s="257" t="s">
        <v>9318</v>
      </c>
    </row>
    <row r="3962" customHeight="1" spans="4:7">
      <c r="D3962" s="256">
        <v>50031</v>
      </c>
      <c r="E3962" s="257" t="s">
        <v>9272</v>
      </c>
      <c r="F3962" s="257" t="s">
        <v>9319</v>
      </c>
      <c r="G3962" s="257" t="s">
        <v>9320</v>
      </c>
    </row>
    <row r="3963" customHeight="1" spans="4:7">
      <c r="D3963" s="256">
        <v>50031</v>
      </c>
      <c r="E3963" s="257" t="s">
        <v>9272</v>
      </c>
      <c r="F3963" s="257" t="s">
        <v>9321</v>
      </c>
      <c r="G3963" s="257" t="s">
        <v>4317</v>
      </c>
    </row>
    <row r="3964" customHeight="1" spans="4:7">
      <c r="D3964" s="256">
        <v>50031</v>
      </c>
      <c r="E3964" s="257" t="s">
        <v>9272</v>
      </c>
      <c r="F3964" s="257" t="s">
        <v>9322</v>
      </c>
      <c r="G3964" s="257" t="s">
        <v>1711</v>
      </c>
    </row>
    <row r="3965" customHeight="1" spans="4:7">
      <c r="D3965" s="256">
        <v>50031</v>
      </c>
      <c r="E3965" s="257" t="s">
        <v>9272</v>
      </c>
      <c r="F3965" s="257" t="s">
        <v>9323</v>
      </c>
      <c r="G3965" s="257" t="s">
        <v>9324</v>
      </c>
    </row>
    <row r="3966" customHeight="1" spans="4:7">
      <c r="D3966" s="256">
        <v>50031</v>
      </c>
      <c r="E3966" s="257" t="s">
        <v>9272</v>
      </c>
      <c r="F3966" s="257" t="s">
        <v>9325</v>
      </c>
      <c r="G3966" s="257" t="s">
        <v>9326</v>
      </c>
    </row>
    <row r="3967" customHeight="1" spans="4:7">
      <c r="D3967" s="256">
        <v>50031</v>
      </c>
      <c r="E3967" s="257" t="s">
        <v>9272</v>
      </c>
      <c r="F3967" s="257" t="s">
        <v>9327</v>
      </c>
      <c r="G3967" s="257" t="s">
        <v>9328</v>
      </c>
    </row>
    <row r="3968" customHeight="1" spans="4:7">
      <c r="D3968" s="256">
        <v>50031</v>
      </c>
      <c r="E3968" s="257" t="s">
        <v>9272</v>
      </c>
      <c r="F3968" s="257" t="s">
        <v>9329</v>
      </c>
      <c r="G3968" s="257" t="s">
        <v>4942</v>
      </c>
    </row>
    <row r="3969" customHeight="1" spans="4:7">
      <c r="D3969" s="256">
        <v>50031</v>
      </c>
      <c r="E3969" s="257" t="s">
        <v>9272</v>
      </c>
      <c r="F3969" s="257" t="s">
        <v>9330</v>
      </c>
      <c r="G3969" s="257" t="s">
        <v>9331</v>
      </c>
    </row>
    <row r="3970" customHeight="1" spans="4:7">
      <c r="D3970" s="256">
        <v>50031</v>
      </c>
      <c r="E3970" s="257" t="s">
        <v>9272</v>
      </c>
      <c r="F3970" s="257" t="s">
        <v>9332</v>
      </c>
      <c r="G3970" s="257" t="s">
        <v>9333</v>
      </c>
    </row>
    <row r="3971" customHeight="1" spans="4:7">
      <c r="D3971" s="256">
        <v>50031</v>
      </c>
      <c r="E3971" s="257" t="s">
        <v>9272</v>
      </c>
      <c r="F3971" s="257" t="s">
        <v>9334</v>
      </c>
      <c r="G3971" s="257" t="s">
        <v>9335</v>
      </c>
    </row>
    <row r="3972" customHeight="1" spans="4:7">
      <c r="D3972" s="256">
        <v>50031</v>
      </c>
      <c r="E3972" s="257" t="s">
        <v>9272</v>
      </c>
      <c r="F3972" s="257" t="s">
        <v>9336</v>
      </c>
      <c r="G3972" s="257" t="s">
        <v>2161</v>
      </c>
    </row>
    <row r="3973" customHeight="1" spans="4:7">
      <c r="D3973" s="256">
        <v>50031</v>
      </c>
      <c r="E3973" s="257" t="s">
        <v>9272</v>
      </c>
      <c r="F3973" s="257" t="s">
        <v>9337</v>
      </c>
      <c r="G3973" s="257" t="s">
        <v>9338</v>
      </c>
    </row>
    <row r="3974" customHeight="1" spans="4:7">
      <c r="D3974" s="256">
        <v>50031</v>
      </c>
      <c r="E3974" s="257" t="s">
        <v>9272</v>
      </c>
      <c r="F3974" s="257" t="s">
        <v>9339</v>
      </c>
      <c r="G3974" s="257" t="s">
        <v>9340</v>
      </c>
    </row>
    <row r="3975" customHeight="1" spans="4:7">
      <c r="D3975" s="256">
        <v>48039</v>
      </c>
      <c r="E3975" s="257" t="s">
        <v>9341</v>
      </c>
      <c r="F3975" s="257" t="s">
        <v>9342</v>
      </c>
      <c r="G3975" s="257" t="s">
        <v>6175</v>
      </c>
    </row>
    <row r="3976" customHeight="1" spans="4:7">
      <c r="D3976" s="256">
        <v>48039</v>
      </c>
      <c r="E3976" s="257" t="s">
        <v>9341</v>
      </c>
      <c r="F3976" s="257" t="s">
        <v>9343</v>
      </c>
      <c r="G3976" s="257" t="s">
        <v>9344</v>
      </c>
    </row>
    <row r="3977" customHeight="1" spans="4:7">
      <c r="D3977" s="256">
        <v>48039</v>
      </c>
      <c r="E3977" s="257" t="s">
        <v>9341</v>
      </c>
      <c r="F3977" s="257" t="s">
        <v>9345</v>
      </c>
      <c r="G3977" s="257" t="s">
        <v>3559</v>
      </c>
    </row>
    <row r="3978" customHeight="1" spans="4:7">
      <c r="D3978" s="256">
        <v>48039</v>
      </c>
      <c r="E3978" s="257" t="s">
        <v>9341</v>
      </c>
      <c r="F3978" s="257" t="s">
        <v>9346</v>
      </c>
      <c r="G3978" s="257" t="s">
        <v>9347</v>
      </c>
    </row>
    <row r="3979" customHeight="1" spans="4:7">
      <c r="D3979" s="256">
        <v>48039</v>
      </c>
      <c r="E3979" s="257" t="s">
        <v>9341</v>
      </c>
      <c r="F3979" s="257" t="s">
        <v>9348</v>
      </c>
      <c r="G3979" s="257" t="s">
        <v>9349</v>
      </c>
    </row>
    <row r="3980" customHeight="1" spans="4:7">
      <c r="D3980" s="256">
        <v>48039</v>
      </c>
      <c r="E3980" s="257" t="s">
        <v>9341</v>
      </c>
      <c r="F3980" s="257" t="s">
        <v>9350</v>
      </c>
      <c r="G3980" s="257" t="s">
        <v>2312</v>
      </c>
    </row>
    <row r="3981" customHeight="1" spans="4:7">
      <c r="D3981" s="256">
        <v>48039</v>
      </c>
      <c r="E3981" s="257" t="s">
        <v>9341</v>
      </c>
      <c r="F3981" s="257" t="s">
        <v>9351</v>
      </c>
      <c r="G3981" s="257" t="s">
        <v>9352</v>
      </c>
    </row>
    <row r="3982" customHeight="1" spans="4:7">
      <c r="D3982" s="256">
        <v>48039</v>
      </c>
      <c r="E3982" s="257" t="s">
        <v>9341</v>
      </c>
      <c r="F3982" s="257" t="s">
        <v>9353</v>
      </c>
      <c r="G3982" s="257" t="s">
        <v>9354</v>
      </c>
    </row>
    <row r="3983" customHeight="1" spans="4:7">
      <c r="D3983" s="256">
        <v>47019</v>
      </c>
      <c r="E3983" s="257" t="s">
        <v>9355</v>
      </c>
      <c r="F3983" s="257" t="s">
        <v>9356</v>
      </c>
      <c r="G3983" s="257" t="s">
        <v>9357</v>
      </c>
    </row>
    <row r="3984" customHeight="1" spans="4:7">
      <c r="D3984" s="256">
        <v>47019</v>
      </c>
      <c r="E3984" s="257" t="s">
        <v>9355</v>
      </c>
      <c r="F3984" s="257" t="s">
        <v>9358</v>
      </c>
      <c r="G3984" s="257" t="s">
        <v>9359</v>
      </c>
    </row>
    <row r="3985" customHeight="1" spans="4:7">
      <c r="D3985" s="256">
        <v>47019</v>
      </c>
      <c r="E3985" s="257" t="s">
        <v>9355</v>
      </c>
      <c r="F3985" s="257" t="s">
        <v>9360</v>
      </c>
      <c r="G3985" s="257" t="s">
        <v>9361</v>
      </c>
    </row>
    <row r="3986" customHeight="1" spans="4:7">
      <c r="D3986" s="256">
        <v>47019</v>
      </c>
      <c r="E3986" s="257" t="s">
        <v>9355</v>
      </c>
      <c r="F3986" s="257" t="s">
        <v>9362</v>
      </c>
      <c r="G3986" s="257" t="s">
        <v>9363</v>
      </c>
    </row>
    <row r="3987" customHeight="1" spans="4:7">
      <c r="D3987" s="256">
        <v>47019</v>
      </c>
      <c r="E3987" s="257" t="s">
        <v>9355</v>
      </c>
      <c r="F3987" s="257" t="s">
        <v>9364</v>
      </c>
      <c r="G3987" s="257" t="s">
        <v>9365</v>
      </c>
    </row>
    <row r="3988" customHeight="1" spans="4:7">
      <c r="D3988" s="256">
        <v>47019</v>
      </c>
      <c r="E3988" s="257" t="s">
        <v>9355</v>
      </c>
      <c r="F3988" s="257" t="s">
        <v>9366</v>
      </c>
      <c r="G3988" s="257" t="s">
        <v>9367</v>
      </c>
    </row>
    <row r="3989" customHeight="1" spans="4:7">
      <c r="D3989" s="256">
        <v>47019</v>
      </c>
      <c r="E3989" s="257" t="s">
        <v>9355</v>
      </c>
      <c r="F3989" s="257" t="s">
        <v>9368</v>
      </c>
      <c r="G3989" s="257" t="s">
        <v>4143</v>
      </c>
    </row>
    <row r="3990" customHeight="1" spans="4:7">
      <c r="D3990" s="256">
        <v>47019</v>
      </c>
      <c r="E3990" s="257" t="s">
        <v>9355</v>
      </c>
      <c r="F3990" s="257" t="s">
        <v>9369</v>
      </c>
      <c r="G3990" s="257" t="s">
        <v>9370</v>
      </c>
    </row>
    <row r="3991" customHeight="1" spans="4:7">
      <c r="D3991" s="256">
        <v>47019</v>
      </c>
      <c r="E3991" s="257" t="s">
        <v>9355</v>
      </c>
      <c r="F3991" s="257" t="s">
        <v>9371</v>
      </c>
      <c r="G3991" s="257" t="s">
        <v>8164</v>
      </c>
    </row>
    <row r="3992" customHeight="1" spans="4:7">
      <c r="D3992" s="256">
        <v>47019</v>
      </c>
      <c r="E3992" s="257" t="s">
        <v>9355</v>
      </c>
      <c r="F3992" s="257" t="s">
        <v>9372</v>
      </c>
      <c r="G3992" s="257" t="s">
        <v>9373</v>
      </c>
    </row>
    <row r="3993" customHeight="1" spans="4:7">
      <c r="D3993" s="256">
        <v>47019</v>
      </c>
      <c r="E3993" s="257" t="s">
        <v>9355</v>
      </c>
      <c r="F3993" s="257" t="s">
        <v>9374</v>
      </c>
      <c r="G3993" s="257" t="s">
        <v>9375</v>
      </c>
    </row>
    <row r="3994" customHeight="1" spans="4:7">
      <c r="D3994" s="256">
        <v>47019</v>
      </c>
      <c r="E3994" s="257" t="s">
        <v>9355</v>
      </c>
      <c r="F3994" s="257" t="s">
        <v>9376</v>
      </c>
      <c r="G3994" s="257" t="s">
        <v>9377</v>
      </c>
    </row>
    <row r="3995" customHeight="1" spans="4:7">
      <c r="D3995" s="256">
        <v>47019</v>
      </c>
      <c r="E3995" s="257" t="s">
        <v>9355</v>
      </c>
      <c r="F3995" s="257" t="s">
        <v>9378</v>
      </c>
      <c r="G3995" s="257" t="s">
        <v>9379</v>
      </c>
    </row>
    <row r="3996" customHeight="1" spans="4:7">
      <c r="D3996" s="256">
        <v>47019</v>
      </c>
      <c r="E3996" s="257" t="s">
        <v>9355</v>
      </c>
      <c r="F3996" s="257" t="s">
        <v>9380</v>
      </c>
      <c r="G3996" s="257" t="s">
        <v>9381</v>
      </c>
    </row>
    <row r="3997" customHeight="1" spans="4:7">
      <c r="D3997" s="256">
        <v>47019</v>
      </c>
      <c r="E3997" s="257" t="s">
        <v>9355</v>
      </c>
      <c r="F3997" s="257" t="s">
        <v>9382</v>
      </c>
      <c r="G3997" s="257" t="s">
        <v>9383</v>
      </c>
    </row>
    <row r="3998" customHeight="1" spans="4:7">
      <c r="D3998" s="256">
        <v>47019</v>
      </c>
      <c r="E3998" s="257" t="s">
        <v>9355</v>
      </c>
      <c r="F3998" s="257" t="s">
        <v>9384</v>
      </c>
      <c r="G3998" s="257" t="s">
        <v>3004</v>
      </c>
    </row>
    <row r="3999" customHeight="1" spans="4:7">
      <c r="D3999" s="256">
        <v>47019</v>
      </c>
      <c r="E3999" s="257" t="s">
        <v>9355</v>
      </c>
      <c r="F3999" s="257" t="s">
        <v>9385</v>
      </c>
      <c r="G3999" s="257" t="s">
        <v>8096</v>
      </c>
    </row>
    <row r="4000" customHeight="1" spans="4:7">
      <c r="D4000" s="256">
        <v>47019</v>
      </c>
      <c r="E4000" s="257" t="s">
        <v>9355</v>
      </c>
      <c r="F4000" s="257" t="s">
        <v>9386</v>
      </c>
      <c r="G4000" s="257" t="s">
        <v>9387</v>
      </c>
    </row>
    <row r="4001" customHeight="1" spans="4:7">
      <c r="D4001" s="256">
        <v>47019</v>
      </c>
      <c r="E4001" s="257" t="s">
        <v>9355</v>
      </c>
      <c r="F4001" s="257" t="s">
        <v>9388</v>
      </c>
      <c r="G4001" s="257" t="s">
        <v>9389</v>
      </c>
    </row>
    <row r="4002" customHeight="1" spans="4:7">
      <c r="D4002" s="256">
        <v>47019</v>
      </c>
      <c r="E4002" s="257" t="s">
        <v>9355</v>
      </c>
      <c r="F4002" s="257" t="s">
        <v>9390</v>
      </c>
      <c r="G4002" s="257" t="s">
        <v>9391</v>
      </c>
    </row>
    <row r="4003" customHeight="1" spans="4:7">
      <c r="D4003" s="256">
        <v>47019</v>
      </c>
      <c r="E4003" s="257" t="s">
        <v>9355</v>
      </c>
      <c r="F4003" s="257" t="s">
        <v>9392</v>
      </c>
      <c r="G4003" s="257" t="s">
        <v>9393</v>
      </c>
    </row>
    <row r="4004" customHeight="1" spans="4:7">
      <c r="D4004" s="256">
        <v>50032</v>
      </c>
      <c r="E4004" s="257" t="s">
        <v>9394</v>
      </c>
      <c r="F4004" s="257" t="s">
        <v>9395</v>
      </c>
      <c r="G4004" s="257" t="s">
        <v>9396</v>
      </c>
    </row>
    <row r="4005" customHeight="1" spans="4:7">
      <c r="D4005" s="256">
        <v>50032</v>
      </c>
      <c r="E4005" s="257" t="s">
        <v>9394</v>
      </c>
      <c r="F4005" s="257" t="s">
        <v>9397</v>
      </c>
      <c r="G4005" s="257" t="s">
        <v>9398</v>
      </c>
    </row>
    <row r="4006" customHeight="1" spans="4:7">
      <c r="D4006" s="256">
        <v>50032</v>
      </c>
      <c r="E4006" s="257" t="s">
        <v>9394</v>
      </c>
      <c r="F4006" s="257" t="s">
        <v>9399</v>
      </c>
      <c r="G4006" s="257" t="s">
        <v>9400</v>
      </c>
    </row>
    <row r="4007" customHeight="1" spans="4:7">
      <c r="D4007" s="256">
        <v>50032</v>
      </c>
      <c r="E4007" s="257" t="s">
        <v>9394</v>
      </c>
      <c r="F4007" s="257" t="s">
        <v>9401</v>
      </c>
      <c r="G4007" s="257" t="s">
        <v>9402</v>
      </c>
    </row>
    <row r="4008" customHeight="1" spans="4:7">
      <c r="D4008" s="256">
        <v>50032</v>
      </c>
      <c r="E4008" s="257" t="s">
        <v>9394</v>
      </c>
      <c r="F4008" s="257" t="s">
        <v>9403</v>
      </c>
      <c r="G4008" s="257" t="s">
        <v>9404</v>
      </c>
    </row>
    <row r="4009" customHeight="1" spans="4:7">
      <c r="D4009" s="256">
        <v>50032</v>
      </c>
      <c r="E4009" s="257" t="s">
        <v>9394</v>
      </c>
      <c r="F4009" s="257" t="s">
        <v>9405</v>
      </c>
      <c r="G4009" s="257" t="s">
        <v>9406</v>
      </c>
    </row>
    <row r="4010" customHeight="1" spans="4:7">
      <c r="D4010" s="256">
        <v>50032</v>
      </c>
      <c r="E4010" s="257" t="s">
        <v>9394</v>
      </c>
      <c r="F4010" s="257" t="s">
        <v>9407</v>
      </c>
      <c r="G4010" s="257" t="s">
        <v>9408</v>
      </c>
    </row>
    <row r="4011" customHeight="1" spans="4:7">
      <c r="D4011" s="256">
        <v>50032</v>
      </c>
      <c r="E4011" s="257" t="s">
        <v>9394</v>
      </c>
      <c r="F4011" s="257" t="s">
        <v>9409</v>
      </c>
      <c r="G4011" s="257" t="s">
        <v>9410</v>
      </c>
    </row>
    <row r="4012" customHeight="1" spans="4:7">
      <c r="D4012" s="256">
        <v>50032</v>
      </c>
      <c r="E4012" s="257" t="s">
        <v>9394</v>
      </c>
      <c r="F4012" s="257" t="s">
        <v>9411</v>
      </c>
      <c r="G4012" s="257" t="s">
        <v>9412</v>
      </c>
    </row>
    <row r="4013" customHeight="1" spans="4:7">
      <c r="D4013" s="256">
        <v>50032</v>
      </c>
      <c r="E4013" s="257" t="s">
        <v>9394</v>
      </c>
      <c r="F4013" s="257" t="s">
        <v>9413</v>
      </c>
      <c r="G4013" s="257" t="s">
        <v>9414</v>
      </c>
    </row>
    <row r="4014" customHeight="1" spans="4:7">
      <c r="D4014" s="256">
        <v>50032</v>
      </c>
      <c r="E4014" s="257" t="s">
        <v>9394</v>
      </c>
      <c r="F4014" s="257" t="s">
        <v>9415</v>
      </c>
      <c r="G4014" s="257" t="s">
        <v>9416</v>
      </c>
    </row>
    <row r="4015" customHeight="1" spans="4:7">
      <c r="D4015" s="256">
        <v>50032</v>
      </c>
      <c r="E4015" s="257" t="s">
        <v>9394</v>
      </c>
      <c r="F4015" s="257" t="s">
        <v>9417</v>
      </c>
      <c r="G4015" s="257" t="s">
        <v>9418</v>
      </c>
    </row>
    <row r="4016" customHeight="1" spans="4:7">
      <c r="D4016" s="256">
        <v>50032</v>
      </c>
      <c r="E4016" s="257" t="s">
        <v>9394</v>
      </c>
      <c r="F4016" s="257" t="s">
        <v>9419</v>
      </c>
      <c r="G4016" s="257" t="s">
        <v>9420</v>
      </c>
    </row>
    <row r="4017" customHeight="1" spans="4:7">
      <c r="D4017" s="256">
        <v>50032</v>
      </c>
      <c r="E4017" s="257" t="s">
        <v>9394</v>
      </c>
      <c r="F4017" s="257" t="s">
        <v>9421</v>
      </c>
      <c r="G4017" s="257" t="s">
        <v>9422</v>
      </c>
    </row>
    <row r="4018" customHeight="1" spans="4:7">
      <c r="D4018" s="256">
        <v>50032</v>
      </c>
      <c r="E4018" s="257" t="s">
        <v>9394</v>
      </c>
      <c r="F4018" s="257" t="s">
        <v>9423</v>
      </c>
      <c r="G4018" s="257" t="s">
        <v>9424</v>
      </c>
    </row>
    <row r="4019" customHeight="1" spans="4:7">
      <c r="D4019" s="256">
        <v>50032</v>
      </c>
      <c r="E4019" s="257" t="s">
        <v>9394</v>
      </c>
      <c r="F4019" s="257" t="s">
        <v>9425</v>
      </c>
      <c r="G4019" s="257" t="s">
        <v>9426</v>
      </c>
    </row>
    <row r="4020" customHeight="1" spans="4:7">
      <c r="D4020" s="256">
        <v>50032</v>
      </c>
      <c r="E4020" s="257" t="s">
        <v>9394</v>
      </c>
      <c r="F4020" s="257" t="s">
        <v>9427</v>
      </c>
      <c r="G4020" s="257" t="s">
        <v>9428</v>
      </c>
    </row>
    <row r="4021" customHeight="1" spans="4:7">
      <c r="D4021" s="256">
        <v>50032</v>
      </c>
      <c r="E4021" s="257" t="s">
        <v>9394</v>
      </c>
      <c r="F4021" s="257" t="s">
        <v>9429</v>
      </c>
      <c r="G4021" s="257" t="s">
        <v>1866</v>
      </c>
    </row>
    <row r="4022" customHeight="1" spans="4:7">
      <c r="D4022" s="256">
        <v>50032</v>
      </c>
      <c r="E4022" s="257" t="s">
        <v>9394</v>
      </c>
      <c r="F4022" s="257" t="s">
        <v>9430</v>
      </c>
      <c r="G4022" s="257" t="s">
        <v>9431</v>
      </c>
    </row>
    <row r="4023" customHeight="1" spans="4:7">
      <c r="D4023" s="256">
        <v>50032</v>
      </c>
      <c r="E4023" s="257" t="s">
        <v>9394</v>
      </c>
      <c r="F4023" s="257" t="s">
        <v>9432</v>
      </c>
      <c r="G4023" s="257" t="s">
        <v>2365</v>
      </c>
    </row>
    <row r="4024" customHeight="1" spans="4:7">
      <c r="D4024" s="256">
        <v>50032</v>
      </c>
      <c r="E4024" s="257" t="s">
        <v>9394</v>
      </c>
      <c r="F4024" s="257" t="s">
        <v>9433</v>
      </c>
      <c r="G4024" s="257" t="s">
        <v>5754</v>
      </c>
    </row>
    <row r="4025" customHeight="1" spans="4:7">
      <c r="D4025" s="256">
        <v>50032</v>
      </c>
      <c r="E4025" s="257" t="s">
        <v>9394</v>
      </c>
      <c r="F4025" s="257" t="s">
        <v>9434</v>
      </c>
      <c r="G4025" s="257" t="s">
        <v>9435</v>
      </c>
    </row>
    <row r="4026" customHeight="1" spans="4:7">
      <c r="D4026" s="256">
        <v>50032</v>
      </c>
      <c r="E4026" s="257" t="s">
        <v>9394</v>
      </c>
      <c r="F4026" s="257" t="s">
        <v>9436</v>
      </c>
      <c r="G4026" s="257" t="s">
        <v>9437</v>
      </c>
    </row>
    <row r="4027" customHeight="1" spans="4:7">
      <c r="D4027" s="256">
        <v>50032</v>
      </c>
      <c r="E4027" s="257" t="s">
        <v>9394</v>
      </c>
      <c r="F4027" s="257" t="s">
        <v>9438</v>
      </c>
      <c r="G4027" s="257" t="s">
        <v>9439</v>
      </c>
    </row>
    <row r="4028" customHeight="1" spans="4:7">
      <c r="D4028" s="256">
        <v>50032</v>
      </c>
      <c r="E4028" s="257" t="s">
        <v>9394</v>
      </c>
      <c r="F4028" s="257" t="s">
        <v>9440</v>
      </c>
      <c r="G4028" s="257" t="s">
        <v>9441</v>
      </c>
    </row>
    <row r="4029" customHeight="1" spans="4:7">
      <c r="D4029" s="256">
        <v>50032</v>
      </c>
      <c r="E4029" s="257" t="s">
        <v>9394</v>
      </c>
      <c r="F4029" s="257" t="s">
        <v>9442</v>
      </c>
      <c r="G4029" s="257" t="s">
        <v>9443</v>
      </c>
    </row>
    <row r="4030" customHeight="1" spans="4:7">
      <c r="D4030" s="256">
        <v>50032</v>
      </c>
      <c r="E4030" s="257" t="s">
        <v>9394</v>
      </c>
      <c r="F4030" s="257" t="s">
        <v>9444</v>
      </c>
      <c r="G4030" s="257" t="s">
        <v>9445</v>
      </c>
    </row>
    <row r="4031" customHeight="1" spans="4:7">
      <c r="D4031" s="256">
        <v>50032</v>
      </c>
      <c r="E4031" s="257" t="s">
        <v>9394</v>
      </c>
      <c r="F4031" s="257" t="s">
        <v>9446</v>
      </c>
      <c r="G4031" s="257" t="s">
        <v>9447</v>
      </c>
    </row>
    <row r="4032" customHeight="1" spans="4:7">
      <c r="D4032" s="256">
        <v>50032</v>
      </c>
      <c r="E4032" s="257" t="s">
        <v>9394</v>
      </c>
      <c r="F4032" s="257" t="s">
        <v>9448</v>
      </c>
      <c r="G4032" s="257" t="s">
        <v>6692</v>
      </c>
    </row>
    <row r="4033" customHeight="1" spans="4:7">
      <c r="D4033" s="256">
        <v>50032</v>
      </c>
      <c r="E4033" s="257" t="s">
        <v>9394</v>
      </c>
      <c r="F4033" s="257" t="s">
        <v>9449</v>
      </c>
      <c r="G4033" s="257" t="s">
        <v>9450</v>
      </c>
    </row>
    <row r="4034" customHeight="1" spans="4:7">
      <c r="D4034" s="256">
        <v>50032</v>
      </c>
      <c r="E4034" s="257" t="s">
        <v>9394</v>
      </c>
      <c r="F4034" s="257" t="s">
        <v>9451</v>
      </c>
      <c r="G4034" s="257" t="s">
        <v>9452</v>
      </c>
    </row>
    <row r="4035" customHeight="1" spans="4:7">
      <c r="D4035" s="256">
        <v>50032</v>
      </c>
      <c r="E4035" s="257" t="s">
        <v>9394</v>
      </c>
      <c r="F4035" s="257" t="s">
        <v>9453</v>
      </c>
      <c r="G4035" s="257" t="s">
        <v>9454</v>
      </c>
    </row>
    <row r="4036" customHeight="1" spans="4:7">
      <c r="D4036" s="256">
        <v>50032</v>
      </c>
      <c r="E4036" s="257" t="s">
        <v>9394</v>
      </c>
      <c r="F4036" s="257" t="s">
        <v>9455</v>
      </c>
      <c r="G4036" s="257" t="s">
        <v>9456</v>
      </c>
    </row>
    <row r="4037" customHeight="1" spans="4:7">
      <c r="D4037" s="256">
        <v>50032</v>
      </c>
      <c r="E4037" s="257" t="s">
        <v>9394</v>
      </c>
      <c r="F4037" s="257" t="s">
        <v>9457</v>
      </c>
      <c r="G4037" s="257" t="s">
        <v>9458</v>
      </c>
    </row>
    <row r="4038" customHeight="1" spans="4:7">
      <c r="D4038" s="256">
        <v>50032</v>
      </c>
      <c r="E4038" s="257" t="s">
        <v>9394</v>
      </c>
      <c r="F4038" s="257" t="s">
        <v>9459</v>
      </c>
      <c r="G4038" s="257" t="s">
        <v>9460</v>
      </c>
    </row>
    <row r="4039" customHeight="1" spans="4:7">
      <c r="D4039" s="256">
        <v>50032</v>
      </c>
      <c r="E4039" s="257" t="s">
        <v>9394</v>
      </c>
      <c r="F4039" s="257" t="s">
        <v>9461</v>
      </c>
      <c r="G4039" s="257" t="s">
        <v>2531</v>
      </c>
    </row>
    <row r="4040" customHeight="1" spans="4:7">
      <c r="D4040" s="256">
        <v>50032</v>
      </c>
      <c r="E4040" s="257" t="s">
        <v>9394</v>
      </c>
      <c r="F4040" s="257" t="s">
        <v>9462</v>
      </c>
      <c r="G4040" s="257" t="s">
        <v>9463</v>
      </c>
    </row>
    <row r="4041" customHeight="1" spans="4:7">
      <c r="D4041" s="256">
        <v>50032</v>
      </c>
      <c r="E4041" s="257" t="s">
        <v>9394</v>
      </c>
      <c r="F4041" s="257" t="s">
        <v>9464</v>
      </c>
      <c r="G4041" s="257" t="s">
        <v>2533</v>
      </c>
    </row>
    <row r="4042" customHeight="1" spans="4:7">
      <c r="D4042" s="256">
        <v>50032</v>
      </c>
      <c r="E4042" s="257" t="s">
        <v>9394</v>
      </c>
      <c r="F4042" s="257" t="s">
        <v>9465</v>
      </c>
      <c r="G4042" s="257" t="s">
        <v>2786</v>
      </c>
    </row>
    <row r="4043" customHeight="1" spans="4:7">
      <c r="D4043" s="256">
        <v>50032</v>
      </c>
      <c r="E4043" s="257" t="s">
        <v>9394</v>
      </c>
      <c r="F4043" s="257" t="s">
        <v>9466</v>
      </c>
      <c r="G4043" s="257" t="s">
        <v>9467</v>
      </c>
    </row>
    <row r="4044" customHeight="1" spans="4:7">
      <c r="D4044" s="256">
        <v>48040</v>
      </c>
      <c r="E4044" s="257" t="s">
        <v>9468</v>
      </c>
      <c r="F4044" s="257" t="s">
        <v>9469</v>
      </c>
      <c r="G4044" s="257" t="s">
        <v>9470</v>
      </c>
    </row>
    <row r="4045" customHeight="1" spans="4:7">
      <c r="D4045" s="256">
        <v>48040</v>
      </c>
      <c r="E4045" s="257" t="s">
        <v>9468</v>
      </c>
      <c r="F4045" s="257" t="s">
        <v>9471</v>
      </c>
      <c r="G4045" s="257" t="s">
        <v>9472</v>
      </c>
    </row>
    <row r="4046" customHeight="1" spans="4:7">
      <c r="D4046" s="256">
        <v>48040</v>
      </c>
      <c r="E4046" s="257" t="s">
        <v>9468</v>
      </c>
      <c r="F4046" s="257" t="s">
        <v>9473</v>
      </c>
      <c r="G4046" s="257" t="s">
        <v>9474</v>
      </c>
    </row>
    <row r="4047" customHeight="1" spans="4:7">
      <c r="D4047" s="256">
        <v>48040</v>
      </c>
      <c r="E4047" s="257" t="s">
        <v>9468</v>
      </c>
      <c r="F4047" s="257" t="s">
        <v>9475</v>
      </c>
      <c r="G4047" s="257" t="s">
        <v>4358</v>
      </c>
    </row>
    <row r="4048" customHeight="1" spans="4:7">
      <c r="D4048" s="256">
        <v>48040</v>
      </c>
      <c r="E4048" s="257" t="s">
        <v>9468</v>
      </c>
      <c r="F4048" s="257" t="s">
        <v>9476</v>
      </c>
      <c r="G4048" s="257" t="s">
        <v>9477</v>
      </c>
    </row>
    <row r="4049" customHeight="1" spans="4:7">
      <c r="D4049" s="256">
        <v>48040</v>
      </c>
      <c r="E4049" s="257" t="s">
        <v>9468</v>
      </c>
      <c r="F4049" s="257" t="s">
        <v>9478</v>
      </c>
      <c r="G4049" s="257" t="s">
        <v>6011</v>
      </c>
    </row>
    <row r="4050" customHeight="1" spans="4:7">
      <c r="D4050" s="256">
        <v>48040</v>
      </c>
      <c r="E4050" s="257" t="s">
        <v>9468</v>
      </c>
      <c r="F4050" s="257" t="s">
        <v>9479</v>
      </c>
      <c r="G4050" s="257" t="s">
        <v>9480</v>
      </c>
    </row>
    <row r="4051" customHeight="1" spans="4:7">
      <c r="D4051" s="256">
        <v>48040</v>
      </c>
      <c r="E4051" s="257" t="s">
        <v>9468</v>
      </c>
      <c r="F4051" s="257" t="s">
        <v>9481</v>
      </c>
      <c r="G4051" s="257" t="s">
        <v>9482</v>
      </c>
    </row>
    <row r="4052" customHeight="1" spans="4:7">
      <c r="D4052" s="256">
        <v>48040</v>
      </c>
      <c r="E4052" s="257" t="s">
        <v>9468</v>
      </c>
      <c r="F4052" s="257" t="s">
        <v>9483</v>
      </c>
      <c r="G4052" s="257" t="s">
        <v>9484</v>
      </c>
    </row>
    <row r="4053" customHeight="1" spans="4:7">
      <c r="D4053" s="256">
        <v>48040</v>
      </c>
      <c r="E4053" s="257" t="s">
        <v>9468</v>
      </c>
      <c r="F4053" s="257" t="s">
        <v>9485</v>
      </c>
      <c r="G4053" s="257" t="s">
        <v>9486</v>
      </c>
    </row>
    <row r="4054" customHeight="1" spans="4:7">
      <c r="D4054" s="256">
        <v>48040</v>
      </c>
      <c r="E4054" s="257" t="s">
        <v>9468</v>
      </c>
      <c r="F4054" s="257" t="s">
        <v>9487</v>
      </c>
      <c r="G4054" s="257" t="s">
        <v>9488</v>
      </c>
    </row>
    <row r="4055" customHeight="1" spans="4:7">
      <c r="D4055" s="256">
        <v>48040</v>
      </c>
      <c r="E4055" s="257" t="s">
        <v>9468</v>
      </c>
      <c r="F4055" s="257" t="s">
        <v>9489</v>
      </c>
      <c r="G4055" s="257" t="s">
        <v>9490</v>
      </c>
    </row>
    <row r="4056" customHeight="1" spans="4:7">
      <c r="D4056" s="256">
        <v>52030</v>
      </c>
      <c r="E4056" s="257" t="s">
        <v>9491</v>
      </c>
      <c r="F4056" s="257" t="s">
        <v>9492</v>
      </c>
      <c r="G4056" s="257" t="s">
        <v>9493</v>
      </c>
    </row>
    <row r="4057" customHeight="1" spans="4:7">
      <c r="D4057" s="256">
        <v>52030</v>
      </c>
      <c r="E4057" s="257" t="s">
        <v>9491</v>
      </c>
      <c r="F4057" s="257" t="s">
        <v>9494</v>
      </c>
      <c r="G4057" s="257" t="s">
        <v>9495</v>
      </c>
    </row>
    <row r="4058" customHeight="1" spans="4:7">
      <c r="D4058" s="256">
        <v>52030</v>
      </c>
      <c r="E4058" s="257" t="s">
        <v>9491</v>
      </c>
      <c r="F4058" s="257" t="s">
        <v>9496</v>
      </c>
      <c r="G4058" s="257" t="s">
        <v>9497</v>
      </c>
    </row>
    <row r="4059" customHeight="1" spans="4:7">
      <c r="D4059" s="256">
        <v>52030</v>
      </c>
      <c r="E4059" s="257" t="s">
        <v>9491</v>
      </c>
      <c r="F4059" s="257" t="s">
        <v>9498</v>
      </c>
      <c r="G4059" s="257" t="s">
        <v>9499</v>
      </c>
    </row>
    <row r="4060" customHeight="1" spans="4:7">
      <c r="D4060" s="256">
        <v>52030</v>
      </c>
      <c r="E4060" s="257" t="s">
        <v>9491</v>
      </c>
      <c r="F4060" s="257" t="s">
        <v>9500</v>
      </c>
      <c r="G4060" s="257" t="s">
        <v>9501</v>
      </c>
    </row>
    <row r="4061" customHeight="1" spans="4:7">
      <c r="D4061" s="256">
        <v>46027</v>
      </c>
      <c r="E4061" s="257" t="s">
        <v>9502</v>
      </c>
      <c r="F4061" s="257" t="s">
        <v>9503</v>
      </c>
      <c r="G4061" s="257" t="s">
        <v>9504</v>
      </c>
    </row>
    <row r="4062" customHeight="1" spans="4:7">
      <c r="D4062" s="256">
        <v>46027</v>
      </c>
      <c r="E4062" s="257" t="s">
        <v>9502</v>
      </c>
      <c r="F4062" s="257" t="s">
        <v>9505</v>
      </c>
      <c r="G4062" s="257" t="s">
        <v>9506</v>
      </c>
    </row>
    <row r="4063" customHeight="1" spans="4:7">
      <c r="D4063" s="256">
        <v>46027</v>
      </c>
      <c r="E4063" s="257" t="s">
        <v>9502</v>
      </c>
      <c r="F4063" s="257" t="s">
        <v>9507</v>
      </c>
      <c r="G4063" s="257" t="s">
        <v>9508</v>
      </c>
    </row>
    <row r="4064" customHeight="1" spans="4:7">
      <c r="D4064" s="256">
        <v>46027</v>
      </c>
      <c r="E4064" s="257" t="s">
        <v>9502</v>
      </c>
      <c r="F4064" s="257" t="s">
        <v>9509</v>
      </c>
      <c r="G4064" s="257" t="s">
        <v>9510</v>
      </c>
    </row>
    <row r="4065" customHeight="1" spans="4:7">
      <c r="D4065" s="256">
        <v>46027</v>
      </c>
      <c r="E4065" s="257" t="s">
        <v>9502</v>
      </c>
      <c r="F4065" s="257" t="s">
        <v>9511</v>
      </c>
      <c r="G4065" s="257" t="s">
        <v>9512</v>
      </c>
    </row>
    <row r="4066" customHeight="1" spans="4:7">
      <c r="D4066" s="256">
        <v>46027</v>
      </c>
      <c r="E4066" s="257" t="s">
        <v>9502</v>
      </c>
      <c r="F4066" s="257" t="s">
        <v>9513</v>
      </c>
      <c r="G4066" s="257" t="s">
        <v>9514</v>
      </c>
    </row>
    <row r="4067" customHeight="1" spans="4:7">
      <c r="D4067" s="256">
        <v>46027</v>
      </c>
      <c r="E4067" s="257" t="s">
        <v>9502</v>
      </c>
      <c r="F4067" s="257" t="s">
        <v>9515</v>
      </c>
      <c r="G4067" s="257" t="s">
        <v>9516</v>
      </c>
    </row>
    <row r="4068" customHeight="1" spans="4:7">
      <c r="D4068" s="256">
        <v>46027</v>
      </c>
      <c r="E4068" s="257" t="s">
        <v>9502</v>
      </c>
      <c r="F4068" s="257" t="s">
        <v>9517</v>
      </c>
      <c r="G4068" s="257" t="s">
        <v>2533</v>
      </c>
    </row>
    <row r="4069" customHeight="1" spans="4:7">
      <c r="D4069" s="256">
        <v>46027</v>
      </c>
      <c r="E4069" s="257" t="s">
        <v>9502</v>
      </c>
      <c r="F4069" s="257" t="s">
        <v>9518</v>
      </c>
      <c r="G4069" s="257" t="s">
        <v>9519</v>
      </c>
    </row>
    <row r="4070" customHeight="1" spans="4:7">
      <c r="D4070" s="256">
        <v>46027</v>
      </c>
      <c r="E4070" s="257" t="s">
        <v>9502</v>
      </c>
      <c r="F4070" s="257" t="s">
        <v>9520</v>
      </c>
      <c r="G4070" s="257" t="s">
        <v>9521</v>
      </c>
    </row>
    <row r="4071" customHeight="1" spans="4:7">
      <c r="D4071" s="256">
        <v>46027</v>
      </c>
      <c r="E4071" s="257" t="s">
        <v>9502</v>
      </c>
      <c r="F4071" s="257" t="s">
        <v>9522</v>
      </c>
      <c r="G4071" s="257" t="s">
        <v>9523</v>
      </c>
    </row>
    <row r="4072" customHeight="1" spans="4:7">
      <c r="D4072" s="256">
        <v>46027</v>
      </c>
      <c r="E4072" s="257" t="s">
        <v>9502</v>
      </c>
      <c r="F4072" s="257" t="s">
        <v>9524</v>
      </c>
      <c r="G4072" s="257" t="s">
        <v>9525</v>
      </c>
    </row>
    <row r="4073" customHeight="1" spans="4:7">
      <c r="D4073" s="256">
        <v>49018</v>
      </c>
      <c r="E4073" s="257" t="s">
        <v>9526</v>
      </c>
      <c r="F4073" s="257" t="s">
        <v>9527</v>
      </c>
      <c r="G4073" s="257" t="s">
        <v>9528</v>
      </c>
    </row>
    <row r="4074" customHeight="1" spans="4:7">
      <c r="D4074" s="256">
        <v>49018</v>
      </c>
      <c r="E4074" s="257" t="s">
        <v>9526</v>
      </c>
      <c r="F4074" s="257" t="s">
        <v>9529</v>
      </c>
      <c r="G4074" s="257" t="s">
        <v>3635</v>
      </c>
    </row>
    <row r="4075" customHeight="1" spans="4:7">
      <c r="D4075" s="256">
        <v>49018</v>
      </c>
      <c r="E4075" s="257" t="s">
        <v>9526</v>
      </c>
      <c r="F4075" s="257" t="s">
        <v>9530</v>
      </c>
      <c r="G4075" s="257" t="s">
        <v>9531</v>
      </c>
    </row>
    <row r="4076" customHeight="1" spans="4:7">
      <c r="D4076" s="256">
        <v>49018</v>
      </c>
      <c r="E4076" s="257" t="s">
        <v>9526</v>
      </c>
      <c r="F4076" s="257" t="s">
        <v>9532</v>
      </c>
      <c r="G4076" s="257" t="s">
        <v>9533</v>
      </c>
    </row>
    <row r="4077" customHeight="1" spans="4:7">
      <c r="D4077" s="256">
        <v>49018</v>
      </c>
      <c r="E4077" s="257" t="s">
        <v>9526</v>
      </c>
      <c r="F4077" s="257" t="s">
        <v>9534</v>
      </c>
      <c r="G4077" s="257" t="s">
        <v>9535</v>
      </c>
    </row>
    <row r="4078" customHeight="1" spans="4:7">
      <c r="D4078" s="256">
        <v>49018</v>
      </c>
      <c r="E4078" s="257" t="s">
        <v>9526</v>
      </c>
      <c r="F4078" s="257" t="s">
        <v>9536</v>
      </c>
      <c r="G4078" s="257" t="s">
        <v>9537</v>
      </c>
    </row>
    <row r="4079" customHeight="1" spans="4:7">
      <c r="D4079" s="256">
        <v>49018</v>
      </c>
      <c r="E4079" s="257" t="s">
        <v>9526</v>
      </c>
      <c r="F4079" s="257" t="s">
        <v>9538</v>
      </c>
      <c r="G4079" s="257" t="s">
        <v>1820</v>
      </c>
    </row>
    <row r="4080" customHeight="1" spans="4:7">
      <c r="D4080" s="256">
        <v>49018</v>
      </c>
      <c r="E4080" s="257" t="s">
        <v>9526</v>
      </c>
      <c r="F4080" s="257" t="s">
        <v>9539</v>
      </c>
      <c r="G4080" s="257" t="s">
        <v>9540</v>
      </c>
    </row>
    <row r="4081" customHeight="1" spans="4:7">
      <c r="D4081" s="256">
        <v>49018</v>
      </c>
      <c r="E4081" s="257" t="s">
        <v>9526</v>
      </c>
      <c r="F4081" s="257" t="s">
        <v>9541</v>
      </c>
      <c r="G4081" s="257" t="s">
        <v>9542</v>
      </c>
    </row>
    <row r="4082" customHeight="1" spans="4:7">
      <c r="D4082" s="256">
        <v>49018</v>
      </c>
      <c r="E4082" s="257" t="s">
        <v>9526</v>
      </c>
      <c r="F4082" s="257" t="s">
        <v>9543</v>
      </c>
      <c r="G4082" s="257" t="s">
        <v>9544</v>
      </c>
    </row>
    <row r="4083" customHeight="1" spans="4:7">
      <c r="D4083" s="256">
        <v>51034</v>
      </c>
      <c r="E4083" s="257" t="s">
        <v>9545</v>
      </c>
      <c r="F4083" s="257" t="s">
        <v>9546</v>
      </c>
      <c r="G4083" s="257" t="s">
        <v>9547</v>
      </c>
    </row>
    <row r="4084" customHeight="1" spans="4:7">
      <c r="D4084" s="256">
        <v>51034</v>
      </c>
      <c r="E4084" s="257" t="s">
        <v>9545</v>
      </c>
      <c r="F4084" s="257" t="s">
        <v>9548</v>
      </c>
      <c r="G4084" s="257" t="s">
        <v>9549</v>
      </c>
    </row>
    <row r="4085" customHeight="1" spans="4:7">
      <c r="D4085" s="256">
        <v>51034</v>
      </c>
      <c r="E4085" s="257" t="s">
        <v>9545</v>
      </c>
      <c r="F4085" s="257" t="s">
        <v>9550</v>
      </c>
      <c r="G4085" s="257" t="s">
        <v>9551</v>
      </c>
    </row>
    <row r="4086" customHeight="1" spans="4:7">
      <c r="D4086" s="256">
        <v>51034</v>
      </c>
      <c r="E4086" s="257" t="s">
        <v>9545</v>
      </c>
      <c r="F4086" s="257" t="s">
        <v>9552</v>
      </c>
      <c r="G4086" s="257" t="s">
        <v>3085</v>
      </c>
    </row>
    <row r="4087" customHeight="1" spans="4:7">
      <c r="D4087" s="256">
        <v>51034</v>
      </c>
      <c r="E4087" s="257" t="s">
        <v>9545</v>
      </c>
      <c r="F4087" s="257" t="s">
        <v>9553</v>
      </c>
      <c r="G4087" s="257" t="s">
        <v>9554</v>
      </c>
    </row>
    <row r="4088" customHeight="1" spans="4:7">
      <c r="D4088" s="256">
        <v>51034</v>
      </c>
      <c r="E4088" s="257" t="s">
        <v>9545</v>
      </c>
      <c r="F4088" s="257" t="s">
        <v>9555</v>
      </c>
      <c r="G4088" s="257" t="s">
        <v>9556</v>
      </c>
    </row>
    <row r="4089" customHeight="1" spans="4:7">
      <c r="D4089" s="256">
        <v>51034</v>
      </c>
      <c r="E4089" s="257" t="s">
        <v>9545</v>
      </c>
      <c r="F4089" s="257" t="s">
        <v>9557</v>
      </c>
      <c r="G4089" s="257" t="s">
        <v>2572</v>
      </c>
    </row>
    <row r="4090" customHeight="1" spans="4:7">
      <c r="D4090" s="256">
        <v>51034</v>
      </c>
      <c r="E4090" s="257" t="s">
        <v>9545</v>
      </c>
      <c r="F4090" s="257" t="s">
        <v>9558</v>
      </c>
      <c r="G4090" s="257" t="s">
        <v>3034</v>
      </c>
    </row>
    <row r="4091" customHeight="1" spans="4:7">
      <c r="D4091" s="256">
        <v>51034</v>
      </c>
      <c r="E4091" s="257" t="s">
        <v>9545</v>
      </c>
      <c r="F4091" s="257" t="s">
        <v>9559</v>
      </c>
      <c r="G4091" s="257" t="s">
        <v>7019</v>
      </c>
    </row>
    <row r="4092" customHeight="1" spans="4:7">
      <c r="D4092" s="256">
        <v>51034</v>
      </c>
      <c r="E4092" s="257" t="s">
        <v>9545</v>
      </c>
      <c r="F4092" s="257" t="s">
        <v>9560</v>
      </c>
      <c r="G4092" s="257" t="s">
        <v>9561</v>
      </c>
    </row>
    <row r="4093" customHeight="1" spans="4:7">
      <c r="D4093" s="256">
        <v>51034</v>
      </c>
      <c r="E4093" s="257" t="s">
        <v>9545</v>
      </c>
      <c r="F4093" s="257" t="s">
        <v>9562</v>
      </c>
      <c r="G4093" s="257" t="s">
        <v>9563</v>
      </c>
    </row>
    <row r="4094" customHeight="1" spans="4:7">
      <c r="D4094" s="256">
        <v>51034</v>
      </c>
      <c r="E4094" s="257" t="s">
        <v>9545</v>
      </c>
      <c r="F4094" s="257" t="s">
        <v>9564</v>
      </c>
      <c r="G4094" s="257" t="s">
        <v>9565</v>
      </c>
    </row>
    <row r="4095" customHeight="1" spans="4:7">
      <c r="D4095" s="256">
        <v>51034</v>
      </c>
      <c r="E4095" s="257" t="s">
        <v>9545</v>
      </c>
      <c r="F4095" s="257" t="s">
        <v>9566</v>
      </c>
      <c r="G4095" s="257" t="s">
        <v>9567</v>
      </c>
    </row>
    <row r="4096" customHeight="1" spans="4:7">
      <c r="D4096" s="256">
        <v>51034</v>
      </c>
      <c r="E4096" s="257" t="s">
        <v>9545</v>
      </c>
      <c r="F4096" s="257" t="s">
        <v>9568</v>
      </c>
      <c r="G4096" s="257" t="s">
        <v>9569</v>
      </c>
    </row>
    <row r="4097" customHeight="1" spans="4:7">
      <c r="D4097" s="256">
        <v>51034</v>
      </c>
      <c r="E4097" s="257" t="s">
        <v>9545</v>
      </c>
      <c r="F4097" s="257" t="s">
        <v>9570</v>
      </c>
      <c r="G4097" s="257" t="s">
        <v>9571</v>
      </c>
    </row>
    <row r="4098" customHeight="1" spans="4:7">
      <c r="D4098" s="256">
        <v>51034</v>
      </c>
      <c r="E4098" s="257" t="s">
        <v>9545</v>
      </c>
      <c r="F4098" s="257" t="s">
        <v>9572</v>
      </c>
      <c r="G4098" s="257" t="s">
        <v>3044</v>
      </c>
    </row>
    <row r="4099" customHeight="1" spans="4:7">
      <c r="D4099" s="256">
        <v>51034</v>
      </c>
      <c r="E4099" s="257" t="s">
        <v>9545</v>
      </c>
      <c r="F4099" s="257" t="s">
        <v>9573</v>
      </c>
      <c r="G4099" s="257" t="s">
        <v>9574</v>
      </c>
    </row>
    <row r="4100" customHeight="1" spans="4:7">
      <c r="D4100" s="256">
        <v>50033</v>
      </c>
      <c r="E4100" s="257" t="s">
        <v>9575</v>
      </c>
      <c r="F4100" s="257" t="s">
        <v>9576</v>
      </c>
      <c r="G4100" s="257" t="s">
        <v>9577</v>
      </c>
    </row>
    <row r="4101" customHeight="1" spans="4:7">
      <c r="D4101" s="256">
        <v>50033</v>
      </c>
      <c r="E4101" s="257" t="s">
        <v>9575</v>
      </c>
      <c r="F4101" s="257" t="s">
        <v>9578</v>
      </c>
      <c r="G4101" s="257" t="s">
        <v>9579</v>
      </c>
    </row>
    <row r="4102" customHeight="1" spans="4:7">
      <c r="D4102" s="256">
        <v>50033</v>
      </c>
      <c r="E4102" s="257" t="s">
        <v>9575</v>
      </c>
      <c r="F4102" s="257" t="s">
        <v>9580</v>
      </c>
      <c r="G4102" s="257" t="s">
        <v>3285</v>
      </c>
    </row>
    <row r="4103" customHeight="1" spans="4:7">
      <c r="D4103" s="256">
        <v>50033</v>
      </c>
      <c r="E4103" s="257" t="s">
        <v>9575</v>
      </c>
      <c r="F4103" s="257" t="s">
        <v>9581</v>
      </c>
      <c r="G4103" s="257" t="s">
        <v>9582</v>
      </c>
    </row>
    <row r="4104" customHeight="1" spans="4:7">
      <c r="D4104" s="256">
        <v>50033</v>
      </c>
      <c r="E4104" s="257" t="s">
        <v>9575</v>
      </c>
      <c r="F4104" s="257" t="s">
        <v>9583</v>
      </c>
      <c r="G4104" s="257" t="s">
        <v>9129</v>
      </c>
    </row>
    <row r="4105" customHeight="1" spans="4:7">
      <c r="D4105" s="256">
        <v>50033</v>
      </c>
      <c r="E4105" s="257" t="s">
        <v>9575</v>
      </c>
      <c r="F4105" s="257" t="s">
        <v>9584</v>
      </c>
      <c r="G4105" s="257" t="s">
        <v>7843</v>
      </c>
    </row>
    <row r="4106" customHeight="1" spans="4:7">
      <c r="D4106" s="256">
        <v>50033</v>
      </c>
      <c r="E4106" s="257" t="s">
        <v>9575</v>
      </c>
      <c r="F4106" s="257" t="s">
        <v>9585</v>
      </c>
      <c r="G4106" s="257" t="s">
        <v>9586</v>
      </c>
    </row>
    <row r="4107" customHeight="1" spans="4:7">
      <c r="D4107" s="256">
        <v>50033</v>
      </c>
      <c r="E4107" s="257" t="s">
        <v>9575</v>
      </c>
      <c r="F4107" s="257" t="s">
        <v>9587</v>
      </c>
      <c r="G4107" s="257" t="s">
        <v>9588</v>
      </c>
    </row>
    <row r="4108" customHeight="1" spans="4:7">
      <c r="D4108" s="256">
        <v>50033</v>
      </c>
      <c r="E4108" s="257" t="s">
        <v>9575</v>
      </c>
      <c r="F4108" s="257" t="s">
        <v>9589</v>
      </c>
      <c r="G4108" s="257" t="s">
        <v>9590</v>
      </c>
    </row>
    <row r="4109" customHeight="1" spans="4:7">
      <c r="D4109" s="256">
        <v>50033</v>
      </c>
      <c r="E4109" s="257" t="s">
        <v>9575</v>
      </c>
      <c r="F4109" s="257" t="s">
        <v>9591</v>
      </c>
      <c r="G4109" s="257" t="s">
        <v>3704</v>
      </c>
    </row>
    <row r="4110" customHeight="1" spans="4:7">
      <c r="D4110" s="256">
        <v>50033</v>
      </c>
      <c r="E4110" s="257" t="s">
        <v>9575</v>
      </c>
      <c r="F4110" s="257" t="s">
        <v>9592</v>
      </c>
      <c r="G4110" s="257" t="s">
        <v>9593</v>
      </c>
    </row>
    <row r="4111" customHeight="1" spans="4:7">
      <c r="D4111" s="256">
        <v>53022</v>
      </c>
      <c r="E4111" s="257" t="s">
        <v>9594</v>
      </c>
      <c r="F4111" s="257" t="s">
        <v>9595</v>
      </c>
      <c r="G4111" s="257" t="s">
        <v>9596</v>
      </c>
    </row>
    <row r="4112" customHeight="1" spans="4:7">
      <c r="D4112" s="256">
        <v>53022</v>
      </c>
      <c r="E4112" s="257" t="s">
        <v>9594</v>
      </c>
      <c r="F4112" s="257" t="s">
        <v>9597</v>
      </c>
      <c r="G4112" s="257" t="s">
        <v>9598</v>
      </c>
    </row>
    <row r="4113" customHeight="1" spans="4:7">
      <c r="D4113" s="256">
        <v>53022</v>
      </c>
      <c r="E4113" s="257" t="s">
        <v>9594</v>
      </c>
      <c r="F4113" s="257" t="s">
        <v>9599</v>
      </c>
      <c r="G4113" s="257" t="s">
        <v>9600</v>
      </c>
    </row>
    <row r="4114" customHeight="1" spans="4:7">
      <c r="D4114" s="256">
        <v>53022</v>
      </c>
      <c r="E4114" s="257" t="s">
        <v>9594</v>
      </c>
      <c r="F4114" s="257" t="s">
        <v>9601</v>
      </c>
      <c r="G4114" s="257" t="s">
        <v>9602</v>
      </c>
    </row>
    <row r="4115" customHeight="1" spans="4:7">
      <c r="D4115" s="256">
        <v>53022</v>
      </c>
      <c r="E4115" s="257" t="s">
        <v>9594</v>
      </c>
      <c r="F4115" s="257" t="s">
        <v>9603</v>
      </c>
      <c r="G4115" s="257" t="s">
        <v>9571</v>
      </c>
    </row>
    <row r="4116" customHeight="1" spans="4:7">
      <c r="D4116" s="256">
        <v>53022</v>
      </c>
      <c r="E4116" s="257" t="s">
        <v>9594</v>
      </c>
      <c r="F4116" s="257" t="s">
        <v>9604</v>
      </c>
      <c r="G4116" s="257" t="s">
        <v>2700</v>
      </c>
    </row>
    <row r="4117" customHeight="1" spans="4:7">
      <c r="D4117" s="256">
        <v>50034</v>
      </c>
      <c r="E4117" s="257" t="s">
        <v>9605</v>
      </c>
      <c r="F4117" s="257" t="s">
        <v>9606</v>
      </c>
      <c r="G4117" s="257" t="s">
        <v>9607</v>
      </c>
    </row>
    <row r="4118" customHeight="1" spans="4:7">
      <c r="D4118" s="256">
        <v>50034</v>
      </c>
      <c r="E4118" s="257" t="s">
        <v>9605</v>
      </c>
      <c r="F4118" s="257" t="s">
        <v>9608</v>
      </c>
      <c r="G4118" s="257" t="s">
        <v>9609</v>
      </c>
    </row>
    <row r="4119" customHeight="1" spans="4:7">
      <c r="D4119" s="256">
        <v>50034</v>
      </c>
      <c r="E4119" s="257" t="s">
        <v>9605</v>
      </c>
      <c r="F4119" s="257" t="s">
        <v>9610</v>
      </c>
      <c r="G4119" s="257" t="s">
        <v>2242</v>
      </c>
    </row>
    <row r="4120" customHeight="1" spans="4:7">
      <c r="D4120" s="256">
        <v>50034</v>
      </c>
      <c r="E4120" s="257" t="s">
        <v>9605</v>
      </c>
      <c r="F4120" s="257" t="s">
        <v>9611</v>
      </c>
      <c r="G4120" s="257" t="s">
        <v>9612</v>
      </c>
    </row>
    <row r="4121" customHeight="1" spans="4:7">
      <c r="D4121" s="256">
        <v>50034</v>
      </c>
      <c r="E4121" s="257" t="s">
        <v>9605</v>
      </c>
      <c r="F4121" s="257" t="s">
        <v>9613</v>
      </c>
      <c r="G4121" s="257" t="s">
        <v>9614</v>
      </c>
    </row>
    <row r="4122" customHeight="1" spans="4:7">
      <c r="D4122" s="256">
        <v>50034</v>
      </c>
      <c r="E4122" s="257" t="s">
        <v>9605</v>
      </c>
      <c r="F4122" s="257" t="s">
        <v>9615</v>
      </c>
      <c r="G4122" s="257" t="s">
        <v>5354</v>
      </c>
    </row>
    <row r="4123" customHeight="1" spans="4:7">
      <c r="D4123" s="256">
        <v>50035</v>
      </c>
      <c r="E4123" s="257" t="s">
        <v>9616</v>
      </c>
      <c r="F4123" s="257" t="s">
        <v>9617</v>
      </c>
      <c r="G4123" s="257" t="s">
        <v>9618</v>
      </c>
    </row>
    <row r="4124" customHeight="1" spans="4:7">
      <c r="D4124" s="256">
        <v>50035</v>
      </c>
      <c r="E4124" s="257" t="s">
        <v>9616</v>
      </c>
      <c r="F4124" s="257" t="s">
        <v>9619</v>
      </c>
      <c r="G4124" s="257" t="s">
        <v>3471</v>
      </c>
    </row>
    <row r="4125" customHeight="1" spans="4:7">
      <c r="D4125" s="256">
        <v>50035</v>
      </c>
      <c r="E4125" s="257" t="s">
        <v>9616</v>
      </c>
      <c r="F4125" s="257" t="s">
        <v>9620</v>
      </c>
      <c r="G4125" s="257" t="s">
        <v>9621</v>
      </c>
    </row>
    <row r="4126" customHeight="1" spans="4:7">
      <c r="D4126" s="256">
        <v>50035</v>
      </c>
      <c r="E4126" s="257" t="s">
        <v>9616</v>
      </c>
      <c r="F4126" s="257" t="s">
        <v>9622</v>
      </c>
      <c r="G4126" s="257" t="s">
        <v>9623</v>
      </c>
    </row>
    <row r="4127" customHeight="1" spans="4:7">
      <c r="D4127" s="256">
        <v>50035</v>
      </c>
      <c r="E4127" s="257" t="s">
        <v>9616</v>
      </c>
      <c r="F4127" s="257" t="s">
        <v>9624</v>
      </c>
      <c r="G4127" s="257" t="s">
        <v>9625</v>
      </c>
    </row>
    <row r="4128" customHeight="1" spans="4:7">
      <c r="D4128" s="256">
        <v>50035</v>
      </c>
      <c r="E4128" s="257" t="s">
        <v>9616</v>
      </c>
      <c r="F4128" s="257" t="s">
        <v>9626</v>
      </c>
      <c r="G4128" s="257" t="s">
        <v>9627</v>
      </c>
    </row>
    <row r="4129" customHeight="1" spans="4:7">
      <c r="D4129" s="256">
        <v>50035</v>
      </c>
      <c r="E4129" s="257" t="s">
        <v>9616</v>
      </c>
      <c r="F4129" s="257" t="s">
        <v>9628</v>
      </c>
      <c r="G4129" s="257" t="s">
        <v>9629</v>
      </c>
    </row>
    <row r="4130" customHeight="1" spans="4:7">
      <c r="D4130" s="256">
        <v>50035</v>
      </c>
      <c r="E4130" s="257" t="s">
        <v>9616</v>
      </c>
      <c r="F4130" s="257" t="s">
        <v>9630</v>
      </c>
      <c r="G4130" s="257" t="s">
        <v>2531</v>
      </c>
    </row>
    <row r="4131" customHeight="1" spans="4:7">
      <c r="D4131" s="256">
        <v>50035</v>
      </c>
      <c r="E4131" s="257" t="s">
        <v>9616</v>
      </c>
      <c r="F4131" s="257" t="s">
        <v>9631</v>
      </c>
      <c r="G4131" s="257" t="s">
        <v>9632</v>
      </c>
    </row>
    <row r="4132" customHeight="1" spans="4:7">
      <c r="D4132" s="256">
        <v>50035</v>
      </c>
      <c r="E4132" s="257" t="s">
        <v>9616</v>
      </c>
      <c r="F4132" s="257" t="s">
        <v>9633</v>
      </c>
      <c r="G4132" s="257" t="s">
        <v>2704</v>
      </c>
    </row>
    <row r="4133" customHeight="1" spans="4:7">
      <c r="D4133" s="256">
        <v>50035</v>
      </c>
      <c r="E4133" s="257" t="s">
        <v>9616</v>
      </c>
      <c r="F4133" s="257" t="s">
        <v>9634</v>
      </c>
      <c r="G4133" s="257" t="s">
        <v>9635</v>
      </c>
    </row>
    <row r="4134" customHeight="1" spans="4:7">
      <c r="D4134" s="256">
        <v>52031</v>
      </c>
      <c r="E4134" s="257" t="s">
        <v>9636</v>
      </c>
      <c r="F4134" s="257" t="s">
        <v>9637</v>
      </c>
      <c r="G4134" s="257" t="s">
        <v>9638</v>
      </c>
    </row>
    <row r="4135" customHeight="1" spans="4:7">
      <c r="D4135" s="256">
        <v>52031</v>
      </c>
      <c r="E4135" s="257" t="s">
        <v>9636</v>
      </c>
      <c r="F4135" s="257" t="s">
        <v>9639</v>
      </c>
      <c r="G4135" s="257" t="s">
        <v>9640</v>
      </c>
    </row>
    <row r="4136" customHeight="1" spans="4:7">
      <c r="D4136" s="256">
        <v>52031</v>
      </c>
      <c r="E4136" s="257" t="s">
        <v>9636</v>
      </c>
      <c r="F4136" s="257" t="s">
        <v>9641</v>
      </c>
      <c r="G4136" s="257" t="s">
        <v>9642</v>
      </c>
    </row>
    <row r="4137" customHeight="1" spans="4:7">
      <c r="D4137" s="256">
        <v>52031</v>
      </c>
      <c r="E4137" s="257" t="s">
        <v>9636</v>
      </c>
      <c r="F4137" s="257" t="s">
        <v>9643</v>
      </c>
      <c r="G4137" s="257" t="s">
        <v>9644</v>
      </c>
    </row>
    <row r="4138" customHeight="1" spans="4:7">
      <c r="D4138" s="256">
        <v>52031</v>
      </c>
      <c r="E4138" s="257" t="s">
        <v>9636</v>
      </c>
      <c r="F4138" s="257" t="s">
        <v>9645</v>
      </c>
      <c r="G4138" s="257" t="s">
        <v>9646</v>
      </c>
    </row>
    <row r="4139" customHeight="1" spans="4:7">
      <c r="D4139" s="256">
        <v>52031</v>
      </c>
      <c r="E4139" s="257" t="s">
        <v>9636</v>
      </c>
      <c r="F4139" s="257" t="s">
        <v>9647</v>
      </c>
      <c r="G4139" s="257" t="s">
        <v>9648</v>
      </c>
    </row>
    <row r="4140" customHeight="1" spans="4:7">
      <c r="D4140" s="256">
        <v>52031</v>
      </c>
      <c r="E4140" s="257" t="s">
        <v>9636</v>
      </c>
      <c r="F4140" s="257" t="s">
        <v>9649</v>
      </c>
      <c r="G4140" s="257" t="s">
        <v>9650</v>
      </c>
    </row>
    <row r="4141" customHeight="1" spans="4:7">
      <c r="D4141" s="256">
        <v>49019</v>
      </c>
      <c r="E4141" s="257" t="s">
        <v>9651</v>
      </c>
      <c r="F4141" s="257" t="s">
        <v>9652</v>
      </c>
      <c r="G4141" s="257" t="s">
        <v>9653</v>
      </c>
    </row>
    <row r="4142" customHeight="1" spans="4:7">
      <c r="D4142" s="256">
        <v>49019</v>
      </c>
      <c r="E4142" s="257" t="s">
        <v>9651</v>
      </c>
      <c r="F4142" s="257" t="s">
        <v>9654</v>
      </c>
      <c r="G4142" s="257" t="s">
        <v>1552</v>
      </c>
    </row>
    <row r="4143" customHeight="1" spans="4:7">
      <c r="D4143" s="256">
        <v>49019</v>
      </c>
      <c r="E4143" s="257" t="s">
        <v>9651</v>
      </c>
      <c r="F4143" s="257" t="s">
        <v>9655</v>
      </c>
      <c r="G4143" s="257" t="s">
        <v>9656</v>
      </c>
    </row>
    <row r="4144" customHeight="1" spans="4:7">
      <c r="D4144" s="256">
        <v>49019</v>
      </c>
      <c r="E4144" s="257" t="s">
        <v>9651</v>
      </c>
      <c r="F4144" s="257" t="s">
        <v>9657</v>
      </c>
      <c r="G4144" s="257" t="s">
        <v>9658</v>
      </c>
    </row>
    <row r="4145" customHeight="1" spans="4:7">
      <c r="D4145" s="256">
        <v>48041</v>
      </c>
      <c r="E4145" s="257" t="s">
        <v>9659</v>
      </c>
      <c r="F4145" s="257" t="s">
        <v>9660</v>
      </c>
      <c r="G4145" s="257" t="s">
        <v>5998</v>
      </c>
    </row>
    <row r="4146" customHeight="1" spans="4:7">
      <c r="D4146" s="256">
        <v>48041</v>
      </c>
      <c r="E4146" s="257" t="s">
        <v>9659</v>
      </c>
      <c r="F4146" s="257" t="s">
        <v>9661</v>
      </c>
      <c r="G4146" s="257" t="s">
        <v>9662</v>
      </c>
    </row>
    <row r="4147" customHeight="1" spans="4:7">
      <c r="D4147" s="256">
        <v>48041</v>
      </c>
      <c r="E4147" s="257" t="s">
        <v>9659</v>
      </c>
      <c r="F4147" s="257" t="s">
        <v>9663</v>
      </c>
      <c r="G4147" s="257" t="s">
        <v>9664</v>
      </c>
    </row>
    <row r="4148" customHeight="1" spans="4:7">
      <c r="D4148" s="256">
        <v>48041</v>
      </c>
      <c r="E4148" s="257" t="s">
        <v>9659</v>
      </c>
      <c r="F4148" s="257" t="s">
        <v>9665</v>
      </c>
      <c r="G4148" s="257" t="s">
        <v>9666</v>
      </c>
    </row>
    <row r="4149" customHeight="1" spans="4:7">
      <c r="D4149" s="256">
        <v>48041</v>
      </c>
      <c r="E4149" s="257" t="s">
        <v>9659</v>
      </c>
      <c r="F4149" s="257" t="s">
        <v>9667</v>
      </c>
      <c r="G4149" s="257" t="s">
        <v>9668</v>
      </c>
    </row>
    <row r="4150" customHeight="1" spans="4:7">
      <c r="D4150" s="256">
        <v>48041</v>
      </c>
      <c r="E4150" s="257" t="s">
        <v>9659</v>
      </c>
      <c r="F4150" s="257" t="s">
        <v>9669</v>
      </c>
      <c r="G4150" s="257" t="s">
        <v>9670</v>
      </c>
    </row>
    <row r="4151" customHeight="1" spans="4:7">
      <c r="D4151" s="256">
        <v>48041</v>
      </c>
      <c r="E4151" s="257" t="s">
        <v>9659</v>
      </c>
      <c r="F4151" s="257" t="s">
        <v>9671</v>
      </c>
      <c r="G4151" s="257" t="s">
        <v>9672</v>
      </c>
    </row>
    <row r="4152" customHeight="1" spans="4:7">
      <c r="D4152" s="256">
        <v>48041</v>
      </c>
      <c r="E4152" s="257" t="s">
        <v>9659</v>
      </c>
      <c r="F4152" s="257" t="s">
        <v>9673</v>
      </c>
      <c r="G4152" s="257" t="s">
        <v>9674</v>
      </c>
    </row>
    <row r="4153" customHeight="1" spans="4:7">
      <c r="D4153" s="256">
        <v>48041</v>
      </c>
      <c r="E4153" s="257" t="s">
        <v>9659</v>
      </c>
      <c r="F4153" s="257" t="s">
        <v>9675</v>
      </c>
      <c r="G4153" s="257" t="s">
        <v>9676</v>
      </c>
    </row>
    <row r="4154" customHeight="1" spans="4:7">
      <c r="D4154" s="256">
        <v>48041</v>
      </c>
      <c r="E4154" s="257" t="s">
        <v>9659</v>
      </c>
      <c r="F4154" s="257" t="s">
        <v>9677</v>
      </c>
      <c r="G4154" s="257" t="s">
        <v>2902</v>
      </c>
    </row>
    <row r="4155" customHeight="1" spans="4:7">
      <c r="D4155" s="256">
        <v>48041</v>
      </c>
      <c r="E4155" s="257" t="s">
        <v>9659</v>
      </c>
      <c r="F4155" s="257" t="s">
        <v>9678</v>
      </c>
      <c r="G4155" s="257" t="s">
        <v>9679</v>
      </c>
    </row>
    <row r="4156" customHeight="1" spans="4:7">
      <c r="D4156" s="256">
        <v>48041</v>
      </c>
      <c r="E4156" s="257" t="s">
        <v>9659</v>
      </c>
      <c r="F4156" s="257" t="s">
        <v>9680</v>
      </c>
      <c r="G4156" s="257" t="s">
        <v>9681</v>
      </c>
    </row>
    <row r="4157" customHeight="1" spans="4:7">
      <c r="D4157" s="256">
        <v>48041</v>
      </c>
      <c r="E4157" s="257" t="s">
        <v>9659</v>
      </c>
      <c r="F4157" s="257" t="s">
        <v>9682</v>
      </c>
      <c r="G4157" s="257" t="s">
        <v>9683</v>
      </c>
    </row>
    <row r="4158" customHeight="1" spans="4:7">
      <c r="D4158" s="256">
        <v>48041</v>
      </c>
      <c r="E4158" s="257" t="s">
        <v>9659</v>
      </c>
      <c r="F4158" s="257" t="s">
        <v>9684</v>
      </c>
      <c r="G4158" s="257" t="s">
        <v>9685</v>
      </c>
    </row>
    <row r="4159" customHeight="1" spans="4:7">
      <c r="D4159" s="256">
        <v>48041</v>
      </c>
      <c r="E4159" s="257" t="s">
        <v>9659</v>
      </c>
      <c r="F4159" s="257" t="s">
        <v>9686</v>
      </c>
      <c r="G4159" s="257" t="s">
        <v>9687</v>
      </c>
    </row>
    <row r="4160" customHeight="1" spans="4:7">
      <c r="D4160" s="256">
        <v>48041</v>
      </c>
      <c r="E4160" s="257" t="s">
        <v>9659</v>
      </c>
      <c r="F4160" s="257" t="s">
        <v>9688</v>
      </c>
      <c r="G4160" s="257" t="s">
        <v>2327</v>
      </c>
    </row>
    <row r="4161" customHeight="1" spans="4:7">
      <c r="D4161" s="256">
        <v>53023</v>
      </c>
      <c r="E4161" s="257" t="s">
        <v>9689</v>
      </c>
      <c r="F4161" s="257" t="s">
        <v>9690</v>
      </c>
      <c r="G4161" s="257" t="s">
        <v>9691</v>
      </c>
    </row>
    <row r="4162" customHeight="1" spans="4:7">
      <c r="D4162" s="256">
        <v>53023</v>
      </c>
      <c r="E4162" s="257" t="s">
        <v>9689</v>
      </c>
      <c r="F4162" s="257" t="s">
        <v>9692</v>
      </c>
      <c r="G4162" s="257" t="s">
        <v>9693</v>
      </c>
    </row>
    <row r="4163" customHeight="1" spans="4:7">
      <c r="D4163" s="256">
        <v>53023</v>
      </c>
      <c r="E4163" s="257" t="s">
        <v>9689</v>
      </c>
      <c r="F4163" s="257" t="s">
        <v>9694</v>
      </c>
      <c r="G4163" s="257" t="s">
        <v>9695</v>
      </c>
    </row>
    <row r="4164" customHeight="1" spans="4:7">
      <c r="D4164" s="256">
        <v>53023</v>
      </c>
      <c r="E4164" s="257" t="s">
        <v>9689</v>
      </c>
      <c r="F4164" s="257" t="s">
        <v>9696</v>
      </c>
      <c r="G4164" s="257" t="s">
        <v>9697</v>
      </c>
    </row>
    <row r="4165" customHeight="1" spans="4:7">
      <c r="D4165" s="256">
        <v>53023</v>
      </c>
      <c r="E4165" s="257" t="s">
        <v>9689</v>
      </c>
      <c r="F4165" s="257" t="s">
        <v>9698</v>
      </c>
      <c r="G4165" s="257" t="s">
        <v>9699</v>
      </c>
    </row>
    <row r="4166" customHeight="1" spans="4:7">
      <c r="D4166" s="256">
        <v>53023</v>
      </c>
      <c r="E4166" s="257" t="s">
        <v>9689</v>
      </c>
      <c r="F4166" s="257" t="s">
        <v>9700</v>
      </c>
      <c r="G4166" s="257" t="s">
        <v>9701</v>
      </c>
    </row>
    <row r="4167" customHeight="1" spans="4:7">
      <c r="D4167" s="256">
        <v>53023</v>
      </c>
      <c r="E4167" s="257" t="s">
        <v>9689</v>
      </c>
      <c r="F4167" s="257" t="s">
        <v>9702</v>
      </c>
      <c r="G4167" s="257" t="s">
        <v>9012</v>
      </c>
    </row>
    <row r="4168" customHeight="1" spans="4:7">
      <c r="D4168" s="256">
        <v>53023</v>
      </c>
      <c r="E4168" s="257" t="s">
        <v>9689</v>
      </c>
      <c r="F4168" s="257" t="s">
        <v>9703</v>
      </c>
      <c r="G4168" s="257" t="s">
        <v>9704</v>
      </c>
    </row>
    <row r="4169" customHeight="1" spans="4:7">
      <c r="D4169" s="256">
        <v>53023</v>
      </c>
      <c r="E4169" s="257" t="s">
        <v>9689</v>
      </c>
      <c r="F4169" s="257" t="s">
        <v>9705</v>
      </c>
      <c r="G4169" s="257" t="s">
        <v>9706</v>
      </c>
    </row>
    <row r="4170" customHeight="1" spans="4:7">
      <c r="D4170" s="256">
        <v>53023</v>
      </c>
      <c r="E4170" s="257" t="s">
        <v>9689</v>
      </c>
      <c r="F4170" s="257" t="s">
        <v>9707</v>
      </c>
      <c r="G4170" s="257" t="s">
        <v>9708</v>
      </c>
    </row>
    <row r="4171" customHeight="1" spans="4:7">
      <c r="D4171" s="256">
        <v>53023</v>
      </c>
      <c r="E4171" s="257" t="s">
        <v>9689</v>
      </c>
      <c r="F4171" s="257" t="s">
        <v>9709</v>
      </c>
      <c r="G4171" s="257" t="s">
        <v>9710</v>
      </c>
    </row>
    <row r="4172" customHeight="1" spans="4:7">
      <c r="D4172" s="256">
        <v>53023</v>
      </c>
      <c r="E4172" s="257" t="s">
        <v>9689</v>
      </c>
      <c r="F4172" s="257" t="s">
        <v>9711</v>
      </c>
      <c r="G4172" s="257" t="s">
        <v>9244</v>
      </c>
    </row>
    <row r="4173" customHeight="1" spans="4:7">
      <c r="D4173" s="256">
        <v>53023</v>
      </c>
      <c r="E4173" s="257" t="s">
        <v>9689</v>
      </c>
      <c r="F4173" s="257" t="s">
        <v>9712</v>
      </c>
      <c r="G4173" s="257" t="s">
        <v>9713</v>
      </c>
    </row>
    <row r="4174" customHeight="1" spans="4:7">
      <c r="D4174" s="256">
        <v>53023</v>
      </c>
      <c r="E4174" s="257" t="s">
        <v>9689</v>
      </c>
      <c r="F4174" s="257" t="s">
        <v>9714</v>
      </c>
      <c r="G4174" s="257" t="s">
        <v>9715</v>
      </c>
    </row>
    <row r="4175" customHeight="1" spans="4:7">
      <c r="D4175" s="256">
        <v>53023</v>
      </c>
      <c r="E4175" s="257" t="s">
        <v>9689</v>
      </c>
      <c r="F4175" s="257" t="s">
        <v>9716</v>
      </c>
      <c r="G4175" s="257" t="s">
        <v>9717</v>
      </c>
    </row>
    <row r="4176" customHeight="1" spans="4:7">
      <c r="D4176" s="256">
        <v>53023</v>
      </c>
      <c r="E4176" s="257" t="s">
        <v>9689</v>
      </c>
      <c r="F4176" s="257" t="s">
        <v>9718</v>
      </c>
      <c r="G4176" s="257" t="s">
        <v>2975</v>
      </c>
    </row>
    <row r="4177" customHeight="1" spans="4:7">
      <c r="D4177" s="256">
        <v>53023</v>
      </c>
      <c r="E4177" s="257" t="s">
        <v>9689</v>
      </c>
      <c r="F4177" s="257" t="s">
        <v>9719</v>
      </c>
      <c r="G4177" s="257" t="s">
        <v>7720</v>
      </c>
    </row>
    <row r="4178" customHeight="1" spans="4:7">
      <c r="D4178" s="256">
        <v>53023</v>
      </c>
      <c r="E4178" s="257" t="s">
        <v>9689</v>
      </c>
      <c r="F4178" s="257" t="s">
        <v>9720</v>
      </c>
      <c r="G4178" s="257" t="s">
        <v>9721</v>
      </c>
    </row>
    <row r="4179" customHeight="1" spans="4:7">
      <c r="D4179" s="256">
        <v>53024</v>
      </c>
      <c r="E4179" s="257" t="s">
        <v>9722</v>
      </c>
      <c r="F4179" s="257" t="s">
        <v>9723</v>
      </c>
      <c r="G4179" s="257" t="s">
        <v>9724</v>
      </c>
    </row>
    <row r="4180" customHeight="1" spans="4:7">
      <c r="D4180" s="256">
        <v>53024</v>
      </c>
      <c r="E4180" s="257" t="s">
        <v>9722</v>
      </c>
      <c r="F4180" s="257" t="s">
        <v>9725</v>
      </c>
      <c r="G4180" s="257" t="s">
        <v>7940</v>
      </c>
    </row>
    <row r="4181" customHeight="1" spans="4:7">
      <c r="D4181" s="256">
        <v>53024</v>
      </c>
      <c r="E4181" s="257" t="s">
        <v>9722</v>
      </c>
      <c r="F4181" s="257" t="s">
        <v>9726</v>
      </c>
      <c r="G4181" s="257" t="s">
        <v>9727</v>
      </c>
    </row>
    <row r="4182" customHeight="1" spans="4:7">
      <c r="D4182" s="256">
        <v>53024</v>
      </c>
      <c r="E4182" s="257" t="s">
        <v>9722</v>
      </c>
      <c r="F4182" s="257" t="s">
        <v>9728</v>
      </c>
      <c r="G4182" s="257" t="s">
        <v>9729</v>
      </c>
    </row>
    <row r="4183" customHeight="1" spans="4:7">
      <c r="D4183" s="256">
        <v>53024</v>
      </c>
      <c r="E4183" s="257" t="s">
        <v>9722</v>
      </c>
      <c r="F4183" s="257" t="s">
        <v>9730</v>
      </c>
      <c r="G4183" s="257" t="s">
        <v>9731</v>
      </c>
    </row>
    <row r="4184" customHeight="1" spans="4:7">
      <c r="D4184" s="256">
        <v>53024</v>
      </c>
      <c r="E4184" s="257" t="s">
        <v>9722</v>
      </c>
      <c r="F4184" s="257" t="s">
        <v>9732</v>
      </c>
      <c r="G4184" s="257" t="s">
        <v>4262</v>
      </c>
    </row>
    <row r="4185" customHeight="1" spans="4:7">
      <c r="D4185" s="256">
        <v>53024</v>
      </c>
      <c r="E4185" s="257" t="s">
        <v>9722</v>
      </c>
      <c r="F4185" s="257" t="s">
        <v>9733</v>
      </c>
      <c r="G4185" s="257" t="s">
        <v>4202</v>
      </c>
    </row>
    <row r="4186" customHeight="1" spans="4:7">
      <c r="D4186" s="256">
        <v>53024</v>
      </c>
      <c r="E4186" s="257" t="s">
        <v>9722</v>
      </c>
      <c r="F4186" s="257" t="s">
        <v>9734</v>
      </c>
      <c r="G4186" s="257" t="s">
        <v>9735</v>
      </c>
    </row>
    <row r="4187" customHeight="1" spans="4:7">
      <c r="D4187" s="256">
        <v>53024</v>
      </c>
      <c r="E4187" s="257" t="s">
        <v>9722</v>
      </c>
      <c r="F4187" s="257" t="s">
        <v>9736</v>
      </c>
      <c r="G4187" s="257" t="s">
        <v>9737</v>
      </c>
    </row>
    <row r="4188" customHeight="1" spans="4:7">
      <c r="D4188" s="256">
        <v>53024</v>
      </c>
      <c r="E4188" s="257" t="s">
        <v>9722</v>
      </c>
      <c r="F4188" s="257" t="s">
        <v>9738</v>
      </c>
      <c r="G4188" s="257" t="s">
        <v>9739</v>
      </c>
    </row>
    <row r="4189" customHeight="1" spans="4:7">
      <c r="D4189" s="256">
        <v>53024</v>
      </c>
      <c r="E4189" s="257" t="s">
        <v>9722</v>
      </c>
      <c r="F4189" s="257" t="s">
        <v>9740</v>
      </c>
      <c r="G4189" s="257" t="s">
        <v>9741</v>
      </c>
    </row>
    <row r="4190" customHeight="1" spans="4:7">
      <c r="D4190" s="256">
        <v>53024</v>
      </c>
      <c r="E4190" s="257" t="s">
        <v>9722</v>
      </c>
      <c r="F4190" s="257" t="s">
        <v>9742</v>
      </c>
      <c r="G4190" s="257" t="s">
        <v>9743</v>
      </c>
    </row>
    <row r="4191" customHeight="1" spans="4:7">
      <c r="D4191" s="256">
        <v>48042</v>
      </c>
      <c r="E4191" s="257" t="s">
        <v>9744</v>
      </c>
      <c r="F4191" s="257" t="s">
        <v>9745</v>
      </c>
      <c r="G4191" s="257" t="s">
        <v>9746</v>
      </c>
    </row>
    <row r="4192" customHeight="1" spans="4:7">
      <c r="D4192" s="256">
        <v>48042</v>
      </c>
      <c r="E4192" s="257" t="s">
        <v>9744</v>
      </c>
      <c r="F4192" s="257" t="s">
        <v>9747</v>
      </c>
      <c r="G4192" s="257" t="s">
        <v>9748</v>
      </c>
    </row>
    <row r="4193" customHeight="1" spans="4:7">
      <c r="D4193" s="256">
        <v>48042</v>
      </c>
      <c r="E4193" s="257" t="s">
        <v>9744</v>
      </c>
      <c r="F4193" s="257" t="s">
        <v>9749</v>
      </c>
      <c r="G4193" s="257" t="s">
        <v>9750</v>
      </c>
    </row>
    <row r="4194" customHeight="1" spans="4:7">
      <c r="D4194" s="256">
        <v>48042</v>
      </c>
      <c r="E4194" s="257" t="s">
        <v>9744</v>
      </c>
      <c r="F4194" s="257" t="s">
        <v>9751</v>
      </c>
      <c r="G4194" s="257" t="s">
        <v>2117</v>
      </c>
    </row>
    <row r="4195" customHeight="1" spans="4:7">
      <c r="D4195" s="256">
        <v>48042</v>
      </c>
      <c r="E4195" s="257" t="s">
        <v>9744</v>
      </c>
      <c r="F4195" s="257" t="s">
        <v>9752</v>
      </c>
      <c r="G4195" s="257" t="s">
        <v>9753</v>
      </c>
    </row>
    <row r="4196" customHeight="1" spans="4:7">
      <c r="D4196" s="256">
        <v>48042</v>
      </c>
      <c r="E4196" s="257" t="s">
        <v>9744</v>
      </c>
      <c r="F4196" s="257" t="s">
        <v>9754</v>
      </c>
      <c r="G4196" s="257" t="s">
        <v>9755</v>
      </c>
    </row>
    <row r="4197" customHeight="1" spans="4:7">
      <c r="D4197" s="256">
        <v>48042</v>
      </c>
      <c r="E4197" s="257" t="s">
        <v>9744</v>
      </c>
      <c r="F4197" s="257" t="s">
        <v>9756</v>
      </c>
      <c r="G4197" s="257" t="s">
        <v>9757</v>
      </c>
    </row>
    <row r="4198" customHeight="1" spans="4:7">
      <c r="D4198" s="256">
        <v>48042</v>
      </c>
      <c r="E4198" s="257" t="s">
        <v>9744</v>
      </c>
      <c r="F4198" s="257" t="s">
        <v>9758</v>
      </c>
      <c r="G4198" s="257" t="s">
        <v>9759</v>
      </c>
    </row>
    <row r="4199" customHeight="1" spans="4:7">
      <c r="D4199" s="256">
        <v>48042</v>
      </c>
      <c r="E4199" s="257" t="s">
        <v>9744</v>
      </c>
      <c r="F4199" s="257" t="s">
        <v>9760</v>
      </c>
      <c r="G4199" s="257" t="s">
        <v>9761</v>
      </c>
    </row>
    <row r="4200" customHeight="1" spans="4:7">
      <c r="D4200" s="256">
        <v>48042</v>
      </c>
      <c r="E4200" s="257" t="s">
        <v>9744</v>
      </c>
      <c r="F4200" s="257" t="s">
        <v>9762</v>
      </c>
      <c r="G4200" s="257" t="s">
        <v>4763</v>
      </c>
    </row>
    <row r="4201" customHeight="1" spans="4:7">
      <c r="D4201" s="256">
        <v>48042</v>
      </c>
      <c r="E4201" s="257" t="s">
        <v>9744</v>
      </c>
      <c r="F4201" s="257" t="s">
        <v>9763</v>
      </c>
      <c r="G4201" s="257" t="s">
        <v>9764</v>
      </c>
    </row>
    <row r="4202" customHeight="1" spans="4:7">
      <c r="D4202" s="256">
        <v>48042</v>
      </c>
      <c r="E4202" s="257" t="s">
        <v>9744</v>
      </c>
      <c r="F4202" s="257" t="s">
        <v>9765</v>
      </c>
      <c r="G4202" s="257" t="s">
        <v>9766</v>
      </c>
    </row>
    <row r="4203" customHeight="1" spans="4:7">
      <c r="D4203" s="256">
        <v>53025</v>
      </c>
      <c r="E4203" s="257" t="s">
        <v>9767</v>
      </c>
      <c r="F4203" s="257" t="s">
        <v>9768</v>
      </c>
      <c r="G4203" s="257" t="s">
        <v>9769</v>
      </c>
    </row>
    <row r="4204" customHeight="1" spans="4:7">
      <c r="D4204" s="256">
        <v>53025</v>
      </c>
      <c r="E4204" s="257" t="s">
        <v>9767</v>
      </c>
      <c r="F4204" s="257" t="s">
        <v>9770</v>
      </c>
      <c r="G4204" s="257" t="s">
        <v>9771</v>
      </c>
    </row>
    <row r="4205" customHeight="1" spans="4:7">
      <c r="D4205" s="256">
        <v>53025</v>
      </c>
      <c r="E4205" s="257" t="s">
        <v>9767</v>
      </c>
      <c r="F4205" s="257" t="s">
        <v>9772</v>
      </c>
      <c r="G4205" s="257" t="s">
        <v>9773</v>
      </c>
    </row>
    <row r="4206" customHeight="1" spans="4:7">
      <c r="D4206" s="256">
        <v>53025</v>
      </c>
      <c r="E4206" s="257" t="s">
        <v>9767</v>
      </c>
      <c r="F4206" s="257" t="s">
        <v>9774</v>
      </c>
      <c r="G4206" s="257" t="s">
        <v>9775</v>
      </c>
    </row>
    <row r="4207" customHeight="1" spans="4:7">
      <c r="D4207" s="256">
        <v>53025</v>
      </c>
      <c r="E4207" s="257" t="s">
        <v>9767</v>
      </c>
      <c r="F4207" s="257" t="s">
        <v>9776</v>
      </c>
      <c r="G4207" s="257" t="s">
        <v>5703</v>
      </c>
    </row>
    <row r="4208" customHeight="1" spans="4:7">
      <c r="D4208" s="256">
        <v>53025</v>
      </c>
      <c r="E4208" s="257" t="s">
        <v>9767</v>
      </c>
      <c r="F4208" s="257" t="s">
        <v>9777</v>
      </c>
      <c r="G4208" s="257" t="s">
        <v>9778</v>
      </c>
    </row>
    <row r="4209" customHeight="1" spans="4:7">
      <c r="D4209" s="256">
        <v>53025</v>
      </c>
      <c r="E4209" s="257" t="s">
        <v>9767</v>
      </c>
      <c r="F4209" s="257" t="s">
        <v>9779</v>
      </c>
      <c r="G4209" s="257" t="s">
        <v>9715</v>
      </c>
    </row>
    <row r="4210" customHeight="1" spans="4:7">
      <c r="D4210" s="256">
        <v>53025</v>
      </c>
      <c r="E4210" s="257" t="s">
        <v>9767</v>
      </c>
      <c r="F4210" s="257" t="s">
        <v>9780</v>
      </c>
      <c r="G4210" s="257" t="s">
        <v>9781</v>
      </c>
    </row>
    <row r="4211" customHeight="1" spans="4:7">
      <c r="D4211" s="256">
        <v>53025</v>
      </c>
      <c r="E4211" s="257" t="s">
        <v>9767</v>
      </c>
      <c r="F4211" s="257" t="s">
        <v>9782</v>
      </c>
      <c r="G4211" s="257" t="s">
        <v>9783</v>
      </c>
    </row>
    <row r="4212" customHeight="1" spans="4:7">
      <c r="D4212" s="256">
        <v>53028</v>
      </c>
      <c r="E4212" s="257" t="s">
        <v>9784</v>
      </c>
      <c r="F4212" s="257" t="s">
        <v>9785</v>
      </c>
      <c r="G4212" s="257" t="s">
        <v>4031</v>
      </c>
    </row>
    <row r="4213" customHeight="1" spans="4:7">
      <c r="D4213" s="256">
        <v>53028</v>
      </c>
      <c r="E4213" s="257" t="s">
        <v>9784</v>
      </c>
      <c r="F4213" s="257" t="s">
        <v>9786</v>
      </c>
      <c r="G4213" s="257" t="s">
        <v>9787</v>
      </c>
    </row>
    <row r="4214" customHeight="1" spans="4:7">
      <c r="D4214" s="256">
        <v>53028</v>
      </c>
      <c r="E4214" s="257" t="s">
        <v>9784</v>
      </c>
      <c r="F4214" s="257" t="s">
        <v>9788</v>
      </c>
      <c r="G4214" s="257" t="s">
        <v>9789</v>
      </c>
    </row>
    <row r="4215" customHeight="1" spans="4:7">
      <c r="D4215" s="256">
        <v>53028</v>
      </c>
      <c r="E4215" s="257" t="s">
        <v>9784</v>
      </c>
      <c r="F4215" s="257" t="s">
        <v>9790</v>
      </c>
      <c r="G4215" s="257" t="s">
        <v>9791</v>
      </c>
    </row>
    <row r="4216" customHeight="1" spans="4:7">
      <c r="D4216" s="256">
        <v>53028</v>
      </c>
      <c r="E4216" s="257" t="s">
        <v>9784</v>
      </c>
      <c r="F4216" s="257" t="s">
        <v>9792</v>
      </c>
      <c r="G4216" s="257" t="s">
        <v>1939</v>
      </c>
    </row>
    <row r="4217" customHeight="1" spans="4:7">
      <c r="D4217" s="256">
        <v>53028</v>
      </c>
      <c r="E4217" s="257" t="s">
        <v>9784</v>
      </c>
      <c r="F4217" s="257" t="s">
        <v>9793</v>
      </c>
      <c r="G4217" s="257" t="s">
        <v>9794</v>
      </c>
    </row>
    <row r="4218" customHeight="1" spans="4:7">
      <c r="D4218" s="256">
        <v>53028</v>
      </c>
      <c r="E4218" s="257" t="s">
        <v>9784</v>
      </c>
      <c r="F4218" s="257" t="s">
        <v>9795</v>
      </c>
      <c r="G4218" s="257" t="s">
        <v>9796</v>
      </c>
    </row>
    <row r="4219" customHeight="1" spans="4:7">
      <c r="D4219" s="256">
        <v>53028</v>
      </c>
      <c r="E4219" s="257" t="s">
        <v>9784</v>
      </c>
      <c r="F4219" s="257" t="s">
        <v>9797</v>
      </c>
      <c r="G4219" s="257" t="s">
        <v>3989</v>
      </c>
    </row>
    <row r="4220" customHeight="1" spans="4:7">
      <c r="D4220" s="256">
        <v>53028</v>
      </c>
      <c r="E4220" s="257" t="s">
        <v>9784</v>
      </c>
      <c r="F4220" s="257" t="s">
        <v>9798</v>
      </c>
      <c r="G4220" s="257" t="s">
        <v>9799</v>
      </c>
    </row>
    <row r="4221" customHeight="1" spans="4:7">
      <c r="D4221" s="256">
        <v>53028</v>
      </c>
      <c r="E4221" s="257" t="s">
        <v>9784</v>
      </c>
      <c r="F4221" s="257" t="s">
        <v>9800</v>
      </c>
      <c r="G4221" s="257" t="s">
        <v>9801</v>
      </c>
    </row>
    <row r="4222" customHeight="1" spans="4:7">
      <c r="D4222" s="256">
        <v>53028</v>
      </c>
      <c r="E4222" s="257" t="s">
        <v>9784</v>
      </c>
      <c r="F4222" s="257" t="s">
        <v>9802</v>
      </c>
      <c r="G4222" s="257" t="s">
        <v>9803</v>
      </c>
    </row>
    <row r="4223" customHeight="1" spans="4:7">
      <c r="D4223" s="256">
        <v>46028</v>
      </c>
      <c r="E4223" s="257" t="s">
        <v>9804</v>
      </c>
      <c r="F4223" s="257" t="s">
        <v>9805</v>
      </c>
      <c r="G4223" s="257" t="s">
        <v>9806</v>
      </c>
    </row>
    <row r="4224" customHeight="1" spans="4:7">
      <c r="D4224" s="256">
        <v>46028</v>
      </c>
      <c r="E4224" s="257" t="s">
        <v>9804</v>
      </c>
      <c r="F4224" s="257" t="s">
        <v>9807</v>
      </c>
      <c r="G4224" s="257" t="s">
        <v>9808</v>
      </c>
    </row>
    <row r="4225" customHeight="1" spans="4:7">
      <c r="D4225" s="256">
        <v>46028</v>
      </c>
      <c r="E4225" s="257" t="s">
        <v>9804</v>
      </c>
      <c r="F4225" s="257" t="s">
        <v>9809</v>
      </c>
      <c r="G4225" s="257" t="s">
        <v>9810</v>
      </c>
    </row>
    <row r="4226" customHeight="1" spans="4:7">
      <c r="D4226" s="256">
        <v>46028</v>
      </c>
      <c r="E4226" s="257" t="s">
        <v>9804</v>
      </c>
      <c r="F4226" s="257" t="s">
        <v>9811</v>
      </c>
      <c r="G4226" s="257" t="s">
        <v>9812</v>
      </c>
    </row>
    <row r="4227" customHeight="1" spans="4:7">
      <c r="D4227" s="256">
        <v>46028</v>
      </c>
      <c r="E4227" s="257" t="s">
        <v>9804</v>
      </c>
      <c r="F4227" s="257" t="s">
        <v>9813</v>
      </c>
      <c r="G4227" s="257" t="s">
        <v>9814</v>
      </c>
    </row>
    <row r="4228" customHeight="1" spans="4:7">
      <c r="D4228" s="256">
        <v>46028</v>
      </c>
      <c r="E4228" s="257" t="s">
        <v>9804</v>
      </c>
      <c r="F4228" s="257" t="s">
        <v>9815</v>
      </c>
      <c r="G4228" s="257" t="s">
        <v>9816</v>
      </c>
    </row>
    <row r="4229" customHeight="1" spans="4:7">
      <c r="D4229" s="256">
        <v>46028</v>
      </c>
      <c r="E4229" s="257" t="s">
        <v>9804</v>
      </c>
      <c r="F4229" s="257" t="s">
        <v>9817</v>
      </c>
      <c r="G4229" s="257" t="s">
        <v>9818</v>
      </c>
    </row>
    <row r="4230" customHeight="1" spans="4:7">
      <c r="D4230" s="256">
        <v>46028</v>
      </c>
      <c r="E4230" s="257" t="s">
        <v>9804</v>
      </c>
      <c r="F4230" s="257" t="s">
        <v>9819</v>
      </c>
      <c r="G4230" s="257" t="s">
        <v>9820</v>
      </c>
    </row>
    <row r="4231" customHeight="1" spans="4:7">
      <c r="D4231" s="256">
        <v>46028</v>
      </c>
      <c r="E4231" s="257" t="s">
        <v>9804</v>
      </c>
      <c r="F4231" s="257" t="s">
        <v>9821</v>
      </c>
      <c r="G4231" s="257" t="s">
        <v>9822</v>
      </c>
    </row>
    <row r="4232" customHeight="1" spans="4:7">
      <c r="D4232" s="256">
        <v>46028</v>
      </c>
      <c r="E4232" s="257" t="s">
        <v>9804</v>
      </c>
      <c r="F4232" s="257" t="s">
        <v>9823</v>
      </c>
      <c r="G4232" s="257" t="s">
        <v>9824</v>
      </c>
    </row>
    <row r="4233" customHeight="1" spans="4:7">
      <c r="D4233" s="256">
        <v>46028</v>
      </c>
      <c r="E4233" s="257" t="s">
        <v>9804</v>
      </c>
      <c r="F4233" s="257" t="s">
        <v>9825</v>
      </c>
      <c r="G4233" s="257" t="s">
        <v>9826</v>
      </c>
    </row>
    <row r="4234" customHeight="1" spans="4:7">
      <c r="D4234" s="256">
        <v>46028</v>
      </c>
      <c r="E4234" s="257" t="s">
        <v>9804</v>
      </c>
      <c r="F4234" s="257" t="s">
        <v>9827</v>
      </c>
      <c r="G4234" s="257" t="s">
        <v>9828</v>
      </c>
    </row>
    <row r="4235" customHeight="1" spans="4:7">
      <c r="D4235" s="256">
        <v>46028</v>
      </c>
      <c r="E4235" s="257" t="s">
        <v>9804</v>
      </c>
      <c r="F4235" s="257" t="s">
        <v>9829</v>
      </c>
      <c r="G4235" s="257" t="s">
        <v>9830</v>
      </c>
    </row>
    <row r="4236" customHeight="1" spans="4:7">
      <c r="D4236" s="256">
        <v>46028</v>
      </c>
      <c r="E4236" s="257" t="s">
        <v>9804</v>
      </c>
      <c r="F4236" s="257" t="s">
        <v>9831</v>
      </c>
      <c r="G4236" s="257" t="s">
        <v>9832</v>
      </c>
    </row>
    <row r="4237" customHeight="1" spans="4:7">
      <c r="D4237" s="256">
        <v>47020</v>
      </c>
      <c r="E4237" s="257" t="s">
        <v>9833</v>
      </c>
      <c r="F4237" s="257" t="s">
        <v>9834</v>
      </c>
      <c r="G4237" s="257" t="s">
        <v>9835</v>
      </c>
    </row>
    <row r="4238" customHeight="1" spans="4:7">
      <c r="D4238" s="256">
        <v>47020</v>
      </c>
      <c r="E4238" s="257" t="s">
        <v>9833</v>
      </c>
      <c r="F4238" s="257" t="s">
        <v>9836</v>
      </c>
      <c r="G4238" s="257" t="s">
        <v>8753</v>
      </c>
    </row>
    <row r="4239" customHeight="1" spans="4:7">
      <c r="D4239" s="256">
        <v>47020</v>
      </c>
      <c r="E4239" s="257" t="s">
        <v>9833</v>
      </c>
      <c r="F4239" s="257" t="s">
        <v>9837</v>
      </c>
      <c r="G4239" s="257" t="s">
        <v>9838</v>
      </c>
    </row>
    <row r="4240" customHeight="1" spans="4:7">
      <c r="D4240" s="256">
        <v>47020</v>
      </c>
      <c r="E4240" s="257" t="s">
        <v>9833</v>
      </c>
      <c r="F4240" s="257" t="s">
        <v>9839</v>
      </c>
      <c r="G4240" s="257" t="s">
        <v>9840</v>
      </c>
    </row>
    <row r="4241" customHeight="1" spans="4:7">
      <c r="D4241" s="256">
        <v>47020</v>
      </c>
      <c r="E4241" s="257" t="s">
        <v>9833</v>
      </c>
      <c r="F4241" s="257" t="s">
        <v>9841</v>
      </c>
      <c r="G4241" s="257" t="s">
        <v>9842</v>
      </c>
    </row>
    <row r="4242" customHeight="1" spans="4:7">
      <c r="D4242" s="256">
        <v>47020</v>
      </c>
      <c r="E4242" s="257" t="s">
        <v>9833</v>
      </c>
      <c r="F4242" s="257" t="s">
        <v>9843</v>
      </c>
      <c r="G4242" s="257" t="s">
        <v>9844</v>
      </c>
    </row>
    <row r="4243" customHeight="1" spans="4:7">
      <c r="D4243" s="256">
        <v>47020</v>
      </c>
      <c r="E4243" s="257" t="s">
        <v>9833</v>
      </c>
      <c r="F4243" s="257" t="s">
        <v>9845</v>
      </c>
      <c r="G4243" s="257" t="s">
        <v>9846</v>
      </c>
    </row>
    <row r="4244" customHeight="1" spans="4:7">
      <c r="D4244" s="256">
        <v>47020</v>
      </c>
      <c r="E4244" s="257" t="s">
        <v>9833</v>
      </c>
      <c r="F4244" s="257" t="s">
        <v>9847</v>
      </c>
      <c r="G4244" s="257" t="s">
        <v>9848</v>
      </c>
    </row>
    <row r="4245" customHeight="1" spans="4:7">
      <c r="D4245" s="256">
        <v>47020</v>
      </c>
      <c r="E4245" s="257" t="s">
        <v>9833</v>
      </c>
      <c r="F4245" s="257" t="s">
        <v>9849</v>
      </c>
      <c r="G4245" s="257" t="s">
        <v>9850</v>
      </c>
    </row>
    <row r="4246" customHeight="1" spans="4:7">
      <c r="D4246" s="256">
        <v>47020</v>
      </c>
      <c r="E4246" s="257" t="s">
        <v>9833</v>
      </c>
      <c r="F4246" s="257" t="s">
        <v>9851</v>
      </c>
      <c r="G4246" s="257" t="s">
        <v>9852</v>
      </c>
    </row>
    <row r="4247" customHeight="1" spans="4:7">
      <c r="D4247" s="256">
        <v>47020</v>
      </c>
      <c r="E4247" s="257" t="s">
        <v>9833</v>
      </c>
      <c r="F4247" s="257" t="s">
        <v>9853</v>
      </c>
      <c r="G4247" s="257" t="s">
        <v>9854</v>
      </c>
    </row>
    <row r="4248" customHeight="1" spans="4:7">
      <c r="D4248" s="256">
        <v>47020</v>
      </c>
      <c r="E4248" s="257" t="s">
        <v>9833</v>
      </c>
      <c r="F4248" s="257" t="s">
        <v>9855</v>
      </c>
      <c r="G4248" s="257" t="s">
        <v>9856</v>
      </c>
    </row>
    <row r="4249" customHeight="1" spans="4:7">
      <c r="D4249" s="256">
        <v>47020</v>
      </c>
      <c r="E4249" s="257" t="s">
        <v>9833</v>
      </c>
      <c r="F4249" s="257" t="s">
        <v>9857</v>
      </c>
      <c r="G4249" s="257" t="s">
        <v>9858</v>
      </c>
    </row>
    <row r="4250" customHeight="1" spans="4:7">
      <c r="D4250" s="256">
        <v>47020</v>
      </c>
      <c r="E4250" s="257" t="s">
        <v>9833</v>
      </c>
      <c r="F4250" s="257" t="s">
        <v>9859</v>
      </c>
      <c r="G4250" s="257" t="s">
        <v>9860</v>
      </c>
    </row>
    <row r="4251" customHeight="1" spans="4:7">
      <c r="D4251" s="256">
        <v>47020</v>
      </c>
      <c r="E4251" s="257" t="s">
        <v>9833</v>
      </c>
      <c r="F4251" s="257" t="s">
        <v>9861</v>
      </c>
      <c r="G4251" s="257" t="s">
        <v>9862</v>
      </c>
    </row>
    <row r="4252" customHeight="1" spans="4:7">
      <c r="D4252" s="256">
        <v>47020</v>
      </c>
      <c r="E4252" s="257" t="s">
        <v>9833</v>
      </c>
      <c r="F4252" s="257" t="s">
        <v>9863</v>
      </c>
      <c r="G4252" s="257" t="s">
        <v>9864</v>
      </c>
    </row>
    <row r="4253" customHeight="1" spans="4:7">
      <c r="D4253" s="256">
        <v>47020</v>
      </c>
      <c r="E4253" s="257" t="s">
        <v>9833</v>
      </c>
      <c r="F4253" s="257" t="s">
        <v>9865</v>
      </c>
      <c r="G4253" s="257" t="s">
        <v>9866</v>
      </c>
    </row>
    <row r="4254" customHeight="1" spans="4:7">
      <c r="D4254" s="256">
        <v>47020</v>
      </c>
      <c r="E4254" s="257" t="s">
        <v>9833</v>
      </c>
      <c r="F4254" s="257" t="s">
        <v>9867</v>
      </c>
      <c r="G4254" s="257" t="s">
        <v>9868</v>
      </c>
    </row>
    <row r="4255" customHeight="1" spans="4:7">
      <c r="D4255" s="256">
        <v>47020</v>
      </c>
      <c r="E4255" s="257" t="s">
        <v>9833</v>
      </c>
      <c r="F4255" s="257" t="s">
        <v>9869</v>
      </c>
      <c r="G4255" s="257" t="s">
        <v>7624</v>
      </c>
    </row>
    <row r="4256" customHeight="1" spans="4:7">
      <c r="D4256" s="256">
        <v>51035</v>
      </c>
      <c r="E4256" s="257" t="s">
        <v>9870</v>
      </c>
      <c r="F4256" s="257" t="s">
        <v>9871</v>
      </c>
      <c r="G4256" s="257" t="s">
        <v>9872</v>
      </c>
    </row>
    <row r="4257" customHeight="1" spans="4:7">
      <c r="D4257" s="256">
        <v>51035</v>
      </c>
      <c r="E4257" s="257" t="s">
        <v>9870</v>
      </c>
      <c r="F4257" s="257" t="s">
        <v>9873</v>
      </c>
      <c r="G4257" s="257" t="s">
        <v>9874</v>
      </c>
    </row>
    <row r="4258" customHeight="1" spans="4:7">
      <c r="D4258" s="256">
        <v>51035</v>
      </c>
      <c r="E4258" s="257" t="s">
        <v>9870</v>
      </c>
      <c r="F4258" s="257" t="s">
        <v>9875</v>
      </c>
      <c r="G4258" s="257" t="s">
        <v>6175</v>
      </c>
    </row>
    <row r="4259" customHeight="1" spans="4:7">
      <c r="D4259" s="256">
        <v>51035</v>
      </c>
      <c r="E4259" s="257" t="s">
        <v>9870</v>
      </c>
      <c r="F4259" s="257" t="s">
        <v>9876</v>
      </c>
      <c r="G4259" s="257" t="s">
        <v>9877</v>
      </c>
    </row>
    <row r="4260" customHeight="1" spans="4:7">
      <c r="D4260" s="256">
        <v>51035</v>
      </c>
      <c r="E4260" s="257" t="s">
        <v>9870</v>
      </c>
      <c r="F4260" s="257" t="s">
        <v>9878</v>
      </c>
      <c r="G4260" s="257" t="s">
        <v>9879</v>
      </c>
    </row>
    <row r="4261" customHeight="1" spans="4:7">
      <c r="D4261" s="256">
        <v>51035</v>
      </c>
      <c r="E4261" s="257" t="s">
        <v>9870</v>
      </c>
      <c r="F4261" s="257" t="s">
        <v>9880</v>
      </c>
      <c r="G4261" s="257" t="s">
        <v>9881</v>
      </c>
    </row>
    <row r="4262" customHeight="1" spans="4:7">
      <c r="D4262" s="256">
        <v>51035</v>
      </c>
      <c r="E4262" s="257" t="s">
        <v>9870</v>
      </c>
      <c r="F4262" s="257" t="s">
        <v>9882</v>
      </c>
      <c r="G4262" s="257" t="s">
        <v>9883</v>
      </c>
    </row>
    <row r="4263" customHeight="1" spans="4:7">
      <c r="D4263" s="256">
        <v>51035</v>
      </c>
      <c r="E4263" s="257" t="s">
        <v>9870</v>
      </c>
      <c r="F4263" s="257" t="s">
        <v>9884</v>
      </c>
      <c r="G4263" s="257" t="s">
        <v>9885</v>
      </c>
    </row>
    <row r="4264" customHeight="1" spans="4:7">
      <c r="D4264" s="256">
        <v>51035</v>
      </c>
      <c r="E4264" s="257" t="s">
        <v>9870</v>
      </c>
      <c r="F4264" s="257" t="s">
        <v>9886</v>
      </c>
      <c r="G4264" s="257" t="s">
        <v>9887</v>
      </c>
    </row>
    <row r="4265" customHeight="1" spans="4:7">
      <c r="D4265" s="256">
        <v>51035</v>
      </c>
      <c r="E4265" s="257" t="s">
        <v>9870</v>
      </c>
      <c r="F4265" s="257" t="s">
        <v>9888</v>
      </c>
      <c r="G4265" s="257" t="s">
        <v>9889</v>
      </c>
    </row>
    <row r="4266" customHeight="1" spans="4:7">
      <c r="D4266" s="256">
        <v>51035</v>
      </c>
      <c r="E4266" s="257" t="s">
        <v>9870</v>
      </c>
      <c r="F4266" s="257" t="s">
        <v>9890</v>
      </c>
      <c r="G4266" s="257" t="s">
        <v>9891</v>
      </c>
    </row>
    <row r="4267" customHeight="1" spans="4:7">
      <c r="D4267" s="256">
        <v>51035</v>
      </c>
      <c r="E4267" s="257" t="s">
        <v>9870</v>
      </c>
      <c r="F4267" s="257" t="s">
        <v>9892</v>
      </c>
      <c r="G4267" s="257" t="s">
        <v>7956</v>
      </c>
    </row>
    <row r="4268" customHeight="1" spans="4:7">
      <c r="D4268" s="256">
        <v>51035</v>
      </c>
      <c r="E4268" s="257" t="s">
        <v>9870</v>
      </c>
      <c r="F4268" s="257" t="s">
        <v>9893</v>
      </c>
      <c r="G4268" s="257" t="s">
        <v>9894</v>
      </c>
    </row>
    <row r="4269" customHeight="1" spans="4:7">
      <c r="D4269" s="256">
        <v>51035</v>
      </c>
      <c r="E4269" s="257" t="s">
        <v>9870</v>
      </c>
      <c r="F4269" s="257" t="s">
        <v>9895</v>
      </c>
      <c r="G4269" s="257" t="s">
        <v>9896</v>
      </c>
    </row>
    <row r="4270" customHeight="1" spans="4:7">
      <c r="D4270" s="256">
        <v>51035</v>
      </c>
      <c r="E4270" s="257" t="s">
        <v>9870</v>
      </c>
      <c r="F4270" s="257" t="s">
        <v>9897</v>
      </c>
      <c r="G4270" s="257" t="s">
        <v>9898</v>
      </c>
    </row>
    <row r="4271" customHeight="1" spans="4:7">
      <c r="D4271" s="256">
        <v>51035</v>
      </c>
      <c r="E4271" s="257" t="s">
        <v>9870</v>
      </c>
      <c r="F4271" s="257" t="s">
        <v>9899</v>
      </c>
      <c r="G4271" s="257" t="s">
        <v>2531</v>
      </c>
    </row>
    <row r="4272" customHeight="1" spans="4:7">
      <c r="D4272" s="256">
        <v>51035</v>
      </c>
      <c r="E4272" s="257" t="s">
        <v>9870</v>
      </c>
      <c r="F4272" s="257" t="s">
        <v>9900</v>
      </c>
      <c r="G4272" s="257" t="s">
        <v>9901</v>
      </c>
    </row>
    <row r="4273" customHeight="1" spans="4:7">
      <c r="D4273" s="256">
        <v>51035</v>
      </c>
      <c r="E4273" s="257" t="s">
        <v>9870</v>
      </c>
      <c r="F4273" s="257" t="s">
        <v>9902</v>
      </c>
      <c r="G4273" s="257" t="s">
        <v>9903</v>
      </c>
    </row>
    <row r="4274" customHeight="1" spans="4:7">
      <c r="D4274" s="256">
        <v>51035</v>
      </c>
      <c r="E4274" s="257" t="s">
        <v>9870</v>
      </c>
      <c r="F4274" s="257" t="s">
        <v>9904</v>
      </c>
      <c r="G4274" s="257" t="s">
        <v>9905</v>
      </c>
    </row>
    <row r="4275" customHeight="1" spans="4:7">
      <c r="D4275" s="256">
        <v>48043</v>
      </c>
      <c r="E4275" s="257" t="s">
        <v>9906</v>
      </c>
      <c r="F4275" s="257" t="s">
        <v>9907</v>
      </c>
      <c r="G4275" s="257" t="s">
        <v>9908</v>
      </c>
    </row>
    <row r="4276" customHeight="1" spans="4:7">
      <c r="D4276" s="256">
        <v>48043</v>
      </c>
      <c r="E4276" s="257" t="s">
        <v>9906</v>
      </c>
      <c r="F4276" s="257" t="s">
        <v>9909</v>
      </c>
      <c r="G4276" s="257" t="s">
        <v>9910</v>
      </c>
    </row>
    <row r="4277" customHeight="1" spans="4:7">
      <c r="D4277" s="256">
        <v>48043</v>
      </c>
      <c r="E4277" s="257" t="s">
        <v>9906</v>
      </c>
      <c r="F4277" s="257" t="s">
        <v>9911</v>
      </c>
      <c r="G4277" s="257" t="s">
        <v>8054</v>
      </c>
    </row>
    <row r="4278" customHeight="1" spans="4:7">
      <c r="D4278" s="256">
        <v>48043</v>
      </c>
      <c r="E4278" s="257" t="s">
        <v>9906</v>
      </c>
      <c r="F4278" s="257" t="s">
        <v>9912</v>
      </c>
      <c r="G4278" s="257" t="s">
        <v>9913</v>
      </c>
    </row>
    <row r="4279" customHeight="1" spans="4:7">
      <c r="D4279" s="256">
        <v>48043</v>
      </c>
      <c r="E4279" s="257" t="s">
        <v>9906</v>
      </c>
      <c r="F4279" s="257" t="s">
        <v>9914</v>
      </c>
      <c r="G4279" s="257" t="s">
        <v>9915</v>
      </c>
    </row>
    <row r="4280" customHeight="1" spans="4:7">
      <c r="D4280" s="256">
        <v>48043</v>
      </c>
      <c r="E4280" s="257" t="s">
        <v>9906</v>
      </c>
      <c r="F4280" s="257" t="s">
        <v>9916</v>
      </c>
      <c r="G4280" s="257" t="s">
        <v>9917</v>
      </c>
    </row>
    <row r="4281" customHeight="1" spans="4:7">
      <c r="D4281" s="256">
        <v>48043</v>
      </c>
      <c r="E4281" s="257" t="s">
        <v>9906</v>
      </c>
      <c r="F4281" s="257" t="s">
        <v>9918</v>
      </c>
      <c r="G4281" s="257" t="s">
        <v>9919</v>
      </c>
    </row>
    <row r="4282" customHeight="1" spans="4:7">
      <c r="D4282" s="256">
        <v>48043</v>
      </c>
      <c r="E4282" s="257" t="s">
        <v>9906</v>
      </c>
      <c r="F4282" s="257" t="s">
        <v>9920</v>
      </c>
      <c r="G4282" s="257" t="s">
        <v>9921</v>
      </c>
    </row>
    <row r="4283" customHeight="1" spans="4:7">
      <c r="D4283" s="256">
        <v>48043</v>
      </c>
      <c r="E4283" s="257" t="s">
        <v>9906</v>
      </c>
      <c r="F4283" s="257" t="s">
        <v>9922</v>
      </c>
      <c r="G4283" s="257" t="s">
        <v>9923</v>
      </c>
    </row>
    <row r="4284" customHeight="1" spans="4:7">
      <c r="D4284" s="256">
        <v>48043</v>
      </c>
      <c r="E4284" s="257" t="s">
        <v>9906</v>
      </c>
      <c r="F4284" s="257" t="s">
        <v>9924</v>
      </c>
      <c r="G4284" s="257" t="s">
        <v>9925</v>
      </c>
    </row>
    <row r="4285" customHeight="1" spans="4:7">
      <c r="D4285" s="256">
        <v>48043</v>
      </c>
      <c r="E4285" s="257" t="s">
        <v>9906</v>
      </c>
      <c r="F4285" s="257" t="s">
        <v>9926</v>
      </c>
      <c r="G4285" s="257" t="s">
        <v>2437</v>
      </c>
    </row>
    <row r="4286" customHeight="1" spans="4:7">
      <c r="D4286" s="256">
        <v>48043</v>
      </c>
      <c r="E4286" s="257" t="s">
        <v>9906</v>
      </c>
      <c r="F4286" s="257" t="s">
        <v>9927</v>
      </c>
      <c r="G4286" s="257" t="s">
        <v>9928</v>
      </c>
    </row>
    <row r="4287" customHeight="1" spans="4:7">
      <c r="D4287" s="256">
        <v>52032</v>
      </c>
      <c r="E4287" s="257" t="s">
        <v>9929</v>
      </c>
      <c r="F4287" s="257" t="s">
        <v>9930</v>
      </c>
      <c r="G4287" s="257" t="s">
        <v>6934</v>
      </c>
    </row>
    <row r="4288" customHeight="1" spans="4:7">
      <c r="D4288" s="256">
        <v>52032</v>
      </c>
      <c r="E4288" s="257" t="s">
        <v>9929</v>
      </c>
      <c r="F4288" s="257" t="s">
        <v>9931</v>
      </c>
      <c r="G4288" s="257" t="s">
        <v>9932</v>
      </c>
    </row>
    <row r="4289" customHeight="1" spans="4:7">
      <c r="D4289" s="256">
        <v>52032</v>
      </c>
      <c r="E4289" s="257" t="s">
        <v>9929</v>
      </c>
      <c r="F4289" s="257" t="s">
        <v>9933</v>
      </c>
      <c r="G4289" s="257" t="s">
        <v>9934</v>
      </c>
    </row>
    <row r="4290" customHeight="1" spans="4:7">
      <c r="D4290" s="256">
        <v>52032</v>
      </c>
      <c r="E4290" s="257" t="s">
        <v>9929</v>
      </c>
      <c r="F4290" s="257" t="s">
        <v>9935</v>
      </c>
      <c r="G4290" s="257" t="s">
        <v>9936</v>
      </c>
    </row>
    <row r="4291" customHeight="1" spans="4:7">
      <c r="D4291" s="256">
        <v>52032</v>
      </c>
      <c r="E4291" s="257" t="s">
        <v>9929</v>
      </c>
      <c r="F4291" s="257" t="s">
        <v>9937</v>
      </c>
      <c r="G4291" s="257" t="s">
        <v>9938</v>
      </c>
    </row>
    <row r="4292" customHeight="1" spans="4:7">
      <c r="D4292" s="256">
        <v>52032</v>
      </c>
      <c r="E4292" s="257" t="s">
        <v>9929</v>
      </c>
      <c r="F4292" s="257" t="s">
        <v>9939</v>
      </c>
      <c r="G4292" s="257" t="s">
        <v>9940</v>
      </c>
    </row>
    <row r="4293" customHeight="1" spans="4:7">
      <c r="D4293" s="256">
        <v>52032</v>
      </c>
      <c r="E4293" s="257" t="s">
        <v>9929</v>
      </c>
      <c r="F4293" s="257" t="s">
        <v>9941</v>
      </c>
      <c r="G4293" s="257" t="s">
        <v>9404</v>
      </c>
    </row>
    <row r="4294" customHeight="1" spans="4:7">
      <c r="D4294" s="256">
        <v>52032</v>
      </c>
      <c r="E4294" s="257" t="s">
        <v>9929</v>
      </c>
      <c r="F4294" s="257" t="s">
        <v>9942</v>
      </c>
      <c r="G4294" s="257" t="s">
        <v>9943</v>
      </c>
    </row>
    <row r="4295" customHeight="1" spans="4:7">
      <c r="D4295" s="256">
        <v>52032</v>
      </c>
      <c r="E4295" s="257" t="s">
        <v>9929</v>
      </c>
      <c r="F4295" s="257" t="s">
        <v>9944</v>
      </c>
      <c r="G4295" s="257" t="s">
        <v>7385</v>
      </c>
    </row>
    <row r="4296" customHeight="1" spans="4:7">
      <c r="D4296" s="256">
        <v>52032</v>
      </c>
      <c r="E4296" s="257" t="s">
        <v>9929</v>
      </c>
      <c r="F4296" s="257" t="s">
        <v>9945</v>
      </c>
      <c r="G4296" s="257" t="s">
        <v>9946</v>
      </c>
    </row>
    <row r="4297" customHeight="1" spans="4:7">
      <c r="D4297" s="256">
        <v>52032</v>
      </c>
      <c r="E4297" s="257" t="s">
        <v>9929</v>
      </c>
      <c r="F4297" s="257" t="s">
        <v>9947</v>
      </c>
      <c r="G4297" s="257" t="s">
        <v>3471</v>
      </c>
    </row>
    <row r="4298" customHeight="1" spans="4:7">
      <c r="D4298" s="256">
        <v>52032</v>
      </c>
      <c r="E4298" s="257" t="s">
        <v>9929</v>
      </c>
      <c r="F4298" s="257" t="s">
        <v>9948</v>
      </c>
      <c r="G4298" s="257" t="s">
        <v>8008</v>
      </c>
    </row>
    <row r="4299" customHeight="1" spans="4:7">
      <c r="D4299" s="256">
        <v>52032</v>
      </c>
      <c r="E4299" s="257" t="s">
        <v>9929</v>
      </c>
      <c r="F4299" s="257" t="s">
        <v>9949</v>
      </c>
      <c r="G4299" s="257" t="s">
        <v>9950</v>
      </c>
    </row>
    <row r="4300" customHeight="1" spans="4:7">
      <c r="D4300" s="256">
        <v>52032</v>
      </c>
      <c r="E4300" s="257" t="s">
        <v>9929</v>
      </c>
      <c r="F4300" s="257" t="s">
        <v>9951</v>
      </c>
      <c r="G4300" s="257" t="s">
        <v>9952</v>
      </c>
    </row>
    <row r="4301" customHeight="1" spans="4:7">
      <c r="D4301" s="256">
        <v>52032</v>
      </c>
      <c r="E4301" s="257" t="s">
        <v>9929</v>
      </c>
      <c r="F4301" s="257" t="s">
        <v>9953</v>
      </c>
      <c r="G4301" s="257" t="s">
        <v>9954</v>
      </c>
    </row>
    <row r="4302" customHeight="1" spans="4:7">
      <c r="D4302" s="256">
        <v>52032</v>
      </c>
      <c r="E4302" s="257" t="s">
        <v>9929</v>
      </c>
      <c r="F4302" s="257" t="s">
        <v>9955</v>
      </c>
      <c r="G4302" s="257" t="s">
        <v>9956</v>
      </c>
    </row>
    <row r="4303" customHeight="1" spans="4:7">
      <c r="D4303" s="256">
        <v>52032</v>
      </c>
      <c r="E4303" s="257" t="s">
        <v>9929</v>
      </c>
      <c r="F4303" s="257" t="s">
        <v>9957</v>
      </c>
      <c r="G4303" s="257" t="s">
        <v>9958</v>
      </c>
    </row>
    <row r="4304" customHeight="1" spans="4:7">
      <c r="D4304" s="256">
        <v>52032</v>
      </c>
      <c r="E4304" s="257" t="s">
        <v>9929</v>
      </c>
      <c r="F4304" s="257" t="s">
        <v>9959</v>
      </c>
      <c r="G4304" s="257" t="s">
        <v>9960</v>
      </c>
    </row>
    <row r="4305" customHeight="1" spans="4:7">
      <c r="D4305" s="256">
        <v>52032</v>
      </c>
      <c r="E4305" s="257" t="s">
        <v>9929</v>
      </c>
      <c r="F4305" s="257" t="s">
        <v>9961</v>
      </c>
      <c r="G4305" s="257" t="s">
        <v>9962</v>
      </c>
    </row>
    <row r="4306" customHeight="1" spans="4:7">
      <c r="D4306" s="256">
        <v>52032</v>
      </c>
      <c r="E4306" s="257" t="s">
        <v>9929</v>
      </c>
      <c r="F4306" s="257" t="s">
        <v>9963</v>
      </c>
      <c r="G4306" s="257" t="s">
        <v>9964</v>
      </c>
    </row>
    <row r="4307" customHeight="1" spans="4:7">
      <c r="D4307" s="256">
        <v>52032</v>
      </c>
      <c r="E4307" s="257" t="s">
        <v>9929</v>
      </c>
      <c r="F4307" s="257" t="s">
        <v>9965</v>
      </c>
      <c r="G4307" s="257" t="s">
        <v>9966</v>
      </c>
    </row>
    <row r="4308" customHeight="1" spans="4:7">
      <c r="D4308" s="256">
        <v>52032</v>
      </c>
      <c r="E4308" s="257" t="s">
        <v>9929</v>
      </c>
      <c r="F4308" s="257" t="s">
        <v>9967</v>
      </c>
      <c r="G4308" s="257" t="s">
        <v>6929</v>
      </c>
    </row>
    <row r="4309" customHeight="1" spans="4:7">
      <c r="D4309" s="256">
        <v>52032</v>
      </c>
      <c r="E4309" s="257" t="s">
        <v>9929</v>
      </c>
      <c r="F4309" s="257" t="s">
        <v>9968</v>
      </c>
      <c r="G4309" s="257" t="s">
        <v>9969</v>
      </c>
    </row>
    <row r="4310" customHeight="1" spans="4:7">
      <c r="D4310" s="256">
        <v>52032</v>
      </c>
      <c r="E4310" s="257" t="s">
        <v>9929</v>
      </c>
      <c r="F4310" s="257" t="s">
        <v>9970</v>
      </c>
      <c r="G4310" s="257" t="s">
        <v>3444</v>
      </c>
    </row>
    <row r="4311" customHeight="1" spans="4:7">
      <c r="D4311" s="256">
        <v>52032</v>
      </c>
      <c r="E4311" s="257" t="s">
        <v>9929</v>
      </c>
      <c r="F4311" s="257" t="s">
        <v>9971</v>
      </c>
      <c r="G4311" s="257" t="s">
        <v>9972</v>
      </c>
    </row>
    <row r="4312" customHeight="1" spans="4:7">
      <c r="D4312" s="256">
        <v>52032</v>
      </c>
      <c r="E4312" s="257" t="s">
        <v>9929</v>
      </c>
      <c r="F4312" s="257" t="s">
        <v>9973</v>
      </c>
      <c r="G4312" s="257" t="s">
        <v>9974</v>
      </c>
    </row>
    <row r="4313" customHeight="1" spans="4:7">
      <c r="D4313" s="256">
        <v>52032</v>
      </c>
      <c r="E4313" s="257" t="s">
        <v>9929</v>
      </c>
      <c r="F4313" s="257" t="s">
        <v>9975</v>
      </c>
      <c r="G4313" s="257" t="s">
        <v>3264</v>
      </c>
    </row>
    <row r="4314" customHeight="1" spans="4:7">
      <c r="D4314" s="256">
        <v>52032</v>
      </c>
      <c r="E4314" s="257" t="s">
        <v>9929</v>
      </c>
      <c r="F4314" s="257" t="s">
        <v>9976</v>
      </c>
      <c r="G4314" s="257" t="s">
        <v>9977</v>
      </c>
    </row>
    <row r="4315" customHeight="1" spans="4:7">
      <c r="D4315" s="256">
        <v>52032</v>
      </c>
      <c r="E4315" s="257" t="s">
        <v>9929</v>
      </c>
      <c r="F4315" s="257" t="s">
        <v>9978</v>
      </c>
      <c r="G4315" s="257" t="s">
        <v>9979</v>
      </c>
    </row>
    <row r="4316" customHeight="1" spans="4:7">
      <c r="D4316" s="256">
        <v>52032</v>
      </c>
      <c r="E4316" s="257" t="s">
        <v>9929</v>
      </c>
      <c r="F4316" s="257" t="s">
        <v>9980</v>
      </c>
      <c r="G4316" s="257" t="s">
        <v>9981</v>
      </c>
    </row>
    <row r="4317" customHeight="1" spans="4:7">
      <c r="D4317" s="256">
        <v>52032</v>
      </c>
      <c r="E4317" s="257" t="s">
        <v>9929</v>
      </c>
      <c r="F4317" s="257" t="s">
        <v>9982</v>
      </c>
      <c r="G4317" s="257" t="s">
        <v>9983</v>
      </c>
    </row>
    <row r="4318" customHeight="1" spans="4:7">
      <c r="D4318" s="256">
        <v>52032</v>
      </c>
      <c r="E4318" s="257" t="s">
        <v>9929</v>
      </c>
      <c r="F4318" s="257" t="s">
        <v>9984</v>
      </c>
      <c r="G4318" s="257" t="s">
        <v>3124</v>
      </c>
    </row>
    <row r="4319" customHeight="1" spans="4:7">
      <c r="D4319" s="256">
        <v>52032</v>
      </c>
      <c r="E4319" s="257" t="s">
        <v>9929</v>
      </c>
      <c r="F4319" s="257" t="s">
        <v>9985</v>
      </c>
      <c r="G4319" s="257" t="s">
        <v>9986</v>
      </c>
    </row>
    <row r="4320" customHeight="1" spans="4:7">
      <c r="D4320" s="256">
        <v>52032</v>
      </c>
      <c r="E4320" s="257" t="s">
        <v>9929</v>
      </c>
      <c r="F4320" s="257" t="s">
        <v>9987</v>
      </c>
      <c r="G4320" s="257" t="s">
        <v>9988</v>
      </c>
    </row>
    <row r="4321" customHeight="1" spans="4:7">
      <c r="D4321" s="256">
        <v>52032</v>
      </c>
      <c r="E4321" s="257" t="s">
        <v>9929</v>
      </c>
      <c r="F4321" s="257" t="s">
        <v>9989</v>
      </c>
      <c r="G4321" s="257" t="s">
        <v>9990</v>
      </c>
    </row>
    <row r="4322" customHeight="1" spans="4:7">
      <c r="D4322" s="256">
        <v>52032</v>
      </c>
      <c r="E4322" s="257" t="s">
        <v>9929</v>
      </c>
      <c r="F4322" s="257" t="s">
        <v>9991</v>
      </c>
      <c r="G4322" s="257" t="s">
        <v>9992</v>
      </c>
    </row>
    <row r="4323" customHeight="1" spans="4:7">
      <c r="D4323" s="256">
        <v>52032</v>
      </c>
      <c r="E4323" s="257" t="s">
        <v>9929</v>
      </c>
      <c r="F4323" s="257" t="s">
        <v>9993</v>
      </c>
      <c r="G4323" s="257" t="s">
        <v>9994</v>
      </c>
    </row>
    <row r="4324" customHeight="1" spans="4:7">
      <c r="D4324" s="256">
        <v>52032</v>
      </c>
      <c r="E4324" s="257" t="s">
        <v>9929</v>
      </c>
      <c r="F4324" s="257" t="s">
        <v>9995</v>
      </c>
      <c r="G4324" s="257" t="s">
        <v>9898</v>
      </c>
    </row>
    <row r="4325" customHeight="1" spans="4:7">
      <c r="D4325" s="256">
        <v>52032</v>
      </c>
      <c r="E4325" s="257" t="s">
        <v>9929</v>
      </c>
      <c r="F4325" s="257" t="s">
        <v>9996</v>
      </c>
      <c r="G4325" s="257" t="s">
        <v>9997</v>
      </c>
    </row>
    <row r="4326" customHeight="1" spans="4:7">
      <c r="D4326" s="256">
        <v>52032</v>
      </c>
      <c r="E4326" s="257" t="s">
        <v>9929</v>
      </c>
      <c r="F4326" s="257" t="s">
        <v>9998</v>
      </c>
      <c r="G4326" s="257" t="s">
        <v>7075</v>
      </c>
    </row>
    <row r="4327" customHeight="1" spans="4:7">
      <c r="D4327" s="256">
        <v>52032</v>
      </c>
      <c r="E4327" s="257" t="s">
        <v>9929</v>
      </c>
      <c r="F4327" s="257" t="s">
        <v>9999</v>
      </c>
      <c r="G4327" s="257" t="s">
        <v>5887</v>
      </c>
    </row>
    <row r="4328" customHeight="1" spans="4:7">
      <c r="D4328" s="256">
        <v>52032</v>
      </c>
      <c r="E4328" s="257" t="s">
        <v>9929</v>
      </c>
      <c r="F4328" s="257" t="s">
        <v>10000</v>
      </c>
      <c r="G4328" s="257" t="s">
        <v>2161</v>
      </c>
    </row>
    <row r="4329" customHeight="1" spans="4:7">
      <c r="D4329" s="256">
        <v>52032</v>
      </c>
      <c r="E4329" s="257" t="s">
        <v>9929</v>
      </c>
      <c r="F4329" s="257" t="s">
        <v>10001</v>
      </c>
      <c r="G4329" s="257" t="s">
        <v>9463</v>
      </c>
    </row>
    <row r="4330" customHeight="1" spans="4:7">
      <c r="D4330" s="256">
        <v>52032</v>
      </c>
      <c r="E4330" s="257" t="s">
        <v>9929</v>
      </c>
      <c r="F4330" s="257" t="s">
        <v>10002</v>
      </c>
      <c r="G4330" s="257" t="s">
        <v>10003</v>
      </c>
    </row>
    <row r="4331" customHeight="1" spans="4:7">
      <c r="D4331" s="256">
        <v>52032</v>
      </c>
      <c r="E4331" s="257" t="s">
        <v>9929</v>
      </c>
      <c r="F4331" s="257" t="s">
        <v>10004</v>
      </c>
      <c r="G4331" s="257" t="s">
        <v>10005</v>
      </c>
    </row>
    <row r="4332" customHeight="1" spans="4:7">
      <c r="D4332" s="256">
        <v>52032</v>
      </c>
      <c r="E4332" s="257" t="s">
        <v>9929</v>
      </c>
      <c r="F4332" s="257" t="s">
        <v>10006</v>
      </c>
      <c r="G4332" s="257" t="s">
        <v>10007</v>
      </c>
    </row>
    <row r="4333" customHeight="1" spans="4:7">
      <c r="D4333" s="256">
        <v>52032</v>
      </c>
      <c r="E4333" s="257" t="s">
        <v>9929</v>
      </c>
      <c r="F4333" s="257" t="s">
        <v>10008</v>
      </c>
      <c r="G4333" s="257" t="s">
        <v>10009</v>
      </c>
    </row>
    <row r="4334" customHeight="1" spans="4:7">
      <c r="D4334" s="256">
        <v>52032</v>
      </c>
      <c r="E4334" s="257" t="s">
        <v>9929</v>
      </c>
      <c r="F4334" s="257" t="s">
        <v>10010</v>
      </c>
      <c r="G4334" s="257" t="s">
        <v>10011</v>
      </c>
    </row>
    <row r="4335" customHeight="1" spans="4:7">
      <c r="D4335" s="256">
        <v>52032</v>
      </c>
      <c r="E4335" s="257" t="s">
        <v>9929</v>
      </c>
      <c r="F4335" s="257" t="s">
        <v>10012</v>
      </c>
      <c r="G4335" s="257" t="s">
        <v>10013</v>
      </c>
    </row>
    <row r="4336" customHeight="1" spans="4:7">
      <c r="D4336" s="256">
        <v>52032</v>
      </c>
      <c r="E4336" s="257" t="s">
        <v>9929</v>
      </c>
      <c r="F4336" s="257" t="s">
        <v>10014</v>
      </c>
      <c r="G4336" s="257" t="s">
        <v>10015</v>
      </c>
    </row>
    <row r="4337" customHeight="1" spans="4:7">
      <c r="D4337" s="256">
        <v>52032</v>
      </c>
      <c r="E4337" s="257" t="s">
        <v>9929</v>
      </c>
      <c r="F4337" s="257" t="s">
        <v>10016</v>
      </c>
      <c r="G4337" s="257" t="s">
        <v>10017</v>
      </c>
    </row>
    <row r="4338" customHeight="1" spans="4:7">
      <c r="D4338" s="256">
        <v>52032</v>
      </c>
      <c r="E4338" s="257" t="s">
        <v>9929</v>
      </c>
      <c r="F4338" s="257" t="s">
        <v>10018</v>
      </c>
      <c r="G4338" s="257" t="s">
        <v>10019</v>
      </c>
    </row>
    <row r="4339" customHeight="1" spans="4:7">
      <c r="D4339" s="256">
        <v>52032</v>
      </c>
      <c r="E4339" s="257" t="s">
        <v>9929</v>
      </c>
      <c r="F4339" s="257" t="s">
        <v>10020</v>
      </c>
      <c r="G4339" s="257" t="s">
        <v>10021</v>
      </c>
    </row>
    <row r="4340" customHeight="1" spans="4:7">
      <c r="D4340" s="256">
        <v>52032</v>
      </c>
      <c r="E4340" s="257" t="s">
        <v>9929</v>
      </c>
      <c r="F4340" s="257" t="s">
        <v>10022</v>
      </c>
      <c r="G4340" s="257" t="s">
        <v>10023</v>
      </c>
    </row>
    <row r="4341" customHeight="1" spans="4:7">
      <c r="D4341" s="256">
        <v>48044</v>
      </c>
      <c r="E4341" s="257" t="s">
        <v>10024</v>
      </c>
      <c r="F4341" s="257" t="s">
        <v>10025</v>
      </c>
      <c r="G4341" s="257" t="s">
        <v>10026</v>
      </c>
    </row>
    <row r="4342" customHeight="1" spans="4:7">
      <c r="D4342" s="256">
        <v>48044</v>
      </c>
      <c r="E4342" s="257" t="s">
        <v>10024</v>
      </c>
      <c r="F4342" s="257" t="s">
        <v>10027</v>
      </c>
      <c r="G4342" s="257" t="s">
        <v>10028</v>
      </c>
    </row>
    <row r="4343" customHeight="1" spans="4:7">
      <c r="D4343" s="256">
        <v>48044</v>
      </c>
      <c r="E4343" s="257" t="s">
        <v>10024</v>
      </c>
      <c r="F4343" s="257" t="s">
        <v>10029</v>
      </c>
      <c r="G4343" s="257" t="s">
        <v>10030</v>
      </c>
    </row>
    <row r="4344" customHeight="1" spans="4:7">
      <c r="D4344" s="256">
        <v>48044</v>
      </c>
      <c r="E4344" s="257" t="s">
        <v>10024</v>
      </c>
      <c r="F4344" s="257" t="s">
        <v>10031</v>
      </c>
      <c r="G4344" s="257" t="s">
        <v>10032</v>
      </c>
    </row>
    <row r="4345" customHeight="1" spans="4:7">
      <c r="D4345" s="256">
        <v>48044</v>
      </c>
      <c r="E4345" s="257" t="s">
        <v>10024</v>
      </c>
      <c r="F4345" s="257" t="s">
        <v>10033</v>
      </c>
      <c r="G4345" s="257" t="s">
        <v>2902</v>
      </c>
    </row>
    <row r="4346" customHeight="1" spans="4:7">
      <c r="D4346" s="256">
        <v>48044</v>
      </c>
      <c r="E4346" s="257" t="s">
        <v>10024</v>
      </c>
      <c r="F4346" s="257" t="s">
        <v>10034</v>
      </c>
      <c r="G4346" s="257" t="s">
        <v>10035</v>
      </c>
    </row>
    <row r="4347" customHeight="1" spans="4:7">
      <c r="D4347" s="256">
        <v>48044</v>
      </c>
      <c r="E4347" s="257" t="s">
        <v>10024</v>
      </c>
      <c r="F4347" s="257" t="s">
        <v>10036</v>
      </c>
      <c r="G4347" s="257" t="s">
        <v>5957</v>
      </c>
    </row>
    <row r="4348" customHeight="1" spans="4:7">
      <c r="D4348" s="256">
        <v>48044</v>
      </c>
      <c r="E4348" s="257" t="s">
        <v>10024</v>
      </c>
      <c r="F4348" s="257" t="s">
        <v>10037</v>
      </c>
      <c r="G4348" s="257" t="s">
        <v>2786</v>
      </c>
    </row>
    <row r="4349" customHeight="1" spans="4:7">
      <c r="D4349" s="256">
        <v>48044</v>
      </c>
      <c r="E4349" s="257" t="s">
        <v>10024</v>
      </c>
      <c r="F4349" s="257" t="s">
        <v>10038</v>
      </c>
      <c r="G4349" s="257" t="s">
        <v>10039</v>
      </c>
    </row>
    <row r="4350" customHeight="1" spans="4:7">
      <c r="D4350" s="256">
        <v>46029</v>
      </c>
      <c r="E4350" s="257" t="s">
        <v>10040</v>
      </c>
      <c r="F4350" s="257" t="s">
        <v>10041</v>
      </c>
      <c r="G4350" s="257" t="s">
        <v>10042</v>
      </c>
    </row>
    <row r="4351" customHeight="1" spans="4:7">
      <c r="D4351" s="256">
        <v>46029</v>
      </c>
      <c r="E4351" s="257" t="s">
        <v>10040</v>
      </c>
      <c r="F4351" s="257" t="s">
        <v>10043</v>
      </c>
      <c r="G4351" s="257" t="s">
        <v>10044</v>
      </c>
    </row>
    <row r="4352" customHeight="1" spans="4:7">
      <c r="D4352" s="256">
        <v>46029</v>
      </c>
      <c r="E4352" s="257" t="s">
        <v>10040</v>
      </c>
      <c r="F4352" s="257" t="s">
        <v>10045</v>
      </c>
      <c r="G4352" s="257" t="s">
        <v>2803</v>
      </c>
    </row>
    <row r="4353" customHeight="1" spans="4:7">
      <c r="D4353" s="256">
        <v>46029</v>
      </c>
      <c r="E4353" s="257" t="s">
        <v>10040</v>
      </c>
      <c r="F4353" s="257" t="s">
        <v>10046</v>
      </c>
      <c r="G4353" s="257" t="s">
        <v>10047</v>
      </c>
    </row>
    <row r="4354" customHeight="1" spans="4:7">
      <c r="D4354" s="256">
        <v>46029</v>
      </c>
      <c r="E4354" s="257" t="s">
        <v>10040</v>
      </c>
      <c r="F4354" s="257" t="s">
        <v>10048</v>
      </c>
      <c r="G4354" s="257" t="s">
        <v>10049</v>
      </c>
    </row>
    <row r="4355" customHeight="1" spans="4:7">
      <c r="D4355" s="256">
        <v>46029</v>
      </c>
      <c r="E4355" s="257" t="s">
        <v>10040</v>
      </c>
      <c r="F4355" s="257" t="s">
        <v>10050</v>
      </c>
      <c r="G4355" s="257" t="s">
        <v>10051</v>
      </c>
    </row>
    <row r="4356" customHeight="1" spans="4:7">
      <c r="D4356" s="256">
        <v>46029</v>
      </c>
      <c r="E4356" s="257" t="s">
        <v>10040</v>
      </c>
      <c r="F4356" s="257" t="s">
        <v>10052</v>
      </c>
      <c r="G4356" s="257" t="s">
        <v>3859</v>
      </c>
    </row>
    <row r="4357" customHeight="1" spans="4:7">
      <c r="D4357" s="256">
        <v>46029</v>
      </c>
      <c r="E4357" s="257" t="s">
        <v>10040</v>
      </c>
      <c r="F4357" s="257" t="s">
        <v>10053</v>
      </c>
      <c r="G4357" s="257" t="s">
        <v>10054</v>
      </c>
    </row>
    <row r="4358" customHeight="1" spans="4:7">
      <c r="D4358" s="256">
        <v>46029</v>
      </c>
      <c r="E4358" s="257" t="s">
        <v>10040</v>
      </c>
      <c r="F4358" s="257" t="s">
        <v>10055</v>
      </c>
      <c r="G4358" s="257" t="s">
        <v>2740</v>
      </c>
    </row>
    <row r="4359" customHeight="1" spans="4:7">
      <c r="D4359" s="256">
        <v>52033</v>
      </c>
      <c r="E4359" s="257" t="s">
        <v>10056</v>
      </c>
      <c r="F4359" s="257" t="s">
        <v>10057</v>
      </c>
      <c r="G4359" s="257" t="s">
        <v>2916</v>
      </c>
    </row>
    <row r="4360" customHeight="1" spans="4:7">
      <c r="D4360" s="256">
        <v>52033</v>
      </c>
      <c r="E4360" s="257" t="s">
        <v>10056</v>
      </c>
      <c r="F4360" s="257" t="s">
        <v>10058</v>
      </c>
      <c r="G4360" s="257" t="s">
        <v>10059</v>
      </c>
    </row>
    <row r="4361" customHeight="1" spans="4:7">
      <c r="D4361" s="256">
        <v>52033</v>
      </c>
      <c r="E4361" s="257" t="s">
        <v>10056</v>
      </c>
      <c r="F4361" s="257" t="s">
        <v>10060</v>
      </c>
      <c r="G4361" s="257" t="s">
        <v>10061</v>
      </c>
    </row>
    <row r="4362" customHeight="1" spans="4:7">
      <c r="D4362" s="256">
        <v>52033</v>
      </c>
      <c r="E4362" s="257" t="s">
        <v>10056</v>
      </c>
      <c r="F4362" s="257" t="s">
        <v>10062</v>
      </c>
      <c r="G4362" s="257" t="s">
        <v>7041</v>
      </c>
    </row>
    <row r="4363" customHeight="1" spans="4:7">
      <c r="D4363" s="256">
        <v>52033</v>
      </c>
      <c r="E4363" s="257" t="s">
        <v>10056</v>
      </c>
      <c r="F4363" s="257" t="s">
        <v>10063</v>
      </c>
      <c r="G4363" s="257" t="s">
        <v>10064</v>
      </c>
    </row>
    <row r="4364" customHeight="1" spans="4:7">
      <c r="D4364" s="256">
        <v>52033</v>
      </c>
      <c r="E4364" s="257" t="s">
        <v>10056</v>
      </c>
      <c r="F4364" s="257" t="s">
        <v>10065</v>
      </c>
      <c r="G4364" s="257" t="s">
        <v>9842</v>
      </c>
    </row>
    <row r="4365" customHeight="1" spans="4:7">
      <c r="D4365" s="256">
        <v>52033</v>
      </c>
      <c r="E4365" s="257" t="s">
        <v>10056</v>
      </c>
      <c r="F4365" s="257" t="s">
        <v>10066</v>
      </c>
      <c r="G4365" s="257" t="s">
        <v>10067</v>
      </c>
    </row>
    <row r="4366" customHeight="1" spans="4:7">
      <c r="D4366" s="256">
        <v>52033</v>
      </c>
      <c r="E4366" s="257" t="s">
        <v>10056</v>
      </c>
      <c r="F4366" s="257" t="s">
        <v>10068</v>
      </c>
      <c r="G4366" s="257" t="s">
        <v>10069</v>
      </c>
    </row>
    <row r="4367" customHeight="1" spans="4:7">
      <c r="D4367" s="256">
        <v>52033</v>
      </c>
      <c r="E4367" s="257" t="s">
        <v>10056</v>
      </c>
      <c r="F4367" s="257" t="s">
        <v>10070</v>
      </c>
      <c r="G4367" s="257" t="s">
        <v>10071</v>
      </c>
    </row>
    <row r="4368" customHeight="1" spans="4:7">
      <c r="D4368" s="256">
        <v>52033</v>
      </c>
      <c r="E4368" s="257" t="s">
        <v>10056</v>
      </c>
      <c r="F4368" s="257" t="s">
        <v>10072</v>
      </c>
      <c r="G4368" s="257" t="s">
        <v>10073</v>
      </c>
    </row>
    <row r="4369" customHeight="1" spans="4:7">
      <c r="D4369" s="256">
        <v>52033</v>
      </c>
      <c r="E4369" s="257" t="s">
        <v>10056</v>
      </c>
      <c r="F4369" s="257" t="s">
        <v>10074</v>
      </c>
      <c r="G4369" s="257" t="s">
        <v>10075</v>
      </c>
    </row>
    <row r="4370" customHeight="1" spans="4:7">
      <c r="D4370" s="256">
        <v>52033</v>
      </c>
      <c r="E4370" s="257" t="s">
        <v>10056</v>
      </c>
      <c r="F4370" s="257" t="s">
        <v>10076</v>
      </c>
      <c r="G4370" s="257" t="s">
        <v>10077</v>
      </c>
    </row>
    <row r="4371" customHeight="1" spans="4:7">
      <c r="D4371" s="256">
        <v>52033</v>
      </c>
      <c r="E4371" s="257" t="s">
        <v>10056</v>
      </c>
      <c r="F4371" s="257" t="s">
        <v>10078</v>
      </c>
      <c r="G4371" s="257" t="s">
        <v>5855</v>
      </c>
    </row>
    <row r="4372" customHeight="1" spans="4:7">
      <c r="D4372" s="256">
        <v>52033</v>
      </c>
      <c r="E4372" s="257" t="s">
        <v>10056</v>
      </c>
      <c r="F4372" s="257" t="s">
        <v>10079</v>
      </c>
      <c r="G4372" s="257" t="s">
        <v>10080</v>
      </c>
    </row>
    <row r="4373" customHeight="1" spans="4:7">
      <c r="D4373" s="256">
        <v>52033</v>
      </c>
      <c r="E4373" s="257" t="s">
        <v>10056</v>
      </c>
      <c r="F4373" s="257" t="s">
        <v>10081</v>
      </c>
      <c r="G4373" s="257" t="s">
        <v>10082</v>
      </c>
    </row>
    <row r="4374" customHeight="1" spans="4:7">
      <c r="D4374" s="256">
        <v>52033</v>
      </c>
      <c r="E4374" s="257" t="s">
        <v>10056</v>
      </c>
      <c r="F4374" s="257" t="s">
        <v>10083</v>
      </c>
      <c r="G4374" s="257" t="s">
        <v>10084</v>
      </c>
    </row>
    <row r="4375" customHeight="1" spans="4:7">
      <c r="D4375" s="256">
        <v>52033</v>
      </c>
      <c r="E4375" s="257" t="s">
        <v>10056</v>
      </c>
      <c r="F4375" s="257" t="s">
        <v>10085</v>
      </c>
      <c r="G4375" s="257" t="s">
        <v>10086</v>
      </c>
    </row>
    <row r="4376" customHeight="1" spans="4:7">
      <c r="D4376" s="256">
        <v>52033</v>
      </c>
      <c r="E4376" s="257" t="s">
        <v>10056</v>
      </c>
      <c r="F4376" s="257" t="s">
        <v>10087</v>
      </c>
      <c r="G4376" s="257" t="s">
        <v>10088</v>
      </c>
    </row>
    <row r="4377" customHeight="1" spans="4:7">
      <c r="D4377" s="256">
        <v>53026</v>
      </c>
      <c r="E4377" s="257" t="s">
        <v>10089</v>
      </c>
      <c r="F4377" s="257" t="s">
        <v>10090</v>
      </c>
      <c r="G4377" s="257" t="s">
        <v>10091</v>
      </c>
    </row>
    <row r="4378" customHeight="1" spans="4:7">
      <c r="D4378" s="256">
        <v>53026</v>
      </c>
      <c r="E4378" s="257" t="s">
        <v>10089</v>
      </c>
      <c r="F4378" s="257" t="s">
        <v>10092</v>
      </c>
      <c r="G4378" s="257" t="s">
        <v>10093</v>
      </c>
    </row>
    <row r="4379" customHeight="1" spans="4:7">
      <c r="D4379" s="256">
        <v>53026</v>
      </c>
      <c r="E4379" s="257" t="s">
        <v>10089</v>
      </c>
      <c r="F4379" s="257" t="s">
        <v>10094</v>
      </c>
      <c r="G4379" s="257" t="s">
        <v>10095</v>
      </c>
    </row>
    <row r="4380" customHeight="1" spans="4:7">
      <c r="D4380" s="256">
        <v>53026</v>
      </c>
      <c r="E4380" s="257" t="s">
        <v>10089</v>
      </c>
      <c r="F4380" s="257" t="s">
        <v>10096</v>
      </c>
      <c r="G4380" s="257" t="s">
        <v>10097</v>
      </c>
    </row>
    <row r="4381" customHeight="1" spans="4:7">
      <c r="D4381" s="256">
        <v>53026</v>
      </c>
      <c r="E4381" s="257" t="s">
        <v>10089</v>
      </c>
      <c r="F4381" s="257" t="s">
        <v>10098</v>
      </c>
      <c r="G4381" s="257" t="s">
        <v>10099</v>
      </c>
    </row>
    <row r="4382" customHeight="1" spans="4:7">
      <c r="D4382" s="256">
        <v>53026</v>
      </c>
      <c r="E4382" s="257" t="s">
        <v>10089</v>
      </c>
      <c r="F4382" s="257" t="s">
        <v>10100</v>
      </c>
      <c r="G4382" s="257" t="s">
        <v>10101</v>
      </c>
    </row>
    <row r="4383" customHeight="1" spans="4:7">
      <c r="D4383" s="256">
        <v>53026</v>
      </c>
      <c r="E4383" s="257" t="s">
        <v>10089</v>
      </c>
      <c r="F4383" s="257" t="s">
        <v>10102</v>
      </c>
      <c r="G4383" s="257" t="s">
        <v>10103</v>
      </c>
    </row>
    <row r="4384" customHeight="1" spans="4:7">
      <c r="D4384" s="256">
        <v>53026</v>
      </c>
      <c r="E4384" s="257" t="s">
        <v>10089</v>
      </c>
      <c r="F4384" s="257" t="s">
        <v>10104</v>
      </c>
      <c r="G4384" s="257" t="s">
        <v>10105</v>
      </c>
    </row>
    <row r="4385" customHeight="1" spans="4:7">
      <c r="D4385" s="256">
        <v>53026</v>
      </c>
      <c r="E4385" s="257" t="s">
        <v>10089</v>
      </c>
      <c r="F4385" s="257" t="s">
        <v>10106</v>
      </c>
      <c r="G4385" s="257" t="s">
        <v>10107</v>
      </c>
    </row>
    <row r="4386" customHeight="1" spans="4:7">
      <c r="D4386" s="256">
        <v>53026</v>
      </c>
      <c r="E4386" s="257" t="s">
        <v>10089</v>
      </c>
      <c r="F4386" s="257" t="s">
        <v>10108</v>
      </c>
      <c r="G4386" s="257" t="s">
        <v>3786</v>
      </c>
    </row>
    <row r="4387" customHeight="1" spans="4:7">
      <c r="D4387" s="256">
        <v>53026</v>
      </c>
      <c r="E4387" s="257" t="s">
        <v>10089</v>
      </c>
      <c r="F4387" s="257" t="s">
        <v>10109</v>
      </c>
      <c r="G4387" s="257" t="s">
        <v>10110</v>
      </c>
    </row>
    <row r="4388" customHeight="1" spans="4:7">
      <c r="D4388" s="256">
        <v>53026</v>
      </c>
      <c r="E4388" s="257" t="s">
        <v>10089</v>
      </c>
      <c r="F4388" s="257" t="s">
        <v>10111</v>
      </c>
      <c r="G4388" s="257" t="s">
        <v>10112</v>
      </c>
    </row>
    <row r="4389" customHeight="1" spans="4:7">
      <c r="D4389" s="256">
        <v>53026</v>
      </c>
      <c r="E4389" s="257" t="s">
        <v>10089</v>
      </c>
      <c r="F4389" s="257" t="s">
        <v>10113</v>
      </c>
      <c r="G4389" s="257" t="s">
        <v>10114</v>
      </c>
    </row>
    <row r="4390" customHeight="1" spans="4:7">
      <c r="D4390" s="256">
        <v>53026</v>
      </c>
      <c r="E4390" s="257" t="s">
        <v>10089</v>
      </c>
      <c r="F4390" s="257" t="s">
        <v>10115</v>
      </c>
      <c r="G4390" s="257" t="s">
        <v>10116</v>
      </c>
    </row>
    <row r="4391" customHeight="1" spans="4:7">
      <c r="D4391" s="256">
        <v>53026</v>
      </c>
      <c r="E4391" s="257" t="s">
        <v>10089</v>
      </c>
      <c r="F4391" s="257" t="s">
        <v>10117</v>
      </c>
      <c r="G4391" s="257" t="s">
        <v>10118</v>
      </c>
    </row>
    <row r="4392" customHeight="1" spans="4:7">
      <c r="D4392" s="256">
        <v>53026</v>
      </c>
      <c r="E4392" s="257" t="s">
        <v>10089</v>
      </c>
      <c r="F4392" s="257" t="s">
        <v>10119</v>
      </c>
      <c r="G4392" s="257" t="s">
        <v>10120</v>
      </c>
    </row>
    <row r="4393" customHeight="1" spans="4:7">
      <c r="D4393" s="256">
        <v>53026</v>
      </c>
      <c r="E4393" s="257" t="s">
        <v>10089</v>
      </c>
      <c r="F4393" s="257" t="s">
        <v>10121</v>
      </c>
      <c r="G4393" s="257" t="s">
        <v>1939</v>
      </c>
    </row>
    <row r="4394" customHeight="1" spans="4:7">
      <c r="D4394" s="256">
        <v>53026</v>
      </c>
      <c r="E4394" s="257" t="s">
        <v>10089</v>
      </c>
      <c r="F4394" s="257" t="s">
        <v>10122</v>
      </c>
      <c r="G4394" s="257" t="s">
        <v>10123</v>
      </c>
    </row>
    <row r="4395" customHeight="1" spans="4:7">
      <c r="D4395" s="256">
        <v>53026</v>
      </c>
      <c r="E4395" s="257" t="s">
        <v>10089</v>
      </c>
      <c r="F4395" s="257" t="s">
        <v>10124</v>
      </c>
      <c r="G4395" s="257" t="s">
        <v>10125</v>
      </c>
    </row>
    <row r="4396" customHeight="1" spans="4:7">
      <c r="D4396" s="256">
        <v>53026</v>
      </c>
      <c r="E4396" s="257" t="s">
        <v>10089</v>
      </c>
      <c r="F4396" s="257" t="s">
        <v>10126</v>
      </c>
      <c r="G4396" s="257" t="s">
        <v>10127</v>
      </c>
    </row>
    <row r="4397" customHeight="1" spans="4:7">
      <c r="D4397" s="256">
        <v>53026</v>
      </c>
      <c r="E4397" s="257" t="s">
        <v>10089</v>
      </c>
      <c r="F4397" s="257" t="s">
        <v>10128</v>
      </c>
      <c r="G4397" s="257" t="s">
        <v>10129</v>
      </c>
    </row>
    <row r="4398" customHeight="1" spans="4:7">
      <c r="D4398" s="256">
        <v>53026</v>
      </c>
      <c r="E4398" s="257" t="s">
        <v>10089</v>
      </c>
      <c r="F4398" s="257" t="s">
        <v>10130</v>
      </c>
      <c r="G4398" s="257" t="s">
        <v>10131</v>
      </c>
    </row>
    <row r="4399" customHeight="1" spans="4:7">
      <c r="D4399" s="256">
        <v>53026</v>
      </c>
      <c r="E4399" s="257" t="s">
        <v>10089</v>
      </c>
      <c r="F4399" s="257" t="s">
        <v>10132</v>
      </c>
      <c r="G4399" s="257" t="s">
        <v>10133</v>
      </c>
    </row>
    <row r="4400" customHeight="1" spans="4:7">
      <c r="D4400" s="256">
        <v>53026</v>
      </c>
      <c r="E4400" s="257" t="s">
        <v>10089</v>
      </c>
      <c r="F4400" s="257" t="s">
        <v>10134</v>
      </c>
      <c r="G4400" s="257" t="s">
        <v>10135</v>
      </c>
    </row>
    <row r="4401" customHeight="1" spans="4:7">
      <c r="D4401" s="256">
        <v>53026</v>
      </c>
      <c r="E4401" s="257" t="s">
        <v>10089</v>
      </c>
      <c r="F4401" s="257" t="s">
        <v>10136</v>
      </c>
      <c r="G4401" s="257" t="s">
        <v>5288</v>
      </c>
    </row>
    <row r="4402" customHeight="1" spans="4:7">
      <c r="D4402" s="256">
        <v>53026</v>
      </c>
      <c r="E4402" s="257" t="s">
        <v>10089</v>
      </c>
      <c r="F4402" s="257" t="s">
        <v>10137</v>
      </c>
      <c r="G4402" s="257" t="s">
        <v>10138</v>
      </c>
    </row>
    <row r="4403" customHeight="1" spans="4:7">
      <c r="D4403" s="256">
        <v>53026</v>
      </c>
      <c r="E4403" s="257" t="s">
        <v>10089</v>
      </c>
      <c r="F4403" s="257" t="s">
        <v>10139</v>
      </c>
      <c r="G4403" s="257" t="s">
        <v>10140</v>
      </c>
    </row>
    <row r="4404" customHeight="1" spans="4:7">
      <c r="D4404" s="256">
        <v>53026</v>
      </c>
      <c r="E4404" s="257" t="s">
        <v>10089</v>
      </c>
      <c r="F4404" s="257" t="s">
        <v>10141</v>
      </c>
      <c r="G4404" s="257" t="s">
        <v>7201</v>
      </c>
    </row>
    <row r="4405" customHeight="1" spans="4:7">
      <c r="D4405" s="256">
        <v>53026</v>
      </c>
      <c r="E4405" s="257" t="s">
        <v>10089</v>
      </c>
      <c r="F4405" s="257" t="s">
        <v>10142</v>
      </c>
      <c r="G4405" s="257" t="s">
        <v>10143</v>
      </c>
    </row>
    <row r="4406" customHeight="1" spans="4:7">
      <c r="D4406" s="256">
        <v>53026</v>
      </c>
      <c r="E4406" s="257" t="s">
        <v>10089</v>
      </c>
      <c r="F4406" s="257" t="s">
        <v>10144</v>
      </c>
      <c r="G4406" s="257" t="s">
        <v>10145</v>
      </c>
    </row>
    <row r="4407" customHeight="1" spans="4:7">
      <c r="D4407" s="256">
        <v>53026</v>
      </c>
      <c r="E4407" s="257" t="s">
        <v>10089</v>
      </c>
      <c r="F4407" s="257" t="s">
        <v>10146</v>
      </c>
      <c r="G4407" s="257" t="s">
        <v>10147</v>
      </c>
    </row>
    <row r="4408" customHeight="1" spans="4:7">
      <c r="D4408" s="256">
        <v>53026</v>
      </c>
      <c r="E4408" s="257" t="s">
        <v>10089</v>
      </c>
      <c r="F4408" s="257" t="s">
        <v>10148</v>
      </c>
      <c r="G4408" s="257" t="s">
        <v>10149</v>
      </c>
    </row>
    <row r="4409" customHeight="1" spans="4:7">
      <c r="D4409" s="256">
        <v>53026</v>
      </c>
      <c r="E4409" s="257" t="s">
        <v>10089</v>
      </c>
      <c r="F4409" s="257" t="s">
        <v>10150</v>
      </c>
      <c r="G4409" s="257" t="s">
        <v>10151</v>
      </c>
    </row>
    <row r="4410" customHeight="1" spans="4:7">
      <c r="D4410" s="256">
        <v>53026</v>
      </c>
      <c r="E4410" s="257" t="s">
        <v>10089</v>
      </c>
      <c r="F4410" s="257" t="s">
        <v>10152</v>
      </c>
      <c r="G4410" s="257" t="s">
        <v>10153</v>
      </c>
    </row>
    <row r="4411" customHeight="1" spans="4:7">
      <c r="D4411" s="256">
        <v>52034</v>
      </c>
      <c r="E4411" s="257" t="s">
        <v>10154</v>
      </c>
      <c r="F4411" s="257" t="s">
        <v>10155</v>
      </c>
      <c r="G4411" s="257" t="s">
        <v>10156</v>
      </c>
    </row>
    <row r="4412" customHeight="1" spans="4:7">
      <c r="D4412" s="256">
        <v>52034</v>
      </c>
      <c r="E4412" s="257" t="s">
        <v>10154</v>
      </c>
      <c r="F4412" s="257" t="s">
        <v>10157</v>
      </c>
      <c r="G4412" s="257" t="s">
        <v>10158</v>
      </c>
    </row>
    <row r="4413" customHeight="1" spans="4:7">
      <c r="D4413" s="256">
        <v>52034</v>
      </c>
      <c r="E4413" s="257" t="s">
        <v>10154</v>
      </c>
      <c r="F4413" s="257" t="s">
        <v>10159</v>
      </c>
      <c r="G4413" s="257" t="s">
        <v>10160</v>
      </c>
    </row>
    <row r="4414" customHeight="1" spans="4:7">
      <c r="D4414" s="256">
        <v>52034</v>
      </c>
      <c r="E4414" s="257" t="s">
        <v>10154</v>
      </c>
      <c r="F4414" s="257" t="s">
        <v>10161</v>
      </c>
      <c r="G4414" s="257" t="s">
        <v>10162</v>
      </c>
    </row>
    <row r="4415" customHeight="1" spans="4:7">
      <c r="D4415" s="256">
        <v>52034</v>
      </c>
      <c r="E4415" s="257" t="s">
        <v>10154</v>
      </c>
      <c r="F4415" s="257" t="s">
        <v>10163</v>
      </c>
      <c r="G4415" s="257" t="s">
        <v>10164</v>
      </c>
    </row>
    <row r="4416" customHeight="1" spans="4:7">
      <c r="D4416" s="256">
        <v>52034</v>
      </c>
      <c r="E4416" s="257" t="s">
        <v>10154</v>
      </c>
      <c r="F4416" s="257" t="s">
        <v>10165</v>
      </c>
      <c r="G4416" s="257" t="s">
        <v>6624</v>
      </c>
    </row>
    <row r="4417" customHeight="1" spans="4:7">
      <c r="D4417" s="256">
        <v>52034</v>
      </c>
      <c r="E4417" s="257" t="s">
        <v>10154</v>
      </c>
      <c r="F4417" s="257" t="s">
        <v>10166</v>
      </c>
      <c r="G4417" s="257" t="s">
        <v>10167</v>
      </c>
    </row>
    <row r="4418" customHeight="1" spans="4:7">
      <c r="D4418" s="256">
        <v>52034</v>
      </c>
      <c r="E4418" s="257" t="s">
        <v>10154</v>
      </c>
      <c r="F4418" s="257" t="s">
        <v>10168</v>
      </c>
      <c r="G4418" s="257" t="s">
        <v>10169</v>
      </c>
    </row>
    <row r="4419" customHeight="1" spans="4:7">
      <c r="D4419" s="256">
        <v>52034</v>
      </c>
      <c r="E4419" s="257" t="s">
        <v>10154</v>
      </c>
      <c r="F4419" s="257" t="s">
        <v>10170</v>
      </c>
      <c r="G4419" s="257" t="s">
        <v>10171</v>
      </c>
    </row>
    <row r="4420" customHeight="1" spans="4:7">
      <c r="D4420" s="256">
        <v>52034</v>
      </c>
      <c r="E4420" s="257" t="s">
        <v>10154</v>
      </c>
      <c r="F4420" s="257" t="s">
        <v>10172</v>
      </c>
      <c r="G4420" s="257" t="s">
        <v>10173</v>
      </c>
    </row>
    <row r="4421" customHeight="1" spans="4:7">
      <c r="D4421" s="256">
        <v>52034</v>
      </c>
      <c r="E4421" s="257" t="s">
        <v>10154</v>
      </c>
      <c r="F4421" s="257" t="s">
        <v>10174</v>
      </c>
      <c r="G4421" s="257" t="s">
        <v>10175</v>
      </c>
    </row>
    <row r="4422" customHeight="1" spans="4:7">
      <c r="D4422" s="256">
        <v>52034</v>
      </c>
      <c r="E4422" s="257" t="s">
        <v>10154</v>
      </c>
      <c r="F4422" s="257" t="s">
        <v>10176</v>
      </c>
      <c r="G4422" s="257" t="s">
        <v>10177</v>
      </c>
    </row>
    <row r="4423" customHeight="1" spans="4:7">
      <c r="D4423" s="256">
        <v>52034</v>
      </c>
      <c r="E4423" s="257" t="s">
        <v>10154</v>
      </c>
      <c r="F4423" s="257" t="s">
        <v>10178</v>
      </c>
      <c r="G4423" s="257" t="s">
        <v>10179</v>
      </c>
    </row>
    <row r="4424" customHeight="1" spans="4:7">
      <c r="D4424" s="256">
        <v>52034</v>
      </c>
      <c r="E4424" s="257" t="s">
        <v>10154</v>
      </c>
      <c r="F4424" s="257" t="s">
        <v>10180</v>
      </c>
      <c r="G4424" s="257" t="s">
        <v>10181</v>
      </c>
    </row>
    <row r="4425" customHeight="1" spans="4:7">
      <c r="D4425" s="256">
        <v>52034</v>
      </c>
      <c r="E4425" s="257" t="s">
        <v>10154</v>
      </c>
      <c r="F4425" s="257" t="s">
        <v>10182</v>
      </c>
      <c r="G4425" s="257" t="s">
        <v>10183</v>
      </c>
    </row>
    <row r="4426" customHeight="1" spans="4:7">
      <c r="D4426" s="256">
        <v>52034</v>
      </c>
      <c r="E4426" s="257" t="s">
        <v>10154</v>
      </c>
      <c r="F4426" s="257" t="s">
        <v>10184</v>
      </c>
      <c r="G4426" s="257" t="s">
        <v>10185</v>
      </c>
    </row>
    <row r="4427" customHeight="1" spans="4:7">
      <c r="D4427" s="256">
        <v>52034</v>
      </c>
      <c r="E4427" s="257" t="s">
        <v>10154</v>
      </c>
      <c r="F4427" s="257" t="s">
        <v>10186</v>
      </c>
      <c r="G4427" s="257" t="s">
        <v>10187</v>
      </c>
    </row>
    <row r="4428" customHeight="1" spans="4:7">
      <c r="D4428" s="256">
        <v>52034</v>
      </c>
      <c r="E4428" s="257" t="s">
        <v>10154</v>
      </c>
      <c r="F4428" s="257" t="s">
        <v>10188</v>
      </c>
      <c r="G4428" s="257" t="s">
        <v>10189</v>
      </c>
    </row>
    <row r="4429" customHeight="1" spans="4:7">
      <c r="D4429" s="256">
        <v>52034</v>
      </c>
      <c r="E4429" s="257" t="s">
        <v>10154</v>
      </c>
      <c r="F4429" s="257" t="s">
        <v>10190</v>
      </c>
      <c r="G4429" s="257" t="s">
        <v>10191</v>
      </c>
    </row>
    <row r="4430" customHeight="1" spans="4:7">
      <c r="D4430" s="256">
        <v>52034</v>
      </c>
      <c r="E4430" s="257" t="s">
        <v>10154</v>
      </c>
      <c r="F4430" s="257" t="s">
        <v>10192</v>
      </c>
      <c r="G4430" s="257" t="s">
        <v>10193</v>
      </c>
    </row>
    <row r="4431" customHeight="1" spans="4:7">
      <c r="D4431" s="256">
        <v>52034</v>
      </c>
      <c r="E4431" s="257" t="s">
        <v>10154</v>
      </c>
      <c r="F4431" s="257" t="s">
        <v>10194</v>
      </c>
      <c r="G4431" s="257" t="s">
        <v>10195</v>
      </c>
    </row>
    <row r="4432" customHeight="1" spans="4:7">
      <c r="D4432" s="256">
        <v>52034</v>
      </c>
      <c r="E4432" s="257" t="s">
        <v>10154</v>
      </c>
      <c r="F4432" s="257" t="s">
        <v>10196</v>
      </c>
      <c r="G4432" s="257" t="s">
        <v>10197</v>
      </c>
    </row>
    <row r="4433" customHeight="1" spans="4:7">
      <c r="D4433" s="256">
        <v>52034</v>
      </c>
      <c r="E4433" s="257" t="s">
        <v>10154</v>
      </c>
      <c r="F4433" s="257" t="s">
        <v>10198</v>
      </c>
      <c r="G4433" s="257" t="s">
        <v>10199</v>
      </c>
    </row>
    <row r="4434" customHeight="1" spans="4:7">
      <c r="D4434" s="256">
        <v>52034</v>
      </c>
      <c r="E4434" s="257" t="s">
        <v>10154</v>
      </c>
      <c r="F4434" s="257" t="s">
        <v>10200</v>
      </c>
      <c r="G4434" s="257" t="s">
        <v>10201</v>
      </c>
    </row>
    <row r="4435" customHeight="1" spans="4:7">
      <c r="D4435" s="256">
        <v>52034</v>
      </c>
      <c r="E4435" s="257" t="s">
        <v>10154</v>
      </c>
      <c r="F4435" s="257" t="s">
        <v>10202</v>
      </c>
      <c r="G4435" s="257" t="s">
        <v>10203</v>
      </c>
    </row>
    <row r="4436" customHeight="1" spans="4:7">
      <c r="D4436" s="256">
        <v>52034</v>
      </c>
      <c r="E4436" s="257" t="s">
        <v>10154</v>
      </c>
      <c r="F4436" s="257" t="s">
        <v>10204</v>
      </c>
      <c r="G4436" s="257" t="s">
        <v>3486</v>
      </c>
    </row>
    <row r="4437" customHeight="1" spans="4:7">
      <c r="D4437" s="256">
        <v>52034</v>
      </c>
      <c r="E4437" s="257" t="s">
        <v>10154</v>
      </c>
      <c r="F4437" s="257" t="s">
        <v>10205</v>
      </c>
      <c r="G4437" s="257" t="s">
        <v>10206</v>
      </c>
    </row>
    <row r="4438" customHeight="1" spans="4:7">
      <c r="D4438" s="256">
        <v>52034</v>
      </c>
      <c r="E4438" s="257" t="s">
        <v>10154</v>
      </c>
      <c r="F4438" s="257" t="s">
        <v>10207</v>
      </c>
      <c r="G4438" s="257" t="s">
        <v>10208</v>
      </c>
    </row>
    <row r="4439" customHeight="1" spans="4:7">
      <c r="D4439" s="256">
        <v>52034</v>
      </c>
      <c r="E4439" s="257" t="s">
        <v>10154</v>
      </c>
      <c r="F4439" s="257" t="s">
        <v>10209</v>
      </c>
      <c r="G4439" s="257" t="s">
        <v>10210</v>
      </c>
    </row>
    <row r="4440" customHeight="1" spans="4:7">
      <c r="D4440" s="256">
        <v>52034</v>
      </c>
      <c r="E4440" s="257" t="s">
        <v>10154</v>
      </c>
      <c r="F4440" s="257" t="s">
        <v>10211</v>
      </c>
      <c r="G4440" s="257" t="s">
        <v>10212</v>
      </c>
    </row>
    <row r="4441" customHeight="1" spans="4:7">
      <c r="D4441" s="256">
        <v>52034</v>
      </c>
      <c r="E4441" s="257" t="s">
        <v>10154</v>
      </c>
      <c r="F4441" s="257" t="s">
        <v>10213</v>
      </c>
      <c r="G4441" s="257" t="s">
        <v>10214</v>
      </c>
    </row>
    <row r="4442" customHeight="1" spans="4:7">
      <c r="D4442" s="256">
        <v>52034</v>
      </c>
      <c r="E4442" s="257" t="s">
        <v>10154</v>
      </c>
      <c r="F4442" s="257" t="s">
        <v>10215</v>
      </c>
      <c r="G4442" s="257" t="s">
        <v>10216</v>
      </c>
    </row>
    <row r="4443" customHeight="1" spans="4:7">
      <c r="D4443" s="256">
        <v>52034</v>
      </c>
      <c r="E4443" s="257" t="s">
        <v>10154</v>
      </c>
      <c r="F4443" s="257" t="s">
        <v>10217</v>
      </c>
      <c r="G4443" s="257" t="s">
        <v>10218</v>
      </c>
    </row>
    <row r="4444" customHeight="1" spans="4:7">
      <c r="D4444" s="256">
        <v>52034</v>
      </c>
      <c r="E4444" s="257" t="s">
        <v>10154</v>
      </c>
      <c r="F4444" s="257" t="s">
        <v>10219</v>
      </c>
      <c r="G4444" s="257" t="s">
        <v>10015</v>
      </c>
    </row>
    <row r="4445" customHeight="1" spans="4:7">
      <c r="D4445" s="256">
        <v>52034</v>
      </c>
      <c r="E4445" s="257" t="s">
        <v>10154</v>
      </c>
      <c r="F4445" s="257" t="s">
        <v>10220</v>
      </c>
      <c r="G4445" s="257" t="s">
        <v>10221</v>
      </c>
    </row>
    <row r="4446" customHeight="1" spans="4:7">
      <c r="D4446" s="256">
        <v>52034</v>
      </c>
      <c r="E4446" s="257" t="s">
        <v>10154</v>
      </c>
      <c r="F4446" s="257" t="s">
        <v>10222</v>
      </c>
      <c r="G4446" s="257" t="s">
        <v>8302</v>
      </c>
    </row>
    <row r="4447" customHeight="1" spans="4:7">
      <c r="D4447" s="256">
        <v>52034</v>
      </c>
      <c r="E4447" s="257" t="s">
        <v>10154</v>
      </c>
      <c r="F4447" s="257" t="s">
        <v>10223</v>
      </c>
      <c r="G4447" s="257" t="s">
        <v>10224</v>
      </c>
    </row>
    <row r="4448" customHeight="1" spans="4:7">
      <c r="D4448" s="256">
        <v>52034</v>
      </c>
      <c r="E4448" s="257" t="s">
        <v>10154</v>
      </c>
      <c r="F4448" s="257" t="s">
        <v>10225</v>
      </c>
      <c r="G4448" s="257" t="s">
        <v>10023</v>
      </c>
    </row>
    <row r="4449" customHeight="1" spans="4:7">
      <c r="D4449" s="256">
        <v>46030</v>
      </c>
      <c r="E4449" s="257" t="s">
        <v>10226</v>
      </c>
      <c r="F4449" s="257" t="s">
        <v>10227</v>
      </c>
      <c r="G4449" s="257" t="s">
        <v>10228</v>
      </c>
    </row>
    <row r="4450" customHeight="1" spans="4:7">
      <c r="D4450" s="256">
        <v>46030</v>
      </c>
      <c r="E4450" s="257" t="s">
        <v>10226</v>
      </c>
      <c r="F4450" s="257" t="s">
        <v>10229</v>
      </c>
      <c r="G4450" s="257" t="s">
        <v>10230</v>
      </c>
    </row>
    <row r="4451" customHeight="1" spans="4:7">
      <c r="D4451" s="256">
        <v>46030</v>
      </c>
      <c r="E4451" s="257" t="s">
        <v>10226</v>
      </c>
      <c r="F4451" s="257" t="s">
        <v>10231</v>
      </c>
      <c r="G4451" s="257" t="s">
        <v>10232</v>
      </c>
    </row>
    <row r="4452" customHeight="1" spans="4:7">
      <c r="D4452" s="256">
        <v>46030</v>
      </c>
      <c r="E4452" s="257" t="s">
        <v>10226</v>
      </c>
      <c r="F4452" s="257" t="s">
        <v>10233</v>
      </c>
      <c r="G4452" s="257" t="s">
        <v>10234</v>
      </c>
    </row>
    <row r="4453" customHeight="1" spans="4:7">
      <c r="D4453" s="256">
        <v>46030</v>
      </c>
      <c r="E4453" s="257" t="s">
        <v>10226</v>
      </c>
      <c r="F4453" s="257" t="s">
        <v>10235</v>
      </c>
      <c r="G4453" s="257" t="s">
        <v>10236</v>
      </c>
    </row>
    <row r="4454" customHeight="1" spans="4:7">
      <c r="D4454" s="256">
        <v>46030</v>
      </c>
      <c r="E4454" s="257" t="s">
        <v>10226</v>
      </c>
      <c r="F4454" s="257" t="s">
        <v>10237</v>
      </c>
      <c r="G4454" s="257" t="s">
        <v>5555</v>
      </c>
    </row>
    <row r="4455" customHeight="1" spans="4:7">
      <c r="D4455" s="256">
        <v>46030</v>
      </c>
      <c r="E4455" s="257" t="s">
        <v>10226</v>
      </c>
      <c r="F4455" s="257" t="s">
        <v>10238</v>
      </c>
      <c r="G4455" s="257" t="s">
        <v>10239</v>
      </c>
    </row>
    <row r="4456" customHeight="1" spans="4:7">
      <c r="D4456" s="256">
        <v>46030</v>
      </c>
      <c r="E4456" s="257" t="s">
        <v>10226</v>
      </c>
      <c r="F4456" s="257" t="s">
        <v>10240</v>
      </c>
      <c r="G4456" s="257" t="s">
        <v>2811</v>
      </c>
    </row>
    <row r="4457" customHeight="1" spans="4:7">
      <c r="D4457" s="256">
        <v>46030</v>
      </c>
      <c r="E4457" s="257" t="s">
        <v>10226</v>
      </c>
      <c r="F4457" s="257" t="s">
        <v>10241</v>
      </c>
      <c r="G4457" s="257" t="s">
        <v>10242</v>
      </c>
    </row>
    <row r="4458" customHeight="1" spans="4:7">
      <c r="D4458" s="256">
        <v>46030</v>
      </c>
      <c r="E4458" s="257" t="s">
        <v>10226</v>
      </c>
      <c r="F4458" s="257" t="s">
        <v>10243</v>
      </c>
      <c r="G4458" s="257" t="s">
        <v>10244</v>
      </c>
    </row>
    <row r="4459" customHeight="1" spans="4:7">
      <c r="D4459" s="256">
        <v>46030</v>
      </c>
      <c r="E4459" s="257" t="s">
        <v>10226</v>
      </c>
      <c r="F4459" s="257" t="s">
        <v>10245</v>
      </c>
      <c r="G4459" s="257" t="s">
        <v>10246</v>
      </c>
    </row>
    <row r="4460" customHeight="1" spans="4:7">
      <c r="D4460" s="256">
        <v>46030</v>
      </c>
      <c r="E4460" s="257" t="s">
        <v>10226</v>
      </c>
      <c r="F4460" s="257" t="s">
        <v>10247</v>
      </c>
      <c r="G4460" s="257" t="s">
        <v>10248</v>
      </c>
    </row>
    <row r="4461" customHeight="1" spans="4:7">
      <c r="D4461" s="256">
        <v>46030</v>
      </c>
      <c r="E4461" s="257" t="s">
        <v>10226</v>
      </c>
      <c r="F4461" s="257" t="s">
        <v>10249</v>
      </c>
      <c r="G4461" s="257" t="s">
        <v>10250</v>
      </c>
    </row>
    <row r="4462" customHeight="1" spans="4:7">
      <c r="D4462" s="256">
        <v>46030</v>
      </c>
      <c r="E4462" s="257" t="s">
        <v>10226</v>
      </c>
      <c r="F4462" s="257" t="s">
        <v>10251</v>
      </c>
      <c r="G4462" s="257" t="s">
        <v>10252</v>
      </c>
    </row>
    <row r="4463" customHeight="1" spans="4:7">
      <c r="D4463" s="256">
        <v>46030</v>
      </c>
      <c r="E4463" s="257" t="s">
        <v>10226</v>
      </c>
      <c r="F4463" s="257" t="s">
        <v>10253</v>
      </c>
      <c r="G4463" s="257" t="s">
        <v>10254</v>
      </c>
    </row>
    <row r="4464" customHeight="1" spans="4:7">
      <c r="D4464" s="256">
        <v>46030</v>
      </c>
      <c r="E4464" s="257" t="s">
        <v>10226</v>
      </c>
      <c r="F4464" s="257" t="s">
        <v>10255</v>
      </c>
      <c r="G4464" s="257" t="s">
        <v>3941</v>
      </c>
    </row>
    <row r="4465" customHeight="1" spans="4:7">
      <c r="D4465" s="256">
        <v>46030</v>
      </c>
      <c r="E4465" s="257" t="s">
        <v>10226</v>
      </c>
      <c r="F4465" s="257" t="s">
        <v>10256</v>
      </c>
      <c r="G4465" s="257" t="s">
        <v>10257</v>
      </c>
    </row>
    <row r="4466" customHeight="1" spans="4:7">
      <c r="D4466" s="256">
        <v>46030</v>
      </c>
      <c r="E4466" s="257" t="s">
        <v>10226</v>
      </c>
      <c r="F4466" s="257" t="s">
        <v>10258</v>
      </c>
      <c r="G4466" s="257" t="s">
        <v>10259</v>
      </c>
    </row>
    <row r="4467" customHeight="1" spans="4:7">
      <c r="D4467" s="256">
        <v>46030</v>
      </c>
      <c r="E4467" s="257" t="s">
        <v>10226</v>
      </c>
      <c r="F4467" s="257" t="s">
        <v>10260</v>
      </c>
      <c r="G4467" s="257" t="s">
        <v>10261</v>
      </c>
    </row>
    <row r="4468" customHeight="1" spans="4:7">
      <c r="D4468" s="256">
        <v>46030</v>
      </c>
      <c r="E4468" s="257" t="s">
        <v>10226</v>
      </c>
      <c r="F4468" s="257" t="s">
        <v>10262</v>
      </c>
      <c r="G4468" s="257" t="s">
        <v>10263</v>
      </c>
    </row>
    <row r="4469" customHeight="1" spans="4:7">
      <c r="D4469" s="256">
        <v>46030</v>
      </c>
      <c r="E4469" s="257" t="s">
        <v>10226</v>
      </c>
      <c r="F4469" s="257" t="s">
        <v>10264</v>
      </c>
      <c r="G4469" s="257" t="s">
        <v>10265</v>
      </c>
    </row>
    <row r="4470" customHeight="1" spans="4:7">
      <c r="D4470" s="256">
        <v>46030</v>
      </c>
      <c r="E4470" s="257" t="s">
        <v>10226</v>
      </c>
      <c r="F4470" s="257" t="s">
        <v>10266</v>
      </c>
      <c r="G4470" s="257" t="s">
        <v>9826</v>
      </c>
    </row>
    <row r="4471" customHeight="1" spans="4:7">
      <c r="D4471" s="256">
        <v>46030</v>
      </c>
      <c r="E4471" s="257" t="s">
        <v>10226</v>
      </c>
      <c r="F4471" s="257" t="s">
        <v>10267</v>
      </c>
      <c r="G4471" s="257" t="s">
        <v>10145</v>
      </c>
    </row>
    <row r="4472" customHeight="1" spans="4:7">
      <c r="D4472" s="256">
        <v>46030</v>
      </c>
      <c r="E4472" s="257" t="s">
        <v>10226</v>
      </c>
      <c r="F4472" s="257" t="s">
        <v>10268</v>
      </c>
      <c r="G4472" s="257" t="s">
        <v>10269</v>
      </c>
    </row>
    <row r="4473" customHeight="1" spans="4:7">
      <c r="D4473" s="256">
        <v>46030</v>
      </c>
      <c r="E4473" s="257" t="s">
        <v>10226</v>
      </c>
      <c r="F4473" s="257" t="s">
        <v>10270</v>
      </c>
      <c r="G4473" s="257" t="s">
        <v>10271</v>
      </c>
    </row>
    <row r="4474" customHeight="1" spans="4:7">
      <c r="D4474" s="256">
        <v>46030</v>
      </c>
      <c r="E4474" s="257" t="s">
        <v>10226</v>
      </c>
      <c r="F4474" s="257" t="s">
        <v>10272</v>
      </c>
      <c r="G4474" s="257" t="s">
        <v>10273</v>
      </c>
    </row>
    <row r="4475" customHeight="1" spans="4:7">
      <c r="D4475" s="256">
        <v>46030</v>
      </c>
      <c r="E4475" s="257" t="s">
        <v>10226</v>
      </c>
      <c r="F4475" s="257" t="s">
        <v>10274</v>
      </c>
      <c r="G4475" s="257" t="s">
        <v>10275</v>
      </c>
    </row>
    <row r="4476" customHeight="1" spans="4:7">
      <c r="D4476" s="256">
        <v>51036</v>
      </c>
      <c r="E4476" s="257" t="s">
        <v>10276</v>
      </c>
      <c r="F4476" s="257" t="s">
        <v>10277</v>
      </c>
      <c r="G4476" s="257" t="s">
        <v>2743</v>
      </c>
    </row>
    <row r="4477" customHeight="1" spans="4:7">
      <c r="D4477" s="256">
        <v>51036</v>
      </c>
      <c r="E4477" s="257" t="s">
        <v>10276</v>
      </c>
      <c r="F4477" s="257" t="s">
        <v>10278</v>
      </c>
      <c r="G4477" s="257" t="s">
        <v>10279</v>
      </c>
    </row>
    <row r="4478" customHeight="1" spans="4:7">
      <c r="D4478" s="256">
        <v>51036</v>
      </c>
      <c r="E4478" s="257" t="s">
        <v>10276</v>
      </c>
      <c r="F4478" s="257" t="s">
        <v>10280</v>
      </c>
      <c r="G4478" s="257" t="s">
        <v>3238</v>
      </c>
    </row>
    <row r="4479" customHeight="1" spans="4:7">
      <c r="D4479" s="256">
        <v>51036</v>
      </c>
      <c r="E4479" s="257" t="s">
        <v>10276</v>
      </c>
      <c r="F4479" s="257" t="s">
        <v>10281</v>
      </c>
      <c r="G4479" s="257" t="s">
        <v>6395</v>
      </c>
    </row>
    <row r="4480" customHeight="1" spans="4:7">
      <c r="D4480" s="256">
        <v>51036</v>
      </c>
      <c r="E4480" s="257" t="s">
        <v>10276</v>
      </c>
      <c r="F4480" s="257" t="s">
        <v>10282</v>
      </c>
      <c r="G4480" s="257" t="s">
        <v>10283</v>
      </c>
    </row>
    <row r="4481" customHeight="1" spans="4:7">
      <c r="D4481" s="256">
        <v>51036</v>
      </c>
      <c r="E4481" s="257" t="s">
        <v>10276</v>
      </c>
      <c r="F4481" s="257" t="s">
        <v>10284</v>
      </c>
      <c r="G4481" s="257" t="s">
        <v>5922</v>
      </c>
    </row>
    <row r="4482" customHeight="1" spans="4:7">
      <c r="D4482" s="256">
        <v>51036</v>
      </c>
      <c r="E4482" s="257" t="s">
        <v>10276</v>
      </c>
      <c r="F4482" s="257" t="s">
        <v>10285</v>
      </c>
      <c r="G4482" s="257" t="s">
        <v>3042</v>
      </c>
    </row>
    <row r="4483" customHeight="1" spans="4:7">
      <c r="D4483" s="256">
        <v>51036</v>
      </c>
      <c r="E4483" s="257" t="s">
        <v>10276</v>
      </c>
      <c r="F4483" s="257" t="s">
        <v>10286</v>
      </c>
      <c r="G4483" s="257" t="s">
        <v>10287</v>
      </c>
    </row>
    <row r="4484" customHeight="1" spans="4:7">
      <c r="D4484" s="256">
        <v>51037</v>
      </c>
      <c r="E4484" s="257" t="s">
        <v>10288</v>
      </c>
      <c r="F4484" s="257" t="s">
        <v>10289</v>
      </c>
      <c r="G4484" s="257" t="s">
        <v>10290</v>
      </c>
    </row>
    <row r="4485" customHeight="1" spans="4:7">
      <c r="D4485" s="256">
        <v>51037</v>
      </c>
      <c r="E4485" s="257" t="s">
        <v>10288</v>
      </c>
      <c r="F4485" s="257" t="s">
        <v>10291</v>
      </c>
      <c r="G4485" s="257" t="s">
        <v>10292</v>
      </c>
    </row>
    <row r="4486" customHeight="1" spans="4:7">
      <c r="D4486" s="256">
        <v>51037</v>
      </c>
      <c r="E4486" s="257" t="s">
        <v>10288</v>
      </c>
      <c r="F4486" s="257" t="s">
        <v>10293</v>
      </c>
      <c r="G4486" s="257" t="s">
        <v>10294</v>
      </c>
    </row>
    <row r="4487" customHeight="1" spans="4:7">
      <c r="D4487" s="256">
        <v>51037</v>
      </c>
      <c r="E4487" s="257" t="s">
        <v>10288</v>
      </c>
      <c r="F4487" s="257" t="s">
        <v>10295</v>
      </c>
      <c r="G4487" s="257" t="s">
        <v>10296</v>
      </c>
    </row>
    <row r="4488" customHeight="1" spans="4:7">
      <c r="D4488" s="256">
        <v>51037</v>
      </c>
      <c r="E4488" s="257" t="s">
        <v>10288</v>
      </c>
      <c r="F4488" s="257" t="s">
        <v>10297</v>
      </c>
      <c r="G4488" s="257" t="s">
        <v>7845</v>
      </c>
    </row>
    <row r="4489" customHeight="1" spans="4:7">
      <c r="D4489" s="256">
        <v>51037</v>
      </c>
      <c r="E4489" s="257" t="s">
        <v>10288</v>
      </c>
      <c r="F4489" s="257" t="s">
        <v>10298</v>
      </c>
      <c r="G4489" s="257" t="s">
        <v>10299</v>
      </c>
    </row>
    <row r="4490" customHeight="1" spans="4:7">
      <c r="D4490" s="256">
        <v>51037</v>
      </c>
      <c r="E4490" s="257" t="s">
        <v>10288</v>
      </c>
      <c r="F4490" s="257" t="s">
        <v>10300</v>
      </c>
      <c r="G4490" s="257" t="s">
        <v>7813</v>
      </c>
    </row>
    <row r="4491" customHeight="1" spans="4:7">
      <c r="D4491" s="256">
        <v>51037</v>
      </c>
      <c r="E4491" s="257" t="s">
        <v>10288</v>
      </c>
      <c r="F4491" s="257" t="s">
        <v>10301</v>
      </c>
      <c r="G4491" s="257" t="s">
        <v>10302</v>
      </c>
    </row>
    <row r="4492" customHeight="1" spans="4:7">
      <c r="D4492" s="256">
        <v>51037</v>
      </c>
      <c r="E4492" s="257" t="s">
        <v>10288</v>
      </c>
      <c r="F4492" s="257" t="s">
        <v>10303</v>
      </c>
      <c r="G4492" s="257" t="s">
        <v>10304</v>
      </c>
    </row>
    <row r="4493" customHeight="1" spans="4:7">
      <c r="D4493" s="256">
        <v>51037</v>
      </c>
      <c r="E4493" s="257" t="s">
        <v>10288</v>
      </c>
      <c r="F4493" s="257" t="s">
        <v>10305</v>
      </c>
      <c r="G4493" s="257" t="s">
        <v>10306</v>
      </c>
    </row>
    <row r="4494" customHeight="1" spans="4:7">
      <c r="D4494" s="256">
        <v>51037</v>
      </c>
      <c r="E4494" s="257" t="s">
        <v>10288</v>
      </c>
      <c r="F4494" s="257" t="s">
        <v>10307</v>
      </c>
      <c r="G4494" s="257" t="s">
        <v>10308</v>
      </c>
    </row>
    <row r="4495" customHeight="1" spans="4:7">
      <c r="D4495" s="256">
        <v>51037</v>
      </c>
      <c r="E4495" s="257" t="s">
        <v>10288</v>
      </c>
      <c r="F4495" s="257" t="s">
        <v>10309</v>
      </c>
      <c r="G4495" s="257" t="s">
        <v>10310</v>
      </c>
    </row>
    <row r="4496" customHeight="1" spans="4:7">
      <c r="D4496" s="256">
        <v>51037</v>
      </c>
      <c r="E4496" s="257" t="s">
        <v>10288</v>
      </c>
      <c r="F4496" s="257" t="s">
        <v>10311</v>
      </c>
      <c r="G4496" s="257" t="s">
        <v>10312</v>
      </c>
    </row>
    <row r="4497" customHeight="1" spans="4:7">
      <c r="D4497" s="256">
        <v>51037</v>
      </c>
      <c r="E4497" s="257" t="s">
        <v>10288</v>
      </c>
      <c r="F4497" s="257" t="s">
        <v>10313</v>
      </c>
      <c r="G4497" s="257" t="s">
        <v>10314</v>
      </c>
    </row>
    <row r="4498" customHeight="1" spans="4:7">
      <c r="D4498" s="256">
        <v>51037</v>
      </c>
      <c r="E4498" s="257" t="s">
        <v>10288</v>
      </c>
      <c r="F4498" s="257" t="s">
        <v>10315</v>
      </c>
      <c r="G4498" s="257" t="s">
        <v>10316</v>
      </c>
    </row>
    <row r="4499" customHeight="1" spans="4:7">
      <c r="D4499" s="256">
        <v>51037</v>
      </c>
      <c r="E4499" s="257" t="s">
        <v>10288</v>
      </c>
      <c r="F4499" s="257" t="s">
        <v>10317</v>
      </c>
      <c r="G4499" s="257" t="s">
        <v>10318</v>
      </c>
    </row>
    <row r="4500" customHeight="1" spans="4:7">
      <c r="D4500" s="256">
        <v>51037</v>
      </c>
      <c r="E4500" s="257" t="s">
        <v>10288</v>
      </c>
      <c r="F4500" s="257" t="s">
        <v>10319</v>
      </c>
      <c r="G4500" s="257" t="s">
        <v>10320</v>
      </c>
    </row>
    <row r="4501" customHeight="1" spans="4:7">
      <c r="D4501" s="256">
        <v>51037</v>
      </c>
      <c r="E4501" s="257" t="s">
        <v>10288</v>
      </c>
      <c r="F4501" s="257" t="s">
        <v>10321</v>
      </c>
      <c r="G4501" s="257" t="s">
        <v>10322</v>
      </c>
    </row>
    <row r="4502" customHeight="1" spans="4:7">
      <c r="D4502" s="256">
        <v>51037</v>
      </c>
      <c r="E4502" s="257" t="s">
        <v>10288</v>
      </c>
      <c r="F4502" s="257" t="s">
        <v>10323</v>
      </c>
      <c r="G4502" s="257" t="s">
        <v>10324</v>
      </c>
    </row>
    <row r="4503" customHeight="1" spans="4:7">
      <c r="D4503" s="256">
        <v>51037</v>
      </c>
      <c r="E4503" s="257" t="s">
        <v>10288</v>
      </c>
      <c r="F4503" s="257" t="s">
        <v>10325</v>
      </c>
      <c r="G4503" s="257" t="s">
        <v>10326</v>
      </c>
    </row>
    <row r="4504" customHeight="1" spans="4:7">
      <c r="D4504" s="256">
        <v>51037</v>
      </c>
      <c r="E4504" s="257" t="s">
        <v>10288</v>
      </c>
      <c r="F4504" s="257" t="s">
        <v>10327</v>
      </c>
      <c r="G4504" s="257" t="s">
        <v>10328</v>
      </c>
    </row>
    <row r="4505" customHeight="1" spans="4:7">
      <c r="D4505" s="256">
        <v>49020</v>
      </c>
      <c r="E4505" s="257" t="s">
        <v>10329</v>
      </c>
      <c r="F4505" s="257" t="s">
        <v>10330</v>
      </c>
      <c r="G4505" s="257" t="s">
        <v>10331</v>
      </c>
    </row>
    <row r="4506" customHeight="1" spans="4:7">
      <c r="D4506" s="256">
        <v>49020</v>
      </c>
      <c r="E4506" s="257" t="s">
        <v>10329</v>
      </c>
      <c r="F4506" s="257" t="s">
        <v>10332</v>
      </c>
      <c r="G4506" s="257" t="s">
        <v>10333</v>
      </c>
    </row>
    <row r="4507" customHeight="1" spans="4:7">
      <c r="D4507" s="256">
        <v>49020</v>
      </c>
      <c r="E4507" s="257" t="s">
        <v>10329</v>
      </c>
      <c r="F4507" s="257" t="s">
        <v>10334</v>
      </c>
      <c r="G4507" s="257" t="s">
        <v>3702</v>
      </c>
    </row>
    <row r="4508" customHeight="1" spans="4:7">
      <c r="D4508" s="256">
        <v>49020</v>
      </c>
      <c r="E4508" s="257" t="s">
        <v>10329</v>
      </c>
      <c r="F4508" s="257" t="s">
        <v>10335</v>
      </c>
      <c r="G4508" s="257" t="s">
        <v>6549</v>
      </c>
    </row>
    <row r="4509" customHeight="1" spans="4:7">
      <c r="D4509" s="256">
        <v>49020</v>
      </c>
      <c r="E4509" s="257" t="s">
        <v>10329</v>
      </c>
      <c r="F4509" s="257" t="s">
        <v>10336</v>
      </c>
      <c r="G4509" s="257" t="s">
        <v>1497</v>
      </c>
    </row>
    <row r="4510" customHeight="1" spans="4:7">
      <c r="D4510" s="256">
        <v>49020</v>
      </c>
      <c r="E4510" s="257" t="s">
        <v>10329</v>
      </c>
      <c r="F4510" s="257" t="s">
        <v>10337</v>
      </c>
      <c r="G4510" s="257" t="s">
        <v>10338</v>
      </c>
    </row>
    <row r="4511" customHeight="1" spans="4:7">
      <c r="D4511" s="256">
        <v>49020</v>
      </c>
      <c r="E4511" s="257" t="s">
        <v>10329</v>
      </c>
      <c r="F4511" s="257" t="s">
        <v>10339</v>
      </c>
      <c r="G4511" s="257" t="s">
        <v>10340</v>
      </c>
    </row>
    <row r="4512" customHeight="1" spans="4:7">
      <c r="D4512" s="256">
        <v>51038</v>
      </c>
      <c r="E4512" s="257" t="s">
        <v>10341</v>
      </c>
      <c r="F4512" s="257" t="s">
        <v>10342</v>
      </c>
      <c r="G4512" s="257" t="s">
        <v>10343</v>
      </c>
    </row>
    <row r="4513" customHeight="1" spans="4:7">
      <c r="D4513" s="256">
        <v>51038</v>
      </c>
      <c r="E4513" s="257" t="s">
        <v>10341</v>
      </c>
      <c r="F4513" s="257" t="s">
        <v>10344</v>
      </c>
      <c r="G4513" s="257" t="s">
        <v>3196</v>
      </c>
    </row>
    <row r="4514" customHeight="1" spans="4:7">
      <c r="D4514" s="256">
        <v>51038</v>
      </c>
      <c r="E4514" s="257" t="s">
        <v>10341</v>
      </c>
      <c r="F4514" s="257" t="s">
        <v>10345</v>
      </c>
      <c r="G4514" s="257" t="s">
        <v>10346</v>
      </c>
    </row>
    <row r="4515" customHeight="1" spans="4:7">
      <c r="D4515" s="256">
        <v>51038</v>
      </c>
      <c r="E4515" s="257" t="s">
        <v>10341</v>
      </c>
      <c r="F4515" s="257" t="s">
        <v>10347</v>
      </c>
      <c r="G4515" s="257" t="s">
        <v>10348</v>
      </c>
    </row>
    <row r="4516" customHeight="1" spans="4:7">
      <c r="D4516" s="256">
        <v>51038</v>
      </c>
      <c r="E4516" s="257" t="s">
        <v>10341</v>
      </c>
      <c r="F4516" s="257" t="s">
        <v>10349</v>
      </c>
      <c r="G4516" s="257" t="s">
        <v>7845</v>
      </c>
    </row>
    <row r="4517" customHeight="1" spans="4:7">
      <c r="D4517" s="256">
        <v>51038</v>
      </c>
      <c r="E4517" s="257" t="s">
        <v>10341</v>
      </c>
      <c r="F4517" s="257" t="s">
        <v>10350</v>
      </c>
      <c r="G4517" s="257" t="s">
        <v>2562</v>
      </c>
    </row>
    <row r="4518" customHeight="1" spans="4:7">
      <c r="D4518" s="256">
        <v>51038</v>
      </c>
      <c r="E4518" s="257" t="s">
        <v>10341</v>
      </c>
      <c r="F4518" s="257" t="s">
        <v>10351</v>
      </c>
      <c r="G4518" s="257" t="s">
        <v>10352</v>
      </c>
    </row>
    <row r="4519" customHeight="1" spans="4:7">
      <c r="D4519" s="256">
        <v>51038</v>
      </c>
      <c r="E4519" s="257" t="s">
        <v>10341</v>
      </c>
      <c r="F4519" s="257" t="s">
        <v>10353</v>
      </c>
      <c r="G4519" s="257" t="s">
        <v>10354</v>
      </c>
    </row>
    <row r="4520" customHeight="1" spans="4:7">
      <c r="D4520" s="256">
        <v>51038</v>
      </c>
      <c r="E4520" s="257" t="s">
        <v>10341</v>
      </c>
      <c r="F4520" s="257" t="s">
        <v>10355</v>
      </c>
      <c r="G4520" s="257" t="s">
        <v>10356</v>
      </c>
    </row>
    <row r="4521" customHeight="1" spans="4:7">
      <c r="D4521" s="256">
        <v>51038</v>
      </c>
      <c r="E4521" s="257" t="s">
        <v>10341</v>
      </c>
      <c r="F4521" s="257" t="s">
        <v>10357</v>
      </c>
      <c r="G4521" s="257" t="s">
        <v>10358</v>
      </c>
    </row>
    <row r="4522" customHeight="1" spans="4:7">
      <c r="D4522" s="256">
        <v>51038</v>
      </c>
      <c r="E4522" s="257" t="s">
        <v>10341</v>
      </c>
      <c r="F4522" s="257" t="s">
        <v>10359</v>
      </c>
      <c r="G4522" s="257" t="s">
        <v>10360</v>
      </c>
    </row>
    <row r="4523" customHeight="1" spans="4:7">
      <c r="D4523" s="256">
        <v>48045</v>
      </c>
      <c r="E4523" s="257" t="s">
        <v>10361</v>
      </c>
      <c r="F4523" s="257" t="s">
        <v>10362</v>
      </c>
      <c r="G4523" s="257" t="s">
        <v>10363</v>
      </c>
    </row>
    <row r="4524" customHeight="1" spans="4:7">
      <c r="D4524" s="256">
        <v>48045</v>
      </c>
      <c r="E4524" s="257" t="s">
        <v>10361</v>
      </c>
      <c r="F4524" s="257" t="s">
        <v>10364</v>
      </c>
      <c r="G4524" s="257" t="s">
        <v>10365</v>
      </c>
    </row>
    <row r="4525" customHeight="1" spans="4:7">
      <c r="D4525" s="256">
        <v>48045</v>
      </c>
      <c r="E4525" s="257" t="s">
        <v>10361</v>
      </c>
      <c r="F4525" s="257" t="s">
        <v>10366</v>
      </c>
      <c r="G4525" s="257" t="s">
        <v>10367</v>
      </c>
    </row>
    <row r="4526" customHeight="1" spans="4:7">
      <c r="D4526" s="256">
        <v>48045</v>
      </c>
      <c r="E4526" s="257" t="s">
        <v>10361</v>
      </c>
      <c r="F4526" s="257" t="s">
        <v>10368</v>
      </c>
      <c r="G4526" s="257" t="s">
        <v>10369</v>
      </c>
    </row>
    <row r="4527" customHeight="1" spans="4:7">
      <c r="D4527" s="256">
        <v>48045</v>
      </c>
      <c r="E4527" s="257" t="s">
        <v>10361</v>
      </c>
      <c r="F4527" s="257" t="s">
        <v>10370</v>
      </c>
      <c r="G4527" s="257" t="s">
        <v>10371</v>
      </c>
    </row>
    <row r="4528" customHeight="1" spans="4:7">
      <c r="D4528" s="256">
        <v>48045</v>
      </c>
      <c r="E4528" s="257" t="s">
        <v>10361</v>
      </c>
      <c r="F4528" s="257" t="s">
        <v>10372</v>
      </c>
      <c r="G4528" s="257" t="s">
        <v>5252</v>
      </c>
    </row>
    <row r="4529" customHeight="1" spans="4:7">
      <c r="D4529" s="256">
        <v>48045</v>
      </c>
      <c r="E4529" s="257" t="s">
        <v>10361</v>
      </c>
      <c r="F4529" s="257" t="s">
        <v>10373</v>
      </c>
      <c r="G4529" s="257" t="s">
        <v>10374</v>
      </c>
    </row>
    <row r="4530" customHeight="1" spans="4:7">
      <c r="D4530" s="256">
        <v>48045</v>
      </c>
      <c r="E4530" s="257" t="s">
        <v>10361</v>
      </c>
      <c r="F4530" s="257" t="s">
        <v>10375</v>
      </c>
      <c r="G4530" s="257" t="s">
        <v>10376</v>
      </c>
    </row>
    <row r="4531" customHeight="1" spans="4:7">
      <c r="D4531" s="256">
        <v>48045</v>
      </c>
      <c r="E4531" s="257" t="s">
        <v>10361</v>
      </c>
      <c r="F4531" s="257" t="s">
        <v>10377</v>
      </c>
      <c r="G4531" s="257" t="s">
        <v>6788</v>
      </c>
    </row>
    <row r="4532" customHeight="1" spans="4:7">
      <c r="D4532" s="256">
        <v>48045</v>
      </c>
      <c r="E4532" s="257" t="s">
        <v>10361</v>
      </c>
      <c r="F4532" s="257" t="s">
        <v>10378</v>
      </c>
      <c r="G4532" s="257" t="s">
        <v>10379</v>
      </c>
    </row>
    <row r="4533" customHeight="1" spans="4:7">
      <c r="D4533" s="256">
        <v>48045</v>
      </c>
      <c r="E4533" s="257" t="s">
        <v>10361</v>
      </c>
      <c r="F4533" s="257" t="s">
        <v>10380</v>
      </c>
      <c r="G4533" s="257" t="s">
        <v>9516</v>
      </c>
    </row>
    <row r="4534" customHeight="1" spans="4:7">
      <c r="D4534" s="256">
        <v>48045</v>
      </c>
      <c r="E4534" s="257" t="s">
        <v>10361</v>
      </c>
      <c r="F4534" s="257" t="s">
        <v>10381</v>
      </c>
      <c r="G4534" s="257" t="s">
        <v>2531</v>
      </c>
    </row>
    <row r="4535" customHeight="1" spans="4:7">
      <c r="D4535" s="256">
        <v>48045</v>
      </c>
      <c r="E4535" s="257" t="s">
        <v>10361</v>
      </c>
      <c r="F4535" s="257" t="s">
        <v>10382</v>
      </c>
      <c r="G4535" s="257" t="s">
        <v>5859</v>
      </c>
    </row>
    <row r="4536" customHeight="1" spans="4:7">
      <c r="D4536" s="256">
        <v>48045</v>
      </c>
      <c r="E4536" s="257" t="s">
        <v>10361</v>
      </c>
      <c r="F4536" s="257" t="s">
        <v>10383</v>
      </c>
      <c r="G4536" s="257" t="s">
        <v>10384</v>
      </c>
    </row>
    <row r="4537" customHeight="1" spans="4:7">
      <c r="D4537" s="256">
        <v>48045</v>
      </c>
      <c r="E4537" s="257" t="s">
        <v>10361</v>
      </c>
      <c r="F4537" s="257" t="s">
        <v>10385</v>
      </c>
      <c r="G4537" s="257" t="s">
        <v>10386</v>
      </c>
    </row>
    <row r="4538" customHeight="1" spans="4:7">
      <c r="D4538" s="256">
        <v>48045</v>
      </c>
      <c r="E4538" s="257" t="s">
        <v>10361</v>
      </c>
      <c r="F4538" s="257" t="s">
        <v>10387</v>
      </c>
      <c r="G4538" s="257" t="s">
        <v>10388</v>
      </c>
    </row>
    <row r="4539" customHeight="1" spans="4:7">
      <c r="D4539" s="256">
        <v>51039</v>
      </c>
      <c r="E4539" s="257" t="s">
        <v>10389</v>
      </c>
      <c r="F4539" s="257" t="s">
        <v>10390</v>
      </c>
      <c r="G4539" s="257" t="s">
        <v>10391</v>
      </c>
    </row>
    <row r="4540" customHeight="1" spans="4:7">
      <c r="D4540" s="256">
        <v>51039</v>
      </c>
      <c r="E4540" s="257" t="s">
        <v>10389</v>
      </c>
      <c r="F4540" s="257" t="s">
        <v>10392</v>
      </c>
      <c r="G4540" s="257" t="s">
        <v>10393</v>
      </c>
    </row>
    <row r="4541" customHeight="1" spans="4:7">
      <c r="D4541" s="256">
        <v>51039</v>
      </c>
      <c r="E4541" s="257" t="s">
        <v>10389</v>
      </c>
      <c r="F4541" s="257" t="s">
        <v>10394</v>
      </c>
      <c r="G4541" s="257" t="s">
        <v>10395</v>
      </c>
    </row>
    <row r="4542" customHeight="1" spans="4:7">
      <c r="D4542" s="256">
        <v>51039</v>
      </c>
      <c r="E4542" s="257" t="s">
        <v>10389</v>
      </c>
      <c r="F4542" s="257" t="s">
        <v>10396</v>
      </c>
      <c r="G4542" s="257" t="s">
        <v>10397</v>
      </c>
    </row>
    <row r="4543" customHeight="1" spans="4:7">
      <c r="D4543" s="256">
        <v>51039</v>
      </c>
      <c r="E4543" s="257" t="s">
        <v>10389</v>
      </c>
      <c r="F4543" s="257" t="s">
        <v>10398</v>
      </c>
      <c r="G4543" s="257" t="s">
        <v>10399</v>
      </c>
    </row>
    <row r="4544" customHeight="1" spans="4:7">
      <c r="D4544" s="256">
        <v>51039</v>
      </c>
      <c r="E4544" s="257" t="s">
        <v>10389</v>
      </c>
      <c r="F4544" s="257" t="s">
        <v>10400</v>
      </c>
      <c r="G4544" s="257" t="s">
        <v>10401</v>
      </c>
    </row>
    <row r="4545" customHeight="1" spans="4:7">
      <c r="D4545" s="256">
        <v>51039</v>
      </c>
      <c r="E4545" s="257" t="s">
        <v>10389</v>
      </c>
      <c r="F4545" s="257" t="s">
        <v>10402</v>
      </c>
      <c r="G4545" s="257" t="s">
        <v>3444</v>
      </c>
    </row>
    <row r="4546" customHeight="1" spans="4:7">
      <c r="D4546" s="256">
        <v>51039</v>
      </c>
      <c r="E4546" s="257" t="s">
        <v>10389</v>
      </c>
      <c r="F4546" s="257" t="s">
        <v>10403</v>
      </c>
      <c r="G4546" s="257" t="s">
        <v>10404</v>
      </c>
    </row>
    <row r="4547" customHeight="1" spans="4:7">
      <c r="D4547" s="256">
        <v>51039</v>
      </c>
      <c r="E4547" s="257" t="s">
        <v>10389</v>
      </c>
      <c r="F4547" s="257" t="s">
        <v>10405</v>
      </c>
      <c r="G4547" s="257" t="s">
        <v>10406</v>
      </c>
    </row>
    <row r="4548" customHeight="1" spans="4:7">
      <c r="D4548" s="256">
        <v>51039</v>
      </c>
      <c r="E4548" s="257" t="s">
        <v>10389</v>
      </c>
      <c r="F4548" s="257" t="s">
        <v>10407</v>
      </c>
      <c r="G4548" s="257" t="s">
        <v>10408</v>
      </c>
    </row>
    <row r="4549" customHeight="1" spans="4:7">
      <c r="D4549" s="256">
        <v>51039</v>
      </c>
      <c r="E4549" s="257" t="s">
        <v>10389</v>
      </c>
      <c r="F4549" s="257" t="s">
        <v>10409</v>
      </c>
      <c r="G4549" s="257" t="s">
        <v>10410</v>
      </c>
    </row>
    <row r="4550" customHeight="1" spans="4:7">
      <c r="D4550" s="256">
        <v>51039</v>
      </c>
      <c r="E4550" s="257" t="s">
        <v>10389</v>
      </c>
      <c r="F4550" s="257" t="s">
        <v>10411</v>
      </c>
      <c r="G4550" s="257" t="s">
        <v>10412</v>
      </c>
    </row>
    <row r="4551" customHeight="1" spans="4:7">
      <c r="D4551" s="256">
        <v>51039</v>
      </c>
      <c r="E4551" s="257" t="s">
        <v>10389</v>
      </c>
      <c r="F4551" s="257" t="s">
        <v>10413</v>
      </c>
      <c r="G4551" s="257" t="s">
        <v>10414</v>
      </c>
    </row>
    <row r="4552" customHeight="1" spans="4:7">
      <c r="D4552" s="256">
        <v>51039</v>
      </c>
      <c r="E4552" s="257" t="s">
        <v>10389</v>
      </c>
      <c r="F4552" s="257" t="s">
        <v>10415</v>
      </c>
      <c r="G4552" s="257" t="s">
        <v>10416</v>
      </c>
    </row>
    <row r="4553" customHeight="1" spans="4:7">
      <c r="D4553" s="256">
        <v>51039</v>
      </c>
      <c r="E4553" s="257" t="s">
        <v>10389</v>
      </c>
      <c r="F4553" s="257" t="s">
        <v>10417</v>
      </c>
      <c r="G4553" s="257" t="s">
        <v>10418</v>
      </c>
    </row>
    <row r="4554" customHeight="1" spans="4:7">
      <c r="D4554" s="256">
        <v>51039</v>
      </c>
      <c r="E4554" s="257" t="s">
        <v>10389</v>
      </c>
      <c r="F4554" s="257" t="s">
        <v>10419</v>
      </c>
      <c r="G4554" s="257" t="s">
        <v>2387</v>
      </c>
    </row>
    <row r="4555" customHeight="1" spans="4:7">
      <c r="D4555" s="256">
        <v>51039</v>
      </c>
      <c r="E4555" s="257" t="s">
        <v>10389</v>
      </c>
      <c r="F4555" s="257" t="s">
        <v>10420</v>
      </c>
      <c r="G4555" s="257" t="s">
        <v>10421</v>
      </c>
    </row>
    <row r="4556" customHeight="1" spans="4:7">
      <c r="D4556" s="256">
        <v>51039</v>
      </c>
      <c r="E4556" s="257" t="s">
        <v>10389</v>
      </c>
      <c r="F4556" s="257" t="s">
        <v>10422</v>
      </c>
      <c r="G4556" s="257" t="s">
        <v>10423</v>
      </c>
    </row>
    <row r="4557" customHeight="1" spans="4:7">
      <c r="D4557" s="256">
        <v>51039</v>
      </c>
      <c r="E4557" s="257" t="s">
        <v>10389</v>
      </c>
      <c r="F4557" s="257" t="s">
        <v>10424</v>
      </c>
      <c r="G4557" s="257" t="s">
        <v>10425</v>
      </c>
    </row>
    <row r="4558" customHeight="1" spans="4:7">
      <c r="D4558" s="256">
        <v>51039</v>
      </c>
      <c r="E4558" s="257" t="s">
        <v>10389</v>
      </c>
      <c r="F4558" s="257" t="s">
        <v>10426</v>
      </c>
      <c r="G4558" s="257" t="s">
        <v>8484</v>
      </c>
    </row>
    <row r="4559" customHeight="1" spans="4:7">
      <c r="D4559" s="256">
        <v>51039</v>
      </c>
      <c r="E4559" s="257" t="s">
        <v>10389</v>
      </c>
      <c r="F4559" s="257" t="s">
        <v>10427</v>
      </c>
      <c r="G4559" s="257" t="s">
        <v>10428</v>
      </c>
    </row>
    <row r="4560" customHeight="1" spans="4:7">
      <c r="D4560" s="256">
        <v>51039</v>
      </c>
      <c r="E4560" s="257" t="s">
        <v>10389</v>
      </c>
      <c r="F4560" s="257" t="s">
        <v>10429</v>
      </c>
      <c r="G4560" s="257" t="s">
        <v>7624</v>
      </c>
    </row>
    <row r="4561" customHeight="1" spans="4:7">
      <c r="D4561" s="256">
        <v>50036</v>
      </c>
      <c r="E4561" s="257" t="s">
        <v>10430</v>
      </c>
      <c r="F4561" s="257" t="s">
        <v>10431</v>
      </c>
      <c r="G4561" s="257" t="s">
        <v>10432</v>
      </c>
    </row>
    <row r="4562" customHeight="1" spans="4:7">
      <c r="D4562" s="256">
        <v>50036</v>
      </c>
      <c r="E4562" s="257" t="s">
        <v>10430</v>
      </c>
      <c r="F4562" s="257" t="s">
        <v>10433</v>
      </c>
      <c r="G4562" s="257" t="s">
        <v>7383</v>
      </c>
    </row>
    <row r="4563" customHeight="1" spans="4:7">
      <c r="D4563" s="256">
        <v>50036</v>
      </c>
      <c r="E4563" s="257" t="s">
        <v>10430</v>
      </c>
      <c r="F4563" s="257" t="s">
        <v>10434</v>
      </c>
      <c r="G4563" s="257" t="s">
        <v>10435</v>
      </c>
    </row>
    <row r="4564" customHeight="1" spans="4:7">
      <c r="D4564" s="256">
        <v>50036</v>
      </c>
      <c r="E4564" s="257" t="s">
        <v>10430</v>
      </c>
      <c r="F4564" s="257" t="s">
        <v>10436</v>
      </c>
      <c r="G4564" s="257" t="s">
        <v>10437</v>
      </c>
    </row>
    <row r="4565" customHeight="1" spans="4:7">
      <c r="D4565" s="256">
        <v>50036</v>
      </c>
      <c r="E4565" s="257" t="s">
        <v>10430</v>
      </c>
      <c r="F4565" s="257" t="s">
        <v>10438</v>
      </c>
      <c r="G4565" s="257" t="s">
        <v>10439</v>
      </c>
    </row>
    <row r="4566" customHeight="1" spans="4:7">
      <c r="D4566" s="256">
        <v>50036</v>
      </c>
      <c r="E4566" s="257" t="s">
        <v>10430</v>
      </c>
      <c r="F4566" s="257" t="s">
        <v>10440</v>
      </c>
      <c r="G4566" s="257" t="s">
        <v>5881</v>
      </c>
    </row>
    <row r="4567" customHeight="1" spans="4:7">
      <c r="D4567" s="256">
        <v>50036</v>
      </c>
      <c r="E4567" s="257" t="s">
        <v>10430</v>
      </c>
      <c r="F4567" s="257" t="s">
        <v>10441</v>
      </c>
      <c r="G4567" s="257" t="s">
        <v>4202</v>
      </c>
    </row>
    <row r="4568" customHeight="1" spans="4:7">
      <c r="D4568" s="256">
        <v>50036</v>
      </c>
      <c r="E4568" s="257" t="s">
        <v>10430</v>
      </c>
      <c r="F4568" s="257" t="s">
        <v>10442</v>
      </c>
      <c r="G4568" s="257" t="s">
        <v>10443</v>
      </c>
    </row>
    <row r="4569" customHeight="1" spans="4:7">
      <c r="D4569" s="256">
        <v>50036</v>
      </c>
      <c r="E4569" s="257" t="s">
        <v>10430</v>
      </c>
      <c r="F4569" s="257" t="s">
        <v>10444</v>
      </c>
      <c r="G4569" s="257" t="s">
        <v>10445</v>
      </c>
    </row>
    <row r="4570" customHeight="1" spans="4:7">
      <c r="D4570" s="256">
        <v>50036</v>
      </c>
      <c r="E4570" s="257" t="s">
        <v>10430</v>
      </c>
      <c r="F4570" s="257" t="s">
        <v>10446</v>
      </c>
      <c r="G4570" s="257" t="s">
        <v>10447</v>
      </c>
    </row>
    <row r="4571" customHeight="1" spans="4:7">
      <c r="D4571" s="256">
        <v>50036</v>
      </c>
      <c r="E4571" s="257" t="s">
        <v>10430</v>
      </c>
      <c r="F4571" s="257" t="s">
        <v>10448</v>
      </c>
      <c r="G4571" s="257" t="s">
        <v>10449</v>
      </c>
    </row>
    <row r="4572" customHeight="1" spans="4:7">
      <c r="D4572" s="256">
        <v>50036</v>
      </c>
      <c r="E4572" s="257" t="s">
        <v>10430</v>
      </c>
      <c r="F4572" s="257" t="s">
        <v>10450</v>
      </c>
      <c r="G4572" s="257" t="s">
        <v>10451</v>
      </c>
    </row>
    <row r="4573" customHeight="1" spans="4:7">
      <c r="D4573" s="256">
        <v>50036</v>
      </c>
      <c r="E4573" s="257" t="s">
        <v>10430</v>
      </c>
      <c r="F4573" s="257" t="s">
        <v>10452</v>
      </c>
      <c r="G4573" s="257" t="s">
        <v>10453</v>
      </c>
    </row>
    <row r="4574" customHeight="1" spans="4:7">
      <c r="D4574" s="256">
        <v>52035</v>
      </c>
      <c r="E4574" s="257" t="s">
        <v>10454</v>
      </c>
      <c r="F4574" s="257" t="s">
        <v>10455</v>
      </c>
      <c r="G4574" s="257" t="s">
        <v>10456</v>
      </c>
    </row>
    <row r="4575" customHeight="1" spans="4:7">
      <c r="D4575" s="256">
        <v>52035</v>
      </c>
      <c r="E4575" s="257" t="s">
        <v>10454</v>
      </c>
      <c r="F4575" s="257" t="s">
        <v>10457</v>
      </c>
      <c r="G4575" s="257" t="s">
        <v>10458</v>
      </c>
    </row>
    <row r="4576" customHeight="1" spans="4:7">
      <c r="D4576" s="256">
        <v>52035</v>
      </c>
      <c r="E4576" s="257" t="s">
        <v>10454</v>
      </c>
      <c r="F4576" s="257" t="s">
        <v>10459</v>
      </c>
      <c r="G4576" s="257" t="s">
        <v>9844</v>
      </c>
    </row>
    <row r="4577" customHeight="1" spans="4:7">
      <c r="D4577" s="256">
        <v>52035</v>
      </c>
      <c r="E4577" s="257" t="s">
        <v>10454</v>
      </c>
      <c r="F4577" s="257" t="s">
        <v>10460</v>
      </c>
      <c r="G4577" s="257" t="s">
        <v>3567</v>
      </c>
    </row>
    <row r="4578" customHeight="1" spans="4:7">
      <c r="D4578" s="256">
        <v>52035</v>
      </c>
      <c r="E4578" s="257" t="s">
        <v>10454</v>
      </c>
      <c r="F4578" s="257" t="s">
        <v>10461</v>
      </c>
      <c r="G4578" s="257" t="s">
        <v>10462</v>
      </c>
    </row>
    <row r="4579" customHeight="1" spans="4:7">
      <c r="D4579" s="256">
        <v>52035</v>
      </c>
      <c r="E4579" s="257" t="s">
        <v>10454</v>
      </c>
      <c r="F4579" s="257" t="s">
        <v>10463</v>
      </c>
      <c r="G4579" s="257" t="s">
        <v>10464</v>
      </c>
    </row>
    <row r="4580" customHeight="1" spans="4:7">
      <c r="D4580" s="256">
        <v>52035</v>
      </c>
      <c r="E4580" s="257" t="s">
        <v>10454</v>
      </c>
      <c r="F4580" s="257" t="s">
        <v>10465</v>
      </c>
      <c r="G4580" s="257" t="s">
        <v>10466</v>
      </c>
    </row>
    <row r="4581" customHeight="1" spans="4:7">
      <c r="D4581" s="256">
        <v>52035</v>
      </c>
      <c r="E4581" s="257" t="s">
        <v>10454</v>
      </c>
      <c r="F4581" s="257" t="s">
        <v>10467</v>
      </c>
      <c r="G4581" s="257" t="s">
        <v>10468</v>
      </c>
    </row>
    <row r="4582" customHeight="1" spans="4:7">
      <c r="D4582" s="256">
        <v>52035</v>
      </c>
      <c r="E4582" s="257" t="s">
        <v>10454</v>
      </c>
      <c r="F4582" s="257" t="s">
        <v>10469</v>
      </c>
      <c r="G4582" s="257" t="s">
        <v>10470</v>
      </c>
    </row>
    <row r="4583" customHeight="1" spans="4:7">
      <c r="D4583" s="256">
        <v>52035</v>
      </c>
      <c r="E4583" s="257" t="s">
        <v>10454</v>
      </c>
      <c r="F4583" s="257" t="s">
        <v>10471</v>
      </c>
      <c r="G4583" s="257" t="s">
        <v>10472</v>
      </c>
    </row>
    <row r="4584" customHeight="1" spans="4:7">
      <c r="D4584" s="256">
        <v>52035</v>
      </c>
      <c r="E4584" s="257" t="s">
        <v>10454</v>
      </c>
      <c r="F4584" s="257" t="s">
        <v>10473</v>
      </c>
      <c r="G4584" s="257" t="s">
        <v>10474</v>
      </c>
    </row>
    <row r="4585" customHeight="1" spans="4:7">
      <c r="D4585" s="256">
        <v>52035</v>
      </c>
      <c r="E4585" s="257" t="s">
        <v>10454</v>
      </c>
      <c r="F4585" s="257" t="s">
        <v>10475</v>
      </c>
      <c r="G4585" s="257" t="s">
        <v>5855</v>
      </c>
    </row>
    <row r="4586" customHeight="1" spans="4:7">
      <c r="D4586" s="256">
        <v>52035</v>
      </c>
      <c r="E4586" s="257" t="s">
        <v>10454</v>
      </c>
      <c r="F4586" s="257" t="s">
        <v>10476</v>
      </c>
      <c r="G4586" s="257" t="s">
        <v>10477</v>
      </c>
    </row>
    <row r="4587" customHeight="1" spans="4:7">
      <c r="D4587" s="256">
        <v>52035</v>
      </c>
      <c r="E4587" s="257" t="s">
        <v>10454</v>
      </c>
      <c r="F4587" s="257" t="s">
        <v>10478</v>
      </c>
      <c r="G4587" s="257" t="s">
        <v>10479</v>
      </c>
    </row>
    <row r="4588" customHeight="1" spans="4:7">
      <c r="D4588" s="256">
        <v>52035</v>
      </c>
      <c r="E4588" s="257" t="s">
        <v>10454</v>
      </c>
      <c r="F4588" s="257" t="s">
        <v>10480</v>
      </c>
      <c r="G4588" s="257" t="s">
        <v>10481</v>
      </c>
    </row>
    <row r="4589" customHeight="1" spans="4:7">
      <c r="D4589" s="256">
        <v>52035</v>
      </c>
      <c r="E4589" s="257" t="s">
        <v>10454</v>
      </c>
      <c r="F4589" s="257" t="s">
        <v>10482</v>
      </c>
      <c r="G4589" s="257" t="s">
        <v>10483</v>
      </c>
    </row>
    <row r="4590" customHeight="1" spans="4:7">
      <c r="D4590" s="256">
        <v>52035</v>
      </c>
      <c r="E4590" s="257" t="s">
        <v>10454</v>
      </c>
      <c r="F4590" s="257" t="s">
        <v>10484</v>
      </c>
      <c r="G4590" s="257" t="s">
        <v>10485</v>
      </c>
    </row>
    <row r="4591" customHeight="1" spans="4:7">
      <c r="D4591" s="256">
        <v>52035</v>
      </c>
      <c r="E4591" s="257" t="s">
        <v>10454</v>
      </c>
      <c r="F4591" s="257" t="s">
        <v>10486</v>
      </c>
      <c r="G4591" s="257" t="s">
        <v>10487</v>
      </c>
    </row>
    <row r="4592" customHeight="1" spans="4:7">
      <c r="D4592" s="256">
        <v>52035</v>
      </c>
      <c r="E4592" s="257" t="s">
        <v>10454</v>
      </c>
      <c r="F4592" s="257" t="s">
        <v>10488</v>
      </c>
      <c r="G4592" s="257" t="s">
        <v>10489</v>
      </c>
    </row>
    <row r="4593" customHeight="1" spans="4:7">
      <c r="D4593" s="256">
        <v>52036</v>
      </c>
      <c r="E4593" s="257" t="s">
        <v>10490</v>
      </c>
      <c r="F4593" s="257" t="s">
        <v>10491</v>
      </c>
      <c r="G4593" s="257" t="s">
        <v>10492</v>
      </c>
    </row>
    <row r="4594" customHeight="1" spans="4:7">
      <c r="D4594" s="256">
        <v>52036</v>
      </c>
      <c r="E4594" s="257" t="s">
        <v>10490</v>
      </c>
      <c r="F4594" s="257" t="s">
        <v>10493</v>
      </c>
      <c r="G4594" s="257" t="s">
        <v>10494</v>
      </c>
    </row>
    <row r="4595" customHeight="1" spans="4:7">
      <c r="D4595" s="256">
        <v>52036</v>
      </c>
      <c r="E4595" s="257" t="s">
        <v>10490</v>
      </c>
      <c r="F4595" s="257" t="s">
        <v>10495</v>
      </c>
      <c r="G4595" s="257" t="s">
        <v>10496</v>
      </c>
    </row>
    <row r="4596" customHeight="1" spans="4:7">
      <c r="D4596" s="256">
        <v>52036</v>
      </c>
      <c r="E4596" s="257" t="s">
        <v>10490</v>
      </c>
      <c r="F4596" s="257" t="s">
        <v>10497</v>
      </c>
      <c r="G4596" s="257" t="s">
        <v>10498</v>
      </c>
    </row>
    <row r="4597" customHeight="1" spans="4:7">
      <c r="D4597" s="256">
        <v>52036</v>
      </c>
      <c r="E4597" s="257" t="s">
        <v>10490</v>
      </c>
      <c r="F4597" s="257" t="s">
        <v>10499</v>
      </c>
      <c r="G4597" s="257" t="s">
        <v>5475</v>
      </c>
    </row>
    <row r="4598" customHeight="1" spans="4:7">
      <c r="D4598" s="256">
        <v>52036</v>
      </c>
      <c r="E4598" s="257" t="s">
        <v>10490</v>
      </c>
      <c r="F4598" s="257" t="s">
        <v>10500</v>
      </c>
      <c r="G4598" s="257" t="s">
        <v>7301</v>
      </c>
    </row>
    <row r="4599" customHeight="1" spans="4:7">
      <c r="D4599" s="256">
        <v>52036</v>
      </c>
      <c r="E4599" s="257" t="s">
        <v>10490</v>
      </c>
      <c r="F4599" s="257" t="s">
        <v>10501</v>
      </c>
      <c r="G4599" s="257" t="s">
        <v>10502</v>
      </c>
    </row>
    <row r="4600" customHeight="1" spans="4:7">
      <c r="D4600" s="256">
        <v>45015</v>
      </c>
      <c r="E4600" s="257" t="s">
        <v>10503</v>
      </c>
      <c r="F4600" s="257" t="s">
        <v>10504</v>
      </c>
      <c r="G4600" s="257" t="s">
        <v>10505</v>
      </c>
    </row>
    <row r="4601" customHeight="1" spans="4:7">
      <c r="D4601" s="256">
        <v>45015</v>
      </c>
      <c r="E4601" s="257" t="s">
        <v>10503</v>
      </c>
      <c r="F4601" s="257" t="s">
        <v>10506</v>
      </c>
      <c r="G4601" s="257" t="s">
        <v>10507</v>
      </c>
    </row>
    <row r="4602" customHeight="1" spans="4:7">
      <c r="D4602" s="256">
        <v>45015</v>
      </c>
      <c r="E4602" s="257" t="s">
        <v>10503</v>
      </c>
      <c r="F4602" s="257" t="s">
        <v>10508</v>
      </c>
      <c r="G4602" s="257" t="s">
        <v>10509</v>
      </c>
    </row>
    <row r="4603" customHeight="1" spans="4:7">
      <c r="D4603" s="256">
        <v>45015</v>
      </c>
      <c r="E4603" s="257" t="s">
        <v>10503</v>
      </c>
      <c r="F4603" s="257" t="s">
        <v>10510</v>
      </c>
      <c r="G4603" s="257" t="s">
        <v>10511</v>
      </c>
    </row>
    <row r="4604" customHeight="1" spans="4:7">
      <c r="D4604" s="256">
        <v>45015</v>
      </c>
      <c r="E4604" s="257" t="s">
        <v>10503</v>
      </c>
      <c r="F4604" s="257" t="s">
        <v>10512</v>
      </c>
      <c r="G4604" s="257" t="s">
        <v>10513</v>
      </c>
    </row>
    <row r="4605" customHeight="1" spans="4:7">
      <c r="D4605" s="256">
        <v>45015</v>
      </c>
      <c r="E4605" s="257" t="s">
        <v>10503</v>
      </c>
      <c r="F4605" s="257" t="s">
        <v>10514</v>
      </c>
      <c r="G4605" s="257" t="s">
        <v>10515</v>
      </c>
    </row>
    <row r="4606" customHeight="1" spans="4:7">
      <c r="D4606" s="256">
        <v>45015</v>
      </c>
      <c r="E4606" s="257" t="s">
        <v>10503</v>
      </c>
      <c r="F4606" s="257" t="s">
        <v>10516</v>
      </c>
      <c r="G4606" s="257" t="s">
        <v>10517</v>
      </c>
    </row>
    <row r="4607" customHeight="1" spans="4:7">
      <c r="D4607" s="256">
        <v>45015</v>
      </c>
      <c r="E4607" s="257" t="s">
        <v>10503</v>
      </c>
      <c r="F4607" s="257" t="s">
        <v>10518</v>
      </c>
      <c r="G4607" s="257" t="s">
        <v>10519</v>
      </c>
    </row>
    <row r="4608" customHeight="1" spans="4:7">
      <c r="D4608" s="256">
        <v>45015</v>
      </c>
      <c r="E4608" s="257" t="s">
        <v>10503</v>
      </c>
      <c r="F4608" s="257" t="s">
        <v>10520</v>
      </c>
      <c r="G4608" s="257" t="s">
        <v>10521</v>
      </c>
    </row>
    <row r="4609" customHeight="1" spans="4:7">
      <c r="D4609" s="256">
        <v>45015</v>
      </c>
      <c r="E4609" s="257" t="s">
        <v>10503</v>
      </c>
      <c r="F4609" s="257" t="s">
        <v>10522</v>
      </c>
      <c r="G4609" s="257" t="s">
        <v>10523</v>
      </c>
    </row>
    <row r="4610" customHeight="1" spans="4:7">
      <c r="D4610" s="256">
        <v>45015</v>
      </c>
      <c r="E4610" s="257" t="s">
        <v>10503</v>
      </c>
      <c r="F4610" s="257" t="s">
        <v>10524</v>
      </c>
      <c r="G4610" s="257" t="s">
        <v>10525</v>
      </c>
    </row>
    <row r="4611" customHeight="1" spans="4:7">
      <c r="D4611" s="256">
        <v>45015</v>
      </c>
      <c r="E4611" s="257" t="s">
        <v>10503</v>
      </c>
      <c r="F4611" s="257" t="s">
        <v>10526</v>
      </c>
      <c r="G4611" s="257" t="s">
        <v>2488</v>
      </c>
    </row>
    <row r="4612" customHeight="1" spans="4:7">
      <c r="D4612" s="256">
        <v>45015</v>
      </c>
      <c r="E4612" s="257" t="s">
        <v>10503</v>
      </c>
      <c r="F4612" s="257" t="s">
        <v>10527</v>
      </c>
      <c r="G4612" s="257" t="s">
        <v>10528</v>
      </c>
    </row>
    <row r="4613" customHeight="1" spans="4:7">
      <c r="D4613" s="256">
        <v>45015</v>
      </c>
      <c r="E4613" s="257" t="s">
        <v>10503</v>
      </c>
      <c r="F4613" s="257" t="s">
        <v>10529</v>
      </c>
      <c r="G4613" s="257" t="s">
        <v>10530</v>
      </c>
    </row>
    <row r="4614" customHeight="1" spans="4:7">
      <c r="D4614" s="256">
        <v>45015</v>
      </c>
      <c r="E4614" s="257" t="s">
        <v>10503</v>
      </c>
      <c r="F4614" s="257" t="s">
        <v>10531</v>
      </c>
      <c r="G4614" s="257" t="s">
        <v>10532</v>
      </c>
    </row>
    <row r="4615" customHeight="1" spans="4:7">
      <c r="D4615" s="256">
        <v>45015</v>
      </c>
      <c r="E4615" s="257" t="s">
        <v>10503</v>
      </c>
      <c r="F4615" s="257" t="s">
        <v>10533</v>
      </c>
      <c r="G4615" s="257" t="s">
        <v>10534</v>
      </c>
    </row>
    <row r="4616" customHeight="1" spans="4:7">
      <c r="D4616" s="256">
        <v>45015</v>
      </c>
      <c r="E4616" s="257" t="s">
        <v>10503</v>
      </c>
      <c r="F4616" s="257" t="s">
        <v>10535</v>
      </c>
      <c r="G4616" s="257" t="s">
        <v>2224</v>
      </c>
    </row>
    <row r="4617" customHeight="1" spans="4:7">
      <c r="D4617" s="256">
        <v>45015</v>
      </c>
      <c r="E4617" s="257" t="s">
        <v>10503</v>
      </c>
      <c r="F4617" s="257" t="s">
        <v>10536</v>
      </c>
      <c r="G4617" s="257" t="s">
        <v>6162</v>
      </c>
    </row>
    <row r="4618" customHeight="1" spans="4:7">
      <c r="D4618" s="256">
        <v>45015</v>
      </c>
      <c r="E4618" s="257" t="s">
        <v>10503</v>
      </c>
      <c r="F4618" s="257" t="s">
        <v>10537</v>
      </c>
      <c r="G4618" s="257" t="s">
        <v>10538</v>
      </c>
    </row>
    <row r="4619" customHeight="1" spans="4:7">
      <c r="D4619" s="256">
        <v>45015</v>
      </c>
      <c r="E4619" s="257" t="s">
        <v>10503</v>
      </c>
      <c r="F4619" s="257" t="s">
        <v>10539</v>
      </c>
      <c r="G4619" s="257" t="s">
        <v>10540</v>
      </c>
    </row>
    <row r="4620" customHeight="1" spans="4:7">
      <c r="D4620" s="256">
        <v>45015</v>
      </c>
      <c r="E4620" s="257" t="s">
        <v>10503</v>
      </c>
      <c r="F4620" s="257" t="s">
        <v>10541</v>
      </c>
      <c r="G4620" s="257" t="s">
        <v>10542</v>
      </c>
    </row>
    <row r="4621" customHeight="1" spans="4:7">
      <c r="D4621" s="256">
        <v>45015</v>
      </c>
      <c r="E4621" s="257" t="s">
        <v>10503</v>
      </c>
      <c r="F4621" s="257" t="s">
        <v>10543</v>
      </c>
      <c r="G4621" s="257" t="s">
        <v>10544</v>
      </c>
    </row>
    <row r="4622" customHeight="1" spans="4:7">
      <c r="D4622" s="256">
        <v>45015</v>
      </c>
      <c r="E4622" s="257" t="s">
        <v>10503</v>
      </c>
      <c r="F4622" s="257" t="s">
        <v>10545</v>
      </c>
      <c r="G4622" s="257" t="s">
        <v>10546</v>
      </c>
    </row>
    <row r="4623" customHeight="1" spans="4:7">
      <c r="D4623" s="256">
        <v>45015</v>
      </c>
      <c r="E4623" s="257" t="s">
        <v>10503</v>
      </c>
      <c r="F4623" s="257" t="s">
        <v>10547</v>
      </c>
      <c r="G4623" s="257" t="s">
        <v>10548</v>
      </c>
    </row>
    <row r="4624" customHeight="1" spans="4:7">
      <c r="D4624" s="256">
        <v>45015</v>
      </c>
      <c r="E4624" s="257" t="s">
        <v>10503</v>
      </c>
      <c r="F4624" s="257" t="s">
        <v>10549</v>
      </c>
      <c r="G4624" s="257" t="s">
        <v>6982</v>
      </c>
    </row>
    <row r="4625" customHeight="1" spans="4:7">
      <c r="D4625" s="256">
        <v>45015</v>
      </c>
      <c r="E4625" s="257" t="s">
        <v>10503</v>
      </c>
      <c r="F4625" s="257" t="s">
        <v>10550</v>
      </c>
      <c r="G4625" s="257" t="s">
        <v>10551</v>
      </c>
    </row>
    <row r="4626" customHeight="1" spans="4:7">
      <c r="D4626" s="256">
        <v>45015</v>
      </c>
      <c r="E4626" s="257" t="s">
        <v>10503</v>
      </c>
      <c r="F4626" s="257" t="s">
        <v>10552</v>
      </c>
      <c r="G4626" s="257" t="s">
        <v>10553</v>
      </c>
    </row>
    <row r="4627" customHeight="1" spans="4:7">
      <c r="D4627" s="256">
        <v>45015</v>
      </c>
      <c r="E4627" s="257" t="s">
        <v>10503</v>
      </c>
      <c r="F4627" s="257" t="s">
        <v>10554</v>
      </c>
      <c r="G4627" s="257" t="s">
        <v>10555</v>
      </c>
    </row>
    <row r="4628" customHeight="1" spans="4:7">
      <c r="D4628" s="256">
        <v>45015</v>
      </c>
      <c r="E4628" s="257" t="s">
        <v>10503</v>
      </c>
      <c r="F4628" s="257" t="s">
        <v>10556</v>
      </c>
      <c r="G4628" s="257" t="s">
        <v>10557</v>
      </c>
    </row>
    <row r="4629" customHeight="1" spans="4:7">
      <c r="D4629" s="256">
        <v>45015</v>
      </c>
      <c r="E4629" s="257" t="s">
        <v>10503</v>
      </c>
      <c r="F4629" s="257" t="s">
        <v>10558</v>
      </c>
      <c r="G4629" s="257" t="s">
        <v>10559</v>
      </c>
    </row>
    <row r="4630" customHeight="1" spans="4:7">
      <c r="D4630" s="256">
        <v>45015</v>
      </c>
      <c r="E4630" s="257" t="s">
        <v>10503</v>
      </c>
      <c r="F4630" s="257" t="s">
        <v>10560</v>
      </c>
      <c r="G4630" s="257" t="s">
        <v>2740</v>
      </c>
    </row>
    <row r="4631" customHeight="1" spans="4:7">
      <c r="D4631" s="256">
        <v>45015</v>
      </c>
      <c r="E4631" s="257" t="s">
        <v>10503</v>
      </c>
      <c r="F4631" s="257" t="s">
        <v>10561</v>
      </c>
      <c r="G4631" s="257" t="s">
        <v>10562</v>
      </c>
    </row>
    <row r="4632" customHeight="1" spans="4:7">
      <c r="D4632" s="256">
        <v>47021</v>
      </c>
      <c r="E4632" s="257" t="s">
        <v>10563</v>
      </c>
      <c r="F4632" s="257" t="s">
        <v>10564</v>
      </c>
      <c r="G4632" s="257" t="s">
        <v>10565</v>
      </c>
    </row>
    <row r="4633" customHeight="1" spans="4:7">
      <c r="D4633" s="256">
        <v>47021</v>
      </c>
      <c r="E4633" s="257" t="s">
        <v>10563</v>
      </c>
      <c r="F4633" s="257" t="s">
        <v>10566</v>
      </c>
      <c r="G4633" s="257" t="s">
        <v>10567</v>
      </c>
    </row>
    <row r="4634" customHeight="1" spans="4:7">
      <c r="D4634" s="256">
        <v>47021</v>
      </c>
      <c r="E4634" s="257" t="s">
        <v>10563</v>
      </c>
      <c r="F4634" s="257" t="s">
        <v>10568</v>
      </c>
      <c r="G4634" s="257" t="s">
        <v>10569</v>
      </c>
    </row>
    <row r="4635" customHeight="1" spans="4:7">
      <c r="D4635" s="256">
        <v>47021</v>
      </c>
      <c r="E4635" s="257" t="s">
        <v>10563</v>
      </c>
      <c r="F4635" s="257" t="s">
        <v>10570</v>
      </c>
      <c r="G4635" s="257" t="s">
        <v>10571</v>
      </c>
    </row>
    <row r="4636" customHeight="1" spans="4:7">
      <c r="D4636" s="256">
        <v>47021</v>
      </c>
      <c r="E4636" s="257" t="s">
        <v>10563</v>
      </c>
      <c r="F4636" s="257" t="s">
        <v>10572</v>
      </c>
      <c r="G4636" s="257" t="s">
        <v>2285</v>
      </c>
    </row>
    <row r="4637" customHeight="1" spans="4:7">
      <c r="D4637" s="256">
        <v>47021</v>
      </c>
      <c r="E4637" s="257" t="s">
        <v>10563</v>
      </c>
      <c r="F4637" s="257" t="s">
        <v>10573</v>
      </c>
      <c r="G4637" s="257" t="s">
        <v>10574</v>
      </c>
    </row>
    <row r="4638" customHeight="1" spans="4:7">
      <c r="D4638" s="256">
        <v>47021</v>
      </c>
      <c r="E4638" s="257" t="s">
        <v>10563</v>
      </c>
      <c r="F4638" s="257" t="s">
        <v>10575</v>
      </c>
      <c r="G4638" s="257" t="s">
        <v>10576</v>
      </c>
    </row>
    <row r="4639" customHeight="1" spans="4:7">
      <c r="D4639" s="256">
        <v>46031</v>
      </c>
      <c r="E4639" s="257" t="s">
        <v>10577</v>
      </c>
      <c r="F4639" s="257" t="s">
        <v>10578</v>
      </c>
      <c r="G4639" s="257" t="s">
        <v>10579</v>
      </c>
    </row>
    <row r="4640" customHeight="1" spans="4:7">
      <c r="D4640" s="256">
        <v>46031</v>
      </c>
      <c r="E4640" s="257" t="s">
        <v>10577</v>
      </c>
      <c r="F4640" s="257" t="s">
        <v>10580</v>
      </c>
      <c r="G4640" s="257" t="s">
        <v>10581</v>
      </c>
    </row>
    <row r="4641" customHeight="1" spans="4:7">
      <c r="D4641" s="256">
        <v>46031</v>
      </c>
      <c r="E4641" s="257" t="s">
        <v>10577</v>
      </c>
      <c r="F4641" s="257" t="s">
        <v>10582</v>
      </c>
      <c r="G4641" s="257" t="s">
        <v>10583</v>
      </c>
    </row>
    <row r="4642" customHeight="1" spans="4:7">
      <c r="D4642" s="256">
        <v>46031</v>
      </c>
      <c r="E4642" s="257" t="s">
        <v>10577</v>
      </c>
      <c r="F4642" s="257" t="s">
        <v>10584</v>
      </c>
      <c r="G4642" s="257" t="s">
        <v>10585</v>
      </c>
    </row>
    <row r="4643" customHeight="1" spans="4:7">
      <c r="D4643" s="256">
        <v>46031</v>
      </c>
      <c r="E4643" s="257" t="s">
        <v>10577</v>
      </c>
      <c r="F4643" s="257" t="s">
        <v>10586</v>
      </c>
      <c r="G4643" s="257" t="s">
        <v>10587</v>
      </c>
    </row>
    <row r="4644" customHeight="1" spans="4:7">
      <c r="D4644" s="256">
        <v>48046</v>
      </c>
      <c r="E4644" s="257" t="s">
        <v>10588</v>
      </c>
      <c r="F4644" s="257" t="s">
        <v>10589</v>
      </c>
      <c r="G4644" s="257" t="s">
        <v>10590</v>
      </c>
    </row>
    <row r="4645" customHeight="1" spans="4:7">
      <c r="D4645" s="256">
        <v>48046</v>
      </c>
      <c r="E4645" s="257" t="s">
        <v>10588</v>
      </c>
      <c r="F4645" s="257" t="s">
        <v>10591</v>
      </c>
      <c r="G4645" s="257" t="s">
        <v>10592</v>
      </c>
    </row>
    <row r="4646" customHeight="1" spans="4:7">
      <c r="D4646" s="256">
        <v>48046</v>
      </c>
      <c r="E4646" s="257" t="s">
        <v>10588</v>
      </c>
      <c r="F4646" s="257" t="s">
        <v>10593</v>
      </c>
      <c r="G4646" s="257" t="s">
        <v>10594</v>
      </c>
    </row>
    <row r="4647" customHeight="1" spans="4:7">
      <c r="D4647" s="256">
        <v>48046</v>
      </c>
      <c r="E4647" s="257" t="s">
        <v>10588</v>
      </c>
      <c r="F4647" s="257" t="s">
        <v>10595</v>
      </c>
      <c r="G4647" s="257" t="s">
        <v>10596</v>
      </c>
    </row>
    <row r="4648" customHeight="1" spans="4:7">
      <c r="D4648" s="256">
        <v>48046</v>
      </c>
      <c r="E4648" s="257" t="s">
        <v>10588</v>
      </c>
      <c r="F4648" s="257" t="s">
        <v>10597</v>
      </c>
      <c r="G4648" s="257" t="s">
        <v>10598</v>
      </c>
    </row>
    <row r="4649" customHeight="1" spans="4:7">
      <c r="D4649" s="256">
        <v>48046</v>
      </c>
      <c r="E4649" s="257" t="s">
        <v>10588</v>
      </c>
      <c r="F4649" s="257" t="s">
        <v>10599</v>
      </c>
      <c r="G4649" s="257" t="s">
        <v>10600</v>
      </c>
    </row>
    <row r="4650" customHeight="1" spans="4:7">
      <c r="D4650" s="256">
        <v>48046</v>
      </c>
      <c r="E4650" s="257" t="s">
        <v>10588</v>
      </c>
      <c r="F4650" s="257" t="s">
        <v>10601</v>
      </c>
      <c r="G4650" s="257" t="s">
        <v>10602</v>
      </c>
    </row>
    <row r="4651" customHeight="1" spans="4:7">
      <c r="D4651" s="256">
        <v>48046</v>
      </c>
      <c r="E4651" s="257" t="s">
        <v>10588</v>
      </c>
      <c r="F4651" s="257" t="s">
        <v>10603</v>
      </c>
      <c r="G4651" s="257" t="s">
        <v>9919</v>
      </c>
    </row>
    <row r="4652" customHeight="1" spans="4:7">
      <c r="D4652" s="256">
        <v>48046</v>
      </c>
      <c r="E4652" s="257" t="s">
        <v>10588</v>
      </c>
      <c r="F4652" s="257" t="s">
        <v>10604</v>
      </c>
      <c r="G4652" s="257" t="s">
        <v>2591</v>
      </c>
    </row>
    <row r="4653" customHeight="1" spans="4:7">
      <c r="D4653" s="256">
        <v>48046</v>
      </c>
      <c r="E4653" s="257" t="s">
        <v>10588</v>
      </c>
      <c r="F4653" s="257" t="s">
        <v>10605</v>
      </c>
      <c r="G4653" s="257" t="s">
        <v>2134</v>
      </c>
    </row>
    <row r="4654" customHeight="1" spans="4:7">
      <c r="D4654" s="256">
        <v>48046</v>
      </c>
      <c r="E4654" s="257" t="s">
        <v>10588</v>
      </c>
      <c r="F4654" s="257" t="s">
        <v>10606</v>
      </c>
      <c r="G4654" s="257" t="s">
        <v>10607</v>
      </c>
    </row>
    <row r="4655" customHeight="1" spans="4:7">
      <c r="D4655" s="256">
        <v>48046</v>
      </c>
      <c r="E4655" s="257" t="s">
        <v>10588</v>
      </c>
      <c r="F4655" s="257" t="s">
        <v>10608</v>
      </c>
      <c r="G4655" s="257" t="s">
        <v>10609</v>
      </c>
    </row>
    <row r="4656" customHeight="1" spans="4:7">
      <c r="D4656" s="256">
        <v>48046</v>
      </c>
      <c r="E4656" s="257" t="s">
        <v>10588</v>
      </c>
      <c r="F4656" s="257" t="s">
        <v>10610</v>
      </c>
      <c r="G4656" s="257" t="s">
        <v>10611</v>
      </c>
    </row>
    <row r="4657" customHeight="1" spans="4:7">
      <c r="D4657" s="256">
        <v>48046</v>
      </c>
      <c r="E4657" s="257" t="s">
        <v>10588</v>
      </c>
      <c r="F4657" s="257" t="s">
        <v>10612</v>
      </c>
      <c r="G4657" s="257" t="s">
        <v>10613</v>
      </c>
    </row>
    <row r="4658" customHeight="1" spans="4:7">
      <c r="D4658" s="256">
        <v>48046</v>
      </c>
      <c r="E4658" s="257" t="s">
        <v>10588</v>
      </c>
      <c r="F4658" s="257" t="s">
        <v>10614</v>
      </c>
      <c r="G4658" s="257" t="s">
        <v>10615</v>
      </c>
    </row>
    <row r="4659" customHeight="1" spans="4:7">
      <c r="D4659" s="256">
        <v>100006</v>
      </c>
      <c r="E4659" s="257" t="s">
        <v>10616</v>
      </c>
      <c r="F4659" s="257" t="s">
        <v>10617</v>
      </c>
      <c r="G4659" s="257" t="s">
        <v>10618</v>
      </c>
    </row>
    <row r="4660" customHeight="1" spans="4:7">
      <c r="D4660" s="256">
        <v>100006</v>
      </c>
      <c r="E4660" s="257" t="s">
        <v>10616</v>
      </c>
      <c r="F4660" s="257" t="s">
        <v>10619</v>
      </c>
      <c r="G4660" s="257" t="s">
        <v>7286</v>
      </c>
    </row>
    <row r="4661" customHeight="1" spans="4:7">
      <c r="D4661" s="256">
        <v>100006</v>
      </c>
      <c r="E4661" s="257" t="s">
        <v>10616</v>
      </c>
      <c r="F4661" s="257" t="s">
        <v>10620</v>
      </c>
      <c r="G4661" s="257" t="s">
        <v>10621</v>
      </c>
    </row>
    <row r="4662" customHeight="1" spans="4:7">
      <c r="D4662" s="256">
        <v>100006</v>
      </c>
      <c r="E4662" s="257" t="s">
        <v>10616</v>
      </c>
      <c r="F4662" s="257" t="s">
        <v>10622</v>
      </c>
      <c r="G4662" s="257" t="s">
        <v>10623</v>
      </c>
    </row>
    <row r="4663" customHeight="1" spans="4:7">
      <c r="D4663" s="256">
        <v>50037</v>
      </c>
      <c r="E4663" s="257" t="s">
        <v>10624</v>
      </c>
      <c r="F4663" s="257" t="s">
        <v>10625</v>
      </c>
      <c r="G4663" s="257" t="s">
        <v>10626</v>
      </c>
    </row>
    <row r="4664" customHeight="1" spans="4:7">
      <c r="D4664" s="256">
        <v>50037</v>
      </c>
      <c r="E4664" s="257" t="s">
        <v>10624</v>
      </c>
      <c r="F4664" s="257" t="s">
        <v>10627</v>
      </c>
      <c r="G4664" s="257" t="s">
        <v>10628</v>
      </c>
    </row>
    <row r="4665" customHeight="1" spans="4:7">
      <c r="D4665" s="256">
        <v>50037</v>
      </c>
      <c r="E4665" s="257" t="s">
        <v>10624</v>
      </c>
      <c r="F4665" s="257" t="s">
        <v>10629</v>
      </c>
      <c r="G4665" s="257" t="s">
        <v>10630</v>
      </c>
    </row>
    <row r="4666" customHeight="1" spans="4:7">
      <c r="D4666" s="256">
        <v>50037</v>
      </c>
      <c r="E4666" s="257" t="s">
        <v>10624</v>
      </c>
      <c r="F4666" s="257" t="s">
        <v>10631</v>
      </c>
      <c r="G4666" s="257" t="s">
        <v>10632</v>
      </c>
    </row>
    <row r="4667" customHeight="1" spans="4:7">
      <c r="D4667" s="256">
        <v>50037</v>
      </c>
      <c r="E4667" s="257" t="s">
        <v>10624</v>
      </c>
      <c r="F4667" s="257" t="s">
        <v>10633</v>
      </c>
      <c r="G4667" s="257" t="s">
        <v>8704</v>
      </c>
    </row>
    <row r="4668" customHeight="1" spans="4:7">
      <c r="D4668" s="256">
        <v>50037</v>
      </c>
      <c r="E4668" s="257" t="s">
        <v>10624</v>
      </c>
      <c r="F4668" s="257" t="s">
        <v>10634</v>
      </c>
      <c r="G4668" s="257" t="s">
        <v>10635</v>
      </c>
    </row>
    <row r="4669" customHeight="1" spans="4:7">
      <c r="D4669" s="256">
        <v>50037</v>
      </c>
      <c r="E4669" s="257" t="s">
        <v>10624</v>
      </c>
      <c r="F4669" s="257" t="s">
        <v>10636</v>
      </c>
      <c r="G4669" s="257" t="s">
        <v>10637</v>
      </c>
    </row>
    <row r="4670" customHeight="1" spans="4:7">
      <c r="D4670" s="256">
        <v>50037</v>
      </c>
      <c r="E4670" s="257" t="s">
        <v>10624</v>
      </c>
      <c r="F4670" s="257" t="s">
        <v>10638</v>
      </c>
      <c r="G4670" s="257" t="s">
        <v>10639</v>
      </c>
    </row>
    <row r="4671" customHeight="1" spans="4:7">
      <c r="D4671" s="256">
        <v>50037</v>
      </c>
      <c r="E4671" s="257" t="s">
        <v>10624</v>
      </c>
      <c r="F4671" s="257" t="s">
        <v>10640</v>
      </c>
      <c r="G4671" s="257" t="s">
        <v>10641</v>
      </c>
    </row>
    <row r="4672" customHeight="1" spans="4:7">
      <c r="D4672" s="256">
        <v>50037</v>
      </c>
      <c r="E4672" s="257" t="s">
        <v>10624</v>
      </c>
      <c r="F4672" s="257" t="s">
        <v>10642</v>
      </c>
      <c r="G4672" s="257" t="s">
        <v>10643</v>
      </c>
    </row>
    <row r="4673" customHeight="1" spans="4:7">
      <c r="D4673" s="256">
        <v>50037</v>
      </c>
      <c r="E4673" s="257" t="s">
        <v>10624</v>
      </c>
      <c r="F4673" s="257" t="s">
        <v>10644</v>
      </c>
      <c r="G4673" s="257" t="s">
        <v>10645</v>
      </c>
    </row>
    <row r="4674" customHeight="1" spans="4:7">
      <c r="D4674" s="256">
        <v>46032</v>
      </c>
      <c r="E4674" s="257" t="s">
        <v>10646</v>
      </c>
      <c r="F4674" s="257" t="s">
        <v>10647</v>
      </c>
      <c r="G4674" s="257" t="s">
        <v>10648</v>
      </c>
    </row>
    <row r="4675" customHeight="1" spans="4:7">
      <c r="D4675" s="256">
        <v>46032</v>
      </c>
      <c r="E4675" s="257" t="s">
        <v>10646</v>
      </c>
      <c r="F4675" s="257" t="s">
        <v>10649</v>
      </c>
      <c r="G4675" s="257" t="s">
        <v>10650</v>
      </c>
    </row>
    <row r="4676" customHeight="1" spans="4:7">
      <c r="D4676" s="256">
        <v>46032</v>
      </c>
      <c r="E4676" s="257" t="s">
        <v>10646</v>
      </c>
      <c r="F4676" s="257" t="s">
        <v>10651</v>
      </c>
      <c r="G4676" s="257" t="s">
        <v>10652</v>
      </c>
    </row>
    <row r="4677" customHeight="1" spans="4:7">
      <c r="D4677" s="256">
        <v>46032</v>
      </c>
      <c r="E4677" s="257" t="s">
        <v>10646</v>
      </c>
      <c r="F4677" s="257" t="s">
        <v>10653</v>
      </c>
      <c r="G4677" s="257" t="s">
        <v>10654</v>
      </c>
    </row>
    <row r="4678" customHeight="1" spans="4:7">
      <c r="D4678" s="256">
        <v>46032</v>
      </c>
      <c r="E4678" s="257" t="s">
        <v>10646</v>
      </c>
      <c r="F4678" s="257" t="s">
        <v>10655</v>
      </c>
      <c r="G4678" s="257" t="s">
        <v>10656</v>
      </c>
    </row>
    <row r="4679" customHeight="1" spans="4:7">
      <c r="D4679" s="256">
        <v>46032</v>
      </c>
      <c r="E4679" s="257" t="s">
        <v>10646</v>
      </c>
      <c r="F4679" s="257" t="s">
        <v>10657</v>
      </c>
      <c r="G4679" s="257" t="s">
        <v>10658</v>
      </c>
    </row>
    <row r="4680" customHeight="1" spans="4:7">
      <c r="D4680" s="256">
        <v>100007</v>
      </c>
      <c r="E4680" s="257" t="s">
        <v>10659</v>
      </c>
      <c r="F4680" s="257" t="s">
        <v>10660</v>
      </c>
      <c r="G4680" s="257" t="s">
        <v>10661</v>
      </c>
    </row>
    <row r="4681" customHeight="1" spans="4:7">
      <c r="D4681" s="256">
        <v>100007</v>
      </c>
      <c r="E4681" s="257" t="s">
        <v>10659</v>
      </c>
      <c r="F4681" s="257" t="s">
        <v>10662</v>
      </c>
      <c r="G4681" s="257" t="s">
        <v>10663</v>
      </c>
    </row>
    <row r="4682" customHeight="1" spans="4:7">
      <c r="D4682" s="256">
        <v>100007</v>
      </c>
      <c r="E4682" s="257" t="s">
        <v>10659</v>
      </c>
      <c r="F4682" s="257" t="s">
        <v>10664</v>
      </c>
      <c r="G4682" s="257" t="s">
        <v>10665</v>
      </c>
    </row>
    <row r="4683" customHeight="1" spans="4:7">
      <c r="D4683" s="256">
        <v>100007</v>
      </c>
      <c r="E4683" s="257" t="s">
        <v>10659</v>
      </c>
      <c r="F4683" s="257" t="s">
        <v>10666</v>
      </c>
      <c r="G4683" s="257" t="s">
        <v>10667</v>
      </c>
    </row>
    <row r="4684" customHeight="1" spans="4:7">
      <c r="D4684" s="256">
        <v>100007</v>
      </c>
      <c r="E4684" s="257" t="s">
        <v>10659</v>
      </c>
      <c r="F4684" s="257" t="s">
        <v>10668</v>
      </c>
      <c r="G4684" s="257" t="s">
        <v>4936</v>
      </c>
    </row>
    <row r="4685" customHeight="1" spans="4:7">
      <c r="D4685" s="256">
        <v>100007</v>
      </c>
      <c r="E4685" s="257" t="s">
        <v>10659</v>
      </c>
      <c r="F4685" s="257" t="s">
        <v>10669</v>
      </c>
      <c r="G4685" s="257" t="s">
        <v>10670</v>
      </c>
    </row>
    <row r="4686" customHeight="1" spans="4:7">
      <c r="D4686" s="256">
        <v>100007</v>
      </c>
      <c r="E4686" s="257" t="s">
        <v>10659</v>
      </c>
      <c r="F4686" s="257" t="s">
        <v>10671</v>
      </c>
      <c r="G4686" s="257" t="s">
        <v>10672</v>
      </c>
    </row>
    <row r="4687" customHeight="1" spans="4:7">
      <c r="D4687" s="256">
        <v>100007</v>
      </c>
      <c r="E4687" s="257" t="s">
        <v>10659</v>
      </c>
      <c r="F4687" s="257" t="s">
        <v>10673</v>
      </c>
      <c r="G4687" s="257" t="s">
        <v>10674</v>
      </c>
    </row>
    <row r="4688" customHeight="1" spans="4:7">
      <c r="D4688" s="256">
        <v>100007</v>
      </c>
      <c r="E4688" s="257" t="s">
        <v>10659</v>
      </c>
      <c r="F4688" s="257" t="s">
        <v>10675</v>
      </c>
      <c r="G4688" s="257" t="s">
        <v>10676</v>
      </c>
    </row>
    <row r="4689" customHeight="1" spans="4:7">
      <c r="D4689" s="256">
        <v>46033</v>
      </c>
      <c r="E4689" s="257" t="s">
        <v>10677</v>
      </c>
      <c r="F4689" s="257" t="s">
        <v>10678</v>
      </c>
      <c r="G4689" s="257" t="s">
        <v>10679</v>
      </c>
    </row>
    <row r="4690" customHeight="1" spans="4:7">
      <c r="D4690" s="256">
        <v>46033</v>
      </c>
      <c r="E4690" s="257" t="s">
        <v>10677</v>
      </c>
      <c r="F4690" s="257" t="s">
        <v>10680</v>
      </c>
      <c r="G4690" s="257" t="s">
        <v>10681</v>
      </c>
    </row>
    <row r="4691" customHeight="1" spans="4:7">
      <c r="D4691" s="256">
        <v>46033</v>
      </c>
      <c r="E4691" s="257" t="s">
        <v>10677</v>
      </c>
      <c r="F4691" s="257" t="s">
        <v>10682</v>
      </c>
      <c r="G4691" s="257" t="s">
        <v>10683</v>
      </c>
    </row>
    <row r="4692" customHeight="1" spans="4:7">
      <c r="D4692" s="256">
        <v>46033</v>
      </c>
      <c r="E4692" s="257" t="s">
        <v>10677</v>
      </c>
      <c r="F4692" s="257" t="s">
        <v>10684</v>
      </c>
      <c r="G4692" s="257" t="s">
        <v>10685</v>
      </c>
    </row>
    <row r="4693" customHeight="1" spans="4:7">
      <c r="D4693" s="256">
        <v>46033</v>
      </c>
      <c r="E4693" s="257" t="s">
        <v>10677</v>
      </c>
      <c r="F4693" s="257" t="s">
        <v>10686</v>
      </c>
      <c r="G4693" s="257" t="s">
        <v>10687</v>
      </c>
    </row>
    <row r="4694" customHeight="1" spans="4:7">
      <c r="D4694" s="256">
        <v>46033</v>
      </c>
      <c r="E4694" s="257" t="s">
        <v>10677</v>
      </c>
      <c r="F4694" s="257" t="s">
        <v>10688</v>
      </c>
      <c r="G4694" s="257" t="s">
        <v>10689</v>
      </c>
    </row>
    <row r="4695" customHeight="1" spans="4:7">
      <c r="D4695" s="256">
        <v>46033</v>
      </c>
      <c r="E4695" s="257" t="s">
        <v>10677</v>
      </c>
      <c r="F4695" s="257" t="s">
        <v>10690</v>
      </c>
      <c r="G4695" s="257" t="s">
        <v>10691</v>
      </c>
    </row>
    <row r="4696" customHeight="1" spans="4:7">
      <c r="D4696" s="256">
        <v>46033</v>
      </c>
      <c r="E4696" s="257" t="s">
        <v>10677</v>
      </c>
      <c r="F4696" s="257" t="s">
        <v>10692</v>
      </c>
      <c r="G4696" s="257" t="s">
        <v>10693</v>
      </c>
    </row>
    <row r="4697" customHeight="1" spans="4:7">
      <c r="D4697" s="256">
        <v>46033</v>
      </c>
      <c r="E4697" s="257" t="s">
        <v>10677</v>
      </c>
      <c r="F4697" s="257" t="s">
        <v>10694</v>
      </c>
      <c r="G4697" s="257" t="s">
        <v>10695</v>
      </c>
    </row>
    <row r="4698" customHeight="1" spans="4:7">
      <c r="D4698" s="256">
        <v>46033</v>
      </c>
      <c r="E4698" s="257" t="s">
        <v>10677</v>
      </c>
      <c r="F4698" s="257" t="s">
        <v>10696</v>
      </c>
      <c r="G4698" s="257" t="s">
        <v>10697</v>
      </c>
    </row>
    <row r="4699" customHeight="1" spans="4:7">
      <c r="D4699" s="256">
        <v>46033</v>
      </c>
      <c r="E4699" s="257" t="s">
        <v>10677</v>
      </c>
      <c r="F4699" s="257" t="s">
        <v>10698</v>
      </c>
      <c r="G4699" s="257" t="s">
        <v>10699</v>
      </c>
    </row>
    <row r="4700" customHeight="1" spans="4:7">
      <c r="D4700" s="256">
        <v>46033</v>
      </c>
      <c r="E4700" s="257" t="s">
        <v>10677</v>
      </c>
      <c r="F4700" s="257" t="s">
        <v>10700</v>
      </c>
      <c r="G4700" s="257" t="s">
        <v>10701</v>
      </c>
    </row>
    <row r="4701" customHeight="1" spans="4:7">
      <c r="D4701" s="256">
        <v>46033</v>
      </c>
      <c r="E4701" s="257" t="s">
        <v>10677</v>
      </c>
      <c r="F4701" s="257" t="s">
        <v>10702</v>
      </c>
      <c r="G4701" s="257" t="s">
        <v>10703</v>
      </c>
    </row>
    <row r="4702" customHeight="1" spans="4:7">
      <c r="D4702" s="256">
        <v>46033</v>
      </c>
      <c r="E4702" s="257" t="s">
        <v>10677</v>
      </c>
      <c r="F4702" s="257" t="s">
        <v>10704</v>
      </c>
      <c r="G4702" s="257" t="s">
        <v>10705</v>
      </c>
    </row>
    <row r="4703" customHeight="1" spans="4:7">
      <c r="D4703" s="256">
        <v>46033</v>
      </c>
      <c r="E4703" s="257" t="s">
        <v>10677</v>
      </c>
      <c r="F4703" s="257" t="s">
        <v>10706</v>
      </c>
      <c r="G4703" s="257" t="s">
        <v>10707</v>
      </c>
    </row>
    <row r="4704" customHeight="1" spans="4:7">
      <c r="D4704" s="256">
        <v>46033</v>
      </c>
      <c r="E4704" s="257" t="s">
        <v>10677</v>
      </c>
      <c r="F4704" s="257" t="s">
        <v>10708</v>
      </c>
      <c r="G4704" s="257" t="s">
        <v>10709</v>
      </c>
    </row>
    <row r="4705" customHeight="1" spans="4:7">
      <c r="D4705" s="256">
        <v>46033</v>
      </c>
      <c r="E4705" s="257" t="s">
        <v>10677</v>
      </c>
      <c r="F4705" s="257" t="s">
        <v>10710</v>
      </c>
      <c r="G4705" s="257" t="s">
        <v>10711</v>
      </c>
    </row>
    <row r="4706" customHeight="1" spans="4:7">
      <c r="D4706" s="256">
        <v>46033</v>
      </c>
      <c r="E4706" s="257" t="s">
        <v>10677</v>
      </c>
      <c r="F4706" s="257" t="s">
        <v>10712</v>
      </c>
      <c r="G4706" s="257" t="s">
        <v>10713</v>
      </c>
    </row>
    <row r="4707" customHeight="1" spans="4:7">
      <c r="D4707" s="256">
        <v>46033</v>
      </c>
      <c r="E4707" s="257" t="s">
        <v>10677</v>
      </c>
      <c r="F4707" s="257" t="s">
        <v>10714</v>
      </c>
      <c r="G4707" s="257" t="s">
        <v>10715</v>
      </c>
    </row>
    <row r="4708" customHeight="1" spans="4:7">
      <c r="D4708" s="256">
        <v>46033</v>
      </c>
      <c r="E4708" s="257" t="s">
        <v>10677</v>
      </c>
      <c r="F4708" s="257" t="s">
        <v>10716</v>
      </c>
      <c r="G4708" s="257" t="s">
        <v>10717</v>
      </c>
    </row>
    <row r="4709" customHeight="1" spans="4:7">
      <c r="D4709" s="256">
        <v>46033</v>
      </c>
      <c r="E4709" s="257" t="s">
        <v>10677</v>
      </c>
      <c r="F4709" s="257" t="s">
        <v>10718</v>
      </c>
      <c r="G4709" s="257" t="s">
        <v>10719</v>
      </c>
    </row>
    <row r="4710" customHeight="1" spans="4:7">
      <c r="D4710" s="256">
        <v>48049</v>
      </c>
      <c r="E4710" s="257" t="s">
        <v>10720</v>
      </c>
      <c r="F4710" s="257" t="s">
        <v>10721</v>
      </c>
      <c r="G4710" s="257" t="s">
        <v>2544</v>
      </c>
    </row>
    <row r="4711" customHeight="1" spans="4:7">
      <c r="D4711" s="256">
        <v>48049</v>
      </c>
      <c r="E4711" s="257" t="s">
        <v>10720</v>
      </c>
      <c r="F4711" s="257" t="s">
        <v>10722</v>
      </c>
      <c r="G4711" s="257" t="s">
        <v>10723</v>
      </c>
    </row>
    <row r="4712" customHeight="1" spans="4:7">
      <c r="D4712" s="256">
        <v>48049</v>
      </c>
      <c r="E4712" s="257" t="s">
        <v>10720</v>
      </c>
      <c r="F4712" s="257" t="s">
        <v>10724</v>
      </c>
      <c r="G4712" s="257" t="s">
        <v>2409</v>
      </c>
    </row>
    <row r="4713" customHeight="1" spans="4:7">
      <c r="D4713" s="256">
        <v>48049</v>
      </c>
      <c r="E4713" s="257" t="s">
        <v>10720</v>
      </c>
      <c r="F4713" s="257" t="s">
        <v>10725</v>
      </c>
      <c r="G4713" s="257" t="s">
        <v>5658</v>
      </c>
    </row>
    <row r="4714" customHeight="1" spans="4:7">
      <c r="D4714" s="256">
        <v>48049</v>
      </c>
      <c r="E4714" s="257" t="s">
        <v>10720</v>
      </c>
      <c r="F4714" s="257" t="s">
        <v>10726</v>
      </c>
      <c r="G4714" s="257" t="s">
        <v>10727</v>
      </c>
    </row>
    <row r="4715" customHeight="1" spans="4:7">
      <c r="D4715" s="256">
        <v>48049</v>
      </c>
      <c r="E4715" s="257" t="s">
        <v>10720</v>
      </c>
      <c r="F4715" s="257" t="s">
        <v>10728</v>
      </c>
      <c r="G4715" s="257" t="s">
        <v>10729</v>
      </c>
    </row>
    <row r="4716" customHeight="1" spans="4:7">
      <c r="D4716" s="256">
        <v>48049</v>
      </c>
      <c r="E4716" s="257" t="s">
        <v>10720</v>
      </c>
      <c r="F4716" s="257" t="s">
        <v>10730</v>
      </c>
      <c r="G4716" s="257" t="s">
        <v>10731</v>
      </c>
    </row>
    <row r="4717" customHeight="1" spans="4:7">
      <c r="D4717" s="256">
        <v>48049</v>
      </c>
      <c r="E4717" s="257" t="s">
        <v>10720</v>
      </c>
      <c r="F4717" s="257" t="s">
        <v>10732</v>
      </c>
      <c r="G4717" s="257" t="s">
        <v>10733</v>
      </c>
    </row>
    <row r="4718" customHeight="1" spans="4:7">
      <c r="D4718" s="256">
        <v>48049</v>
      </c>
      <c r="E4718" s="257" t="s">
        <v>10720</v>
      </c>
      <c r="F4718" s="257" t="s">
        <v>10734</v>
      </c>
      <c r="G4718" s="257" t="s">
        <v>10735</v>
      </c>
    </row>
    <row r="4719" customHeight="1" spans="4:7">
      <c r="D4719" s="256">
        <v>48049</v>
      </c>
      <c r="E4719" s="257" t="s">
        <v>10720</v>
      </c>
      <c r="F4719" s="257" t="s">
        <v>10736</v>
      </c>
      <c r="G4719" s="257" t="s">
        <v>10737</v>
      </c>
    </row>
    <row r="4720" customHeight="1" spans="4:7">
      <c r="D4720" s="256">
        <v>48049</v>
      </c>
      <c r="E4720" s="257" t="s">
        <v>10720</v>
      </c>
      <c r="F4720" s="257" t="s">
        <v>10738</v>
      </c>
      <c r="G4720" s="257" t="s">
        <v>10739</v>
      </c>
    </row>
    <row r="4721" customHeight="1" spans="4:7">
      <c r="D4721" s="256">
        <v>48049</v>
      </c>
      <c r="E4721" s="257" t="s">
        <v>10720</v>
      </c>
      <c r="F4721" s="257" t="s">
        <v>10740</v>
      </c>
      <c r="G4721" s="257" t="s">
        <v>10741</v>
      </c>
    </row>
    <row r="4722" customHeight="1" spans="4:7">
      <c r="D4722" s="256">
        <v>48049</v>
      </c>
      <c r="E4722" s="257" t="s">
        <v>10720</v>
      </c>
      <c r="F4722" s="257" t="s">
        <v>10742</v>
      </c>
      <c r="G4722" s="257" t="s">
        <v>10743</v>
      </c>
    </row>
    <row r="4723" customHeight="1" spans="4:7">
      <c r="D4723" s="256">
        <v>48049</v>
      </c>
      <c r="E4723" s="257" t="s">
        <v>10720</v>
      </c>
      <c r="F4723" s="257" t="s">
        <v>10744</v>
      </c>
      <c r="G4723" s="257" t="s">
        <v>3627</v>
      </c>
    </row>
    <row r="4724" customHeight="1" spans="4:7">
      <c r="D4724" s="256">
        <v>48049</v>
      </c>
      <c r="E4724" s="257" t="s">
        <v>10720</v>
      </c>
      <c r="F4724" s="257" t="s">
        <v>10745</v>
      </c>
      <c r="G4724" s="257" t="s">
        <v>2599</v>
      </c>
    </row>
    <row r="4725" customHeight="1" spans="4:7">
      <c r="D4725" s="256">
        <v>48049</v>
      </c>
      <c r="E4725" s="257" t="s">
        <v>10720</v>
      </c>
      <c r="F4725" s="257" t="s">
        <v>10746</v>
      </c>
      <c r="G4725" s="257" t="s">
        <v>10747</v>
      </c>
    </row>
    <row r="4726" customHeight="1" spans="4:7">
      <c r="D4726" s="256">
        <v>48049</v>
      </c>
      <c r="E4726" s="257" t="s">
        <v>10720</v>
      </c>
      <c r="F4726" s="257" t="s">
        <v>10748</v>
      </c>
      <c r="G4726" s="257" t="s">
        <v>10749</v>
      </c>
    </row>
    <row r="4727" customHeight="1" spans="4:7">
      <c r="D4727" s="256">
        <v>48049</v>
      </c>
      <c r="E4727" s="257" t="s">
        <v>10720</v>
      </c>
      <c r="F4727" s="257" t="s">
        <v>10750</v>
      </c>
      <c r="G4727" s="257" t="s">
        <v>10751</v>
      </c>
    </row>
    <row r="4728" customHeight="1" spans="4:7">
      <c r="D4728" s="256">
        <v>48049</v>
      </c>
      <c r="E4728" s="257" t="s">
        <v>10720</v>
      </c>
      <c r="F4728" s="257" t="s">
        <v>10752</v>
      </c>
      <c r="G4728" s="257" t="s">
        <v>10753</v>
      </c>
    </row>
    <row r="4729" customHeight="1" spans="4:7">
      <c r="D4729" s="256">
        <v>48049</v>
      </c>
      <c r="E4729" s="257" t="s">
        <v>10720</v>
      </c>
      <c r="F4729" s="257" t="s">
        <v>10754</v>
      </c>
      <c r="G4729" s="257" t="s">
        <v>10755</v>
      </c>
    </row>
    <row r="4730" customHeight="1" spans="4:7">
      <c r="D4730" s="256">
        <v>48049</v>
      </c>
      <c r="E4730" s="257" t="s">
        <v>10720</v>
      </c>
      <c r="F4730" s="257" t="s">
        <v>10756</v>
      </c>
      <c r="G4730" s="257" t="s">
        <v>3042</v>
      </c>
    </row>
    <row r="4731" customHeight="1" spans="4:7">
      <c r="D4731" s="256">
        <v>48049</v>
      </c>
      <c r="E4731" s="257" t="s">
        <v>10720</v>
      </c>
      <c r="F4731" s="257" t="s">
        <v>10757</v>
      </c>
      <c r="G4731" s="257" t="s">
        <v>10758</v>
      </c>
    </row>
    <row r="4732" customHeight="1" spans="4:7">
      <c r="D4732" s="256">
        <v>48049</v>
      </c>
      <c r="E4732" s="257" t="s">
        <v>10720</v>
      </c>
      <c r="F4732" s="257" t="s">
        <v>10759</v>
      </c>
      <c r="G4732" s="257" t="s">
        <v>6166</v>
      </c>
    </row>
    <row r="4733" customHeight="1" spans="4:7">
      <c r="D4733" s="256">
        <v>48049</v>
      </c>
      <c r="E4733" s="257" t="s">
        <v>10720</v>
      </c>
      <c r="F4733" s="257" t="s">
        <v>10760</v>
      </c>
      <c r="G4733" s="257" t="s">
        <v>10761</v>
      </c>
    </row>
    <row r="4734" customHeight="1" spans="4:7">
      <c r="D4734" s="256">
        <v>50038</v>
      </c>
      <c r="E4734" s="257" t="s">
        <v>10762</v>
      </c>
      <c r="F4734" s="257" t="s">
        <v>10763</v>
      </c>
      <c r="G4734" s="257" t="s">
        <v>10764</v>
      </c>
    </row>
    <row r="4735" customHeight="1" spans="4:7">
      <c r="D4735" s="256">
        <v>50038</v>
      </c>
      <c r="E4735" s="257" t="s">
        <v>10762</v>
      </c>
      <c r="F4735" s="257" t="s">
        <v>10765</v>
      </c>
      <c r="G4735" s="257" t="s">
        <v>10766</v>
      </c>
    </row>
    <row r="4736" customHeight="1" spans="4:7">
      <c r="D4736" s="256">
        <v>50038</v>
      </c>
      <c r="E4736" s="257" t="s">
        <v>10762</v>
      </c>
      <c r="F4736" s="257" t="s">
        <v>10767</v>
      </c>
      <c r="G4736" s="257" t="s">
        <v>10768</v>
      </c>
    </row>
    <row r="4737" customHeight="1" spans="4:7">
      <c r="D4737" s="256">
        <v>50038</v>
      </c>
      <c r="E4737" s="257" t="s">
        <v>10762</v>
      </c>
      <c r="F4737" s="257" t="s">
        <v>10769</v>
      </c>
      <c r="G4737" s="257" t="s">
        <v>2409</v>
      </c>
    </row>
    <row r="4738" customHeight="1" spans="4:7">
      <c r="D4738" s="256">
        <v>50038</v>
      </c>
      <c r="E4738" s="257" t="s">
        <v>10762</v>
      </c>
      <c r="F4738" s="257" t="s">
        <v>10770</v>
      </c>
      <c r="G4738" s="257" t="s">
        <v>2409</v>
      </c>
    </row>
    <row r="4739" customHeight="1" spans="4:7">
      <c r="D4739" s="256">
        <v>50038</v>
      </c>
      <c r="E4739" s="257" t="s">
        <v>10762</v>
      </c>
      <c r="F4739" s="257" t="s">
        <v>10771</v>
      </c>
      <c r="G4739" s="257" t="s">
        <v>10772</v>
      </c>
    </row>
    <row r="4740" customHeight="1" spans="4:7">
      <c r="D4740" s="256">
        <v>50038</v>
      </c>
      <c r="E4740" s="257" t="s">
        <v>10762</v>
      </c>
      <c r="F4740" s="257" t="s">
        <v>10773</v>
      </c>
      <c r="G4740" s="257" t="s">
        <v>10774</v>
      </c>
    </row>
    <row r="4741" customHeight="1" spans="4:7">
      <c r="D4741" s="256">
        <v>50038</v>
      </c>
      <c r="E4741" s="257" t="s">
        <v>10762</v>
      </c>
      <c r="F4741" s="257" t="s">
        <v>10775</v>
      </c>
      <c r="G4741" s="257" t="s">
        <v>10376</v>
      </c>
    </row>
    <row r="4742" customHeight="1" spans="4:7">
      <c r="D4742" s="256">
        <v>50038</v>
      </c>
      <c r="E4742" s="257" t="s">
        <v>10762</v>
      </c>
      <c r="F4742" s="257" t="s">
        <v>10776</v>
      </c>
      <c r="G4742" s="257" t="s">
        <v>10777</v>
      </c>
    </row>
    <row r="4743" customHeight="1" spans="4:7">
      <c r="D4743" s="256">
        <v>50038</v>
      </c>
      <c r="E4743" s="257" t="s">
        <v>10762</v>
      </c>
      <c r="F4743" s="257" t="s">
        <v>10778</v>
      </c>
      <c r="G4743" s="257" t="s">
        <v>10779</v>
      </c>
    </row>
    <row r="4744" customHeight="1" spans="4:7">
      <c r="D4744" s="256">
        <v>50038</v>
      </c>
      <c r="E4744" s="257" t="s">
        <v>10762</v>
      </c>
      <c r="F4744" s="257" t="s">
        <v>10780</v>
      </c>
      <c r="G4744" s="257" t="s">
        <v>10781</v>
      </c>
    </row>
    <row r="4745" customHeight="1" spans="4:7">
      <c r="D4745" s="256">
        <v>50038</v>
      </c>
      <c r="E4745" s="257" t="s">
        <v>10762</v>
      </c>
      <c r="F4745" s="257" t="s">
        <v>10782</v>
      </c>
      <c r="G4745" s="257" t="s">
        <v>10783</v>
      </c>
    </row>
    <row r="4746" customHeight="1" spans="4:7">
      <c r="D4746" s="256">
        <v>50038</v>
      </c>
      <c r="E4746" s="257" t="s">
        <v>10762</v>
      </c>
      <c r="F4746" s="257" t="s">
        <v>10784</v>
      </c>
      <c r="G4746" s="257" t="s">
        <v>10785</v>
      </c>
    </row>
    <row r="4747" customHeight="1" spans="4:7">
      <c r="D4747" s="256">
        <v>46034</v>
      </c>
      <c r="E4747" s="257" t="s">
        <v>10786</v>
      </c>
      <c r="F4747" s="257" t="s">
        <v>10787</v>
      </c>
      <c r="G4747" s="257" t="s">
        <v>10788</v>
      </c>
    </row>
    <row r="4748" customHeight="1" spans="4:7">
      <c r="D4748" s="256">
        <v>46034</v>
      </c>
      <c r="E4748" s="257" t="s">
        <v>10786</v>
      </c>
      <c r="F4748" s="257" t="s">
        <v>10789</v>
      </c>
      <c r="G4748" s="257" t="s">
        <v>10790</v>
      </c>
    </row>
    <row r="4749" customHeight="1" spans="4:7">
      <c r="D4749" s="256">
        <v>46034</v>
      </c>
      <c r="E4749" s="257" t="s">
        <v>10786</v>
      </c>
      <c r="F4749" s="257" t="s">
        <v>10791</v>
      </c>
      <c r="G4749" s="257" t="s">
        <v>10792</v>
      </c>
    </row>
    <row r="4750" customHeight="1" spans="4:7">
      <c r="D4750" s="256">
        <v>46034</v>
      </c>
      <c r="E4750" s="257" t="s">
        <v>10786</v>
      </c>
      <c r="F4750" s="257" t="s">
        <v>10793</v>
      </c>
      <c r="G4750" s="257" t="s">
        <v>10794</v>
      </c>
    </row>
    <row r="4751" customHeight="1" spans="4:7">
      <c r="D4751" s="256">
        <v>46034</v>
      </c>
      <c r="E4751" s="257" t="s">
        <v>10786</v>
      </c>
      <c r="F4751" s="257" t="s">
        <v>10795</v>
      </c>
      <c r="G4751" s="257" t="s">
        <v>10796</v>
      </c>
    </row>
    <row r="4752" customHeight="1" spans="4:7">
      <c r="D4752" s="256">
        <v>46034</v>
      </c>
      <c r="E4752" s="257" t="s">
        <v>10786</v>
      </c>
      <c r="F4752" s="257" t="s">
        <v>10797</v>
      </c>
      <c r="G4752" s="257" t="s">
        <v>10798</v>
      </c>
    </row>
    <row r="4753" customHeight="1" spans="4:7">
      <c r="D4753" s="256">
        <v>46034</v>
      </c>
      <c r="E4753" s="257" t="s">
        <v>10786</v>
      </c>
      <c r="F4753" s="257" t="s">
        <v>10799</v>
      </c>
      <c r="G4753" s="257" t="s">
        <v>7586</v>
      </c>
    </row>
    <row r="4754" customHeight="1" spans="4:7">
      <c r="D4754" s="256">
        <v>46034</v>
      </c>
      <c r="E4754" s="257" t="s">
        <v>10786</v>
      </c>
      <c r="F4754" s="257" t="s">
        <v>10800</v>
      </c>
      <c r="G4754" s="257" t="s">
        <v>10801</v>
      </c>
    </row>
    <row r="4755" customHeight="1" spans="4:7">
      <c r="D4755" s="256">
        <v>46034</v>
      </c>
      <c r="E4755" s="257" t="s">
        <v>10786</v>
      </c>
      <c r="F4755" s="257" t="s">
        <v>10802</v>
      </c>
      <c r="G4755" s="257" t="s">
        <v>10803</v>
      </c>
    </row>
    <row r="4756" customHeight="1" spans="4:7">
      <c r="D4756" s="256">
        <v>46034</v>
      </c>
      <c r="E4756" s="257" t="s">
        <v>10786</v>
      </c>
      <c r="F4756" s="257" t="s">
        <v>10804</v>
      </c>
      <c r="G4756" s="257" t="s">
        <v>6510</v>
      </c>
    </row>
    <row r="4757" customHeight="1" spans="4:7">
      <c r="D4757" s="256">
        <v>46034</v>
      </c>
      <c r="E4757" s="257" t="s">
        <v>10786</v>
      </c>
      <c r="F4757" s="257" t="s">
        <v>10805</v>
      </c>
      <c r="G4757" s="257" t="s">
        <v>10806</v>
      </c>
    </row>
    <row r="4758" customHeight="1" spans="4:7">
      <c r="D4758" s="256">
        <v>46034</v>
      </c>
      <c r="E4758" s="257" t="s">
        <v>10786</v>
      </c>
      <c r="F4758" s="257" t="s">
        <v>10807</v>
      </c>
      <c r="G4758" s="257" t="s">
        <v>10808</v>
      </c>
    </row>
    <row r="4759" customHeight="1" spans="4:7">
      <c r="D4759" s="256">
        <v>46034</v>
      </c>
      <c r="E4759" s="257" t="s">
        <v>10786</v>
      </c>
      <c r="F4759" s="257" t="s">
        <v>10809</v>
      </c>
      <c r="G4759" s="257" t="s">
        <v>10810</v>
      </c>
    </row>
    <row r="4760" customHeight="1" spans="4:7">
      <c r="D4760" s="256">
        <v>46034</v>
      </c>
      <c r="E4760" s="257" t="s">
        <v>10786</v>
      </c>
      <c r="F4760" s="257" t="s">
        <v>10811</v>
      </c>
      <c r="G4760" s="257" t="s">
        <v>10812</v>
      </c>
    </row>
    <row r="4761" customHeight="1" spans="4:7">
      <c r="D4761" s="256">
        <v>46034</v>
      </c>
      <c r="E4761" s="257" t="s">
        <v>10786</v>
      </c>
      <c r="F4761" s="257" t="s">
        <v>10813</v>
      </c>
      <c r="G4761" s="257" t="s">
        <v>10814</v>
      </c>
    </row>
    <row r="4762" customHeight="1" spans="4:7">
      <c r="D4762" s="256">
        <v>46034</v>
      </c>
      <c r="E4762" s="257" t="s">
        <v>10786</v>
      </c>
      <c r="F4762" s="257" t="s">
        <v>10815</v>
      </c>
      <c r="G4762" s="257" t="s">
        <v>10816</v>
      </c>
    </row>
    <row r="4763" customHeight="1" spans="4:7">
      <c r="D4763" s="256">
        <v>46035</v>
      </c>
      <c r="E4763" s="257" t="s">
        <v>10817</v>
      </c>
      <c r="F4763" s="257" t="s">
        <v>10818</v>
      </c>
      <c r="G4763" s="257" t="s">
        <v>10819</v>
      </c>
    </row>
    <row r="4764" customHeight="1" spans="4:7">
      <c r="D4764" s="256">
        <v>46035</v>
      </c>
      <c r="E4764" s="257" t="s">
        <v>10817</v>
      </c>
      <c r="F4764" s="257" t="s">
        <v>10820</v>
      </c>
      <c r="G4764" s="257" t="s">
        <v>10821</v>
      </c>
    </row>
    <row r="4765" customHeight="1" spans="4:7">
      <c r="D4765" s="256">
        <v>46035</v>
      </c>
      <c r="E4765" s="257" t="s">
        <v>10817</v>
      </c>
      <c r="F4765" s="257" t="s">
        <v>10822</v>
      </c>
      <c r="G4765" s="257" t="s">
        <v>10823</v>
      </c>
    </row>
    <row r="4766" customHeight="1" spans="4:7">
      <c r="D4766" s="256">
        <v>46035</v>
      </c>
      <c r="E4766" s="257" t="s">
        <v>10817</v>
      </c>
      <c r="F4766" s="257" t="s">
        <v>10824</v>
      </c>
      <c r="G4766" s="257" t="s">
        <v>10825</v>
      </c>
    </row>
    <row r="4767" customHeight="1" spans="4:7">
      <c r="D4767" s="256">
        <v>46035</v>
      </c>
      <c r="E4767" s="257" t="s">
        <v>10817</v>
      </c>
      <c r="F4767" s="257" t="s">
        <v>10826</v>
      </c>
      <c r="G4767" s="257" t="s">
        <v>10827</v>
      </c>
    </row>
    <row r="4768" customHeight="1" spans="4:7">
      <c r="D4768" s="256">
        <v>46035</v>
      </c>
      <c r="E4768" s="257" t="s">
        <v>10817</v>
      </c>
      <c r="F4768" s="257" t="s">
        <v>10828</v>
      </c>
      <c r="G4768" s="257" t="s">
        <v>10829</v>
      </c>
    </row>
    <row r="4769" customHeight="1" spans="4:7">
      <c r="D4769" s="256">
        <v>46035</v>
      </c>
      <c r="E4769" s="257" t="s">
        <v>10817</v>
      </c>
      <c r="F4769" s="257" t="s">
        <v>10830</v>
      </c>
      <c r="G4769" s="257" t="s">
        <v>10831</v>
      </c>
    </row>
    <row r="4770" customHeight="1" spans="4:7">
      <c r="D4770" s="256">
        <v>46035</v>
      </c>
      <c r="E4770" s="257" t="s">
        <v>10817</v>
      </c>
      <c r="F4770" s="257" t="s">
        <v>10832</v>
      </c>
      <c r="G4770" s="257" t="s">
        <v>10833</v>
      </c>
    </row>
    <row r="4771" customHeight="1" spans="4:7">
      <c r="D4771" s="256">
        <v>46035</v>
      </c>
      <c r="E4771" s="257" t="s">
        <v>10817</v>
      </c>
      <c r="F4771" s="257" t="s">
        <v>10834</v>
      </c>
      <c r="G4771" s="257" t="s">
        <v>7170</v>
      </c>
    </row>
    <row r="4772" customHeight="1" spans="4:7">
      <c r="D4772" s="256">
        <v>46035</v>
      </c>
      <c r="E4772" s="257" t="s">
        <v>10817</v>
      </c>
      <c r="F4772" s="257" t="s">
        <v>10835</v>
      </c>
      <c r="G4772" s="257" t="s">
        <v>10836</v>
      </c>
    </row>
    <row r="4773" customHeight="1" spans="4:7">
      <c r="D4773" s="256">
        <v>46035</v>
      </c>
      <c r="E4773" s="257" t="s">
        <v>10817</v>
      </c>
      <c r="F4773" s="257" t="s">
        <v>10837</v>
      </c>
      <c r="G4773" s="257" t="s">
        <v>4076</v>
      </c>
    </row>
    <row r="4774" customHeight="1" spans="4:7">
      <c r="D4774" s="256">
        <v>46035</v>
      </c>
      <c r="E4774" s="257" t="s">
        <v>10817</v>
      </c>
      <c r="F4774" s="257" t="s">
        <v>10838</v>
      </c>
      <c r="G4774" s="257" t="s">
        <v>10839</v>
      </c>
    </row>
    <row r="4775" customHeight="1" spans="4:7">
      <c r="D4775" s="256">
        <v>46035</v>
      </c>
      <c r="E4775" s="257" t="s">
        <v>10817</v>
      </c>
      <c r="F4775" s="257" t="s">
        <v>10840</v>
      </c>
      <c r="G4775" s="257" t="s">
        <v>10841</v>
      </c>
    </row>
    <row r="4776" customHeight="1" spans="4:7">
      <c r="D4776" s="256">
        <v>46035</v>
      </c>
      <c r="E4776" s="257" t="s">
        <v>10817</v>
      </c>
      <c r="F4776" s="257" t="s">
        <v>10842</v>
      </c>
      <c r="G4776" s="257" t="s">
        <v>10843</v>
      </c>
    </row>
    <row r="4777" customHeight="1" spans="4:7">
      <c r="D4777" s="256">
        <v>46035</v>
      </c>
      <c r="E4777" s="257" t="s">
        <v>10817</v>
      </c>
      <c r="F4777" s="257" t="s">
        <v>10844</v>
      </c>
      <c r="G4777" s="257" t="s">
        <v>10845</v>
      </c>
    </row>
    <row r="4778" customHeight="1" spans="4:7">
      <c r="D4778" s="256">
        <v>46035</v>
      </c>
      <c r="E4778" s="257" t="s">
        <v>10817</v>
      </c>
      <c r="F4778" s="257" t="s">
        <v>10846</v>
      </c>
      <c r="G4778" s="257" t="s">
        <v>10847</v>
      </c>
    </row>
    <row r="4779" customHeight="1" spans="4:7">
      <c r="D4779" s="256">
        <v>45016</v>
      </c>
      <c r="E4779" s="257" t="s">
        <v>10848</v>
      </c>
      <c r="F4779" s="257" t="s">
        <v>10849</v>
      </c>
      <c r="G4779" s="257" t="s">
        <v>10850</v>
      </c>
    </row>
    <row r="4780" customHeight="1" spans="4:7">
      <c r="D4780" s="256">
        <v>45016</v>
      </c>
      <c r="E4780" s="257" t="s">
        <v>10848</v>
      </c>
      <c r="F4780" s="257" t="s">
        <v>10851</v>
      </c>
      <c r="G4780" s="257" t="s">
        <v>3317</v>
      </c>
    </row>
    <row r="4781" customHeight="1" spans="4:7">
      <c r="D4781" s="256">
        <v>45016</v>
      </c>
      <c r="E4781" s="257" t="s">
        <v>10848</v>
      </c>
      <c r="F4781" s="257" t="s">
        <v>10852</v>
      </c>
      <c r="G4781" s="257" t="s">
        <v>10853</v>
      </c>
    </row>
    <row r="4782" customHeight="1" spans="4:7">
      <c r="D4782" s="256">
        <v>45016</v>
      </c>
      <c r="E4782" s="257" t="s">
        <v>10848</v>
      </c>
      <c r="F4782" s="257" t="s">
        <v>10854</v>
      </c>
      <c r="G4782" s="257" t="s">
        <v>10855</v>
      </c>
    </row>
    <row r="4783" customHeight="1" spans="4:7">
      <c r="D4783" s="256">
        <v>45016</v>
      </c>
      <c r="E4783" s="257" t="s">
        <v>10848</v>
      </c>
      <c r="F4783" s="257" t="s">
        <v>10856</v>
      </c>
      <c r="G4783" s="257" t="s">
        <v>10498</v>
      </c>
    </row>
    <row r="4784" customHeight="1" spans="4:7">
      <c r="D4784" s="256">
        <v>45016</v>
      </c>
      <c r="E4784" s="257" t="s">
        <v>10848</v>
      </c>
      <c r="F4784" s="257" t="s">
        <v>10857</v>
      </c>
      <c r="G4784" s="257" t="s">
        <v>10858</v>
      </c>
    </row>
    <row r="4785" customHeight="1" spans="4:7">
      <c r="D4785" s="256">
        <v>45016</v>
      </c>
      <c r="E4785" s="257" t="s">
        <v>10848</v>
      </c>
      <c r="F4785" s="257" t="s">
        <v>10859</v>
      </c>
      <c r="G4785" s="257" t="s">
        <v>10860</v>
      </c>
    </row>
    <row r="4786" customHeight="1" spans="4:7">
      <c r="D4786" s="256">
        <v>45016</v>
      </c>
      <c r="E4786" s="257" t="s">
        <v>10848</v>
      </c>
      <c r="F4786" s="257" t="s">
        <v>10861</v>
      </c>
      <c r="G4786" s="257" t="s">
        <v>3444</v>
      </c>
    </row>
    <row r="4787" customHeight="1" spans="4:7">
      <c r="D4787" s="256">
        <v>45016</v>
      </c>
      <c r="E4787" s="257" t="s">
        <v>10848</v>
      </c>
      <c r="F4787" s="257" t="s">
        <v>10862</v>
      </c>
      <c r="G4787" s="257" t="s">
        <v>10863</v>
      </c>
    </row>
    <row r="4788" customHeight="1" spans="4:7">
      <c r="D4788" s="256">
        <v>45016</v>
      </c>
      <c r="E4788" s="257" t="s">
        <v>10848</v>
      </c>
      <c r="F4788" s="257" t="s">
        <v>10864</v>
      </c>
      <c r="G4788" s="257" t="s">
        <v>10865</v>
      </c>
    </row>
    <row r="4789" customHeight="1" spans="4:7">
      <c r="D4789" s="256">
        <v>45016</v>
      </c>
      <c r="E4789" s="257" t="s">
        <v>10848</v>
      </c>
      <c r="F4789" s="257" t="s">
        <v>10866</v>
      </c>
      <c r="G4789" s="257" t="s">
        <v>10867</v>
      </c>
    </row>
    <row r="4790" customHeight="1" spans="4:7">
      <c r="D4790" s="256">
        <v>45016</v>
      </c>
      <c r="E4790" s="257" t="s">
        <v>10848</v>
      </c>
      <c r="F4790" s="257" t="s">
        <v>10868</v>
      </c>
      <c r="G4790" s="257" t="s">
        <v>10869</v>
      </c>
    </row>
    <row r="4791" customHeight="1" spans="4:7">
      <c r="D4791" s="256">
        <v>45016</v>
      </c>
      <c r="E4791" s="257" t="s">
        <v>10848</v>
      </c>
      <c r="F4791" s="257" t="s">
        <v>10870</v>
      </c>
      <c r="G4791" s="257" t="s">
        <v>10871</v>
      </c>
    </row>
    <row r="4792" customHeight="1" spans="4:7">
      <c r="D4792" s="256">
        <v>45016</v>
      </c>
      <c r="E4792" s="257" t="s">
        <v>10848</v>
      </c>
      <c r="F4792" s="257" t="s">
        <v>10872</v>
      </c>
      <c r="G4792" s="257" t="s">
        <v>10873</v>
      </c>
    </row>
    <row r="4793" customHeight="1" spans="4:7">
      <c r="D4793" s="256">
        <v>45016</v>
      </c>
      <c r="E4793" s="257" t="s">
        <v>10848</v>
      </c>
      <c r="F4793" s="257" t="s">
        <v>10874</v>
      </c>
      <c r="G4793" s="257" t="s">
        <v>10875</v>
      </c>
    </row>
    <row r="4794" customHeight="1" spans="4:7">
      <c r="D4794" s="256">
        <v>45016</v>
      </c>
      <c r="E4794" s="257" t="s">
        <v>10848</v>
      </c>
      <c r="F4794" s="257" t="s">
        <v>10876</v>
      </c>
      <c r="G4794" s="257" t="s">
        <v>2700</v>
      </c>
    </row>
    <row r="4795" customHeight="1" spans="4:7">
      <c r="D4795" s="256">
        <v>45016</v>
      </c>
      <c r="E4795" s="257" t="s">
        <v>10848</v>
      </c>
      <c r="F4795" s="257" t="s">
        <v>10877</v>
      </c>
      <c r="G4795" s="257" t="s">
        <v>10878</v>
      </c>
    </row>
    <row r="4796" customHeight="1" spans="4:7">
      <c r="D4796" s="256">
        <v>45016</v>
      </c>
      <c r="E4796" s="257" t="s">
        <v>10848</v>
      </c>
      <c r="F4796" s="257" t="s">
        <v>10879</v>
      </c>
      <c r="G4796" s="257" t="s">
        <v>10880</v>
      </c>
    </row>
    <row r="4797" customHeight="1" spans="4:7">
      <c r="D4797" s="256">
        <v>45016</v>
      </c>
      <c r="E4797" s="257" t="s">
        <v>10848</v>
      </c>
      <c r="F4797" s="257" t="s">
        <v>10881</v>
      </c>
      <c r="G4797" s="257" t="s">
        <v>10882</v>
      </c>
    </row>
    <row r="4798" customHeight="1" spans="4:7">
      <c r="D4798" s="256">
        <v>45016</v>
      </c>
      <c r="E4798" s="257" t="s">
        <v>10848</v>
      </c>
      <c r="F4798" s="257" t="s">
        <v>10883</v>
      </c>
      <c r="G4798" s="257" t="s">
        <v>10884</v>
      </c>
    </row>
    <row r="4799" customHeight="1" spans="4:7">
      <c r="D4799" s="256">
        <v>48050</v>
      </c>
      <c r="E4799" s="257" t="s">
        <v>10885</v>
      </c>
      <c r="F4799" s="257" t="s">
        <v>10886</v>
      </c>
      <c r="G4799" s="257" t="s">
        <v>10887</v>
      </c>
    </row>
    <row r="4800" customHeight="1" spans="4:7">
      <c r="D4800" s="256">
        <v>48050</v>
      </c>
      <c r="E4800" s="257" t="s">
        <v>10885</v>
      </c>
      <c r="F4800" s="257" t="s">
        <v>10888</v>
      </c>
      <c r="G4800" s="257" t="s">
        <v>10889</v>
      </c>
    </row>
    <row r="4801" customHeight="1" spans="4:7">
      <c r="D4801" s="256">
        <v>48050</v>
      </c>
      <c r="E4801" s="257" t="s">
        <v>10885</v>
      </c>
      <c r="F4801" s="257" t="s">
        <v>10890</v>
      </c>
      <c r="G4801" s="257" t="s">
        <v>10891</v>
      </c>
    </row>
    <row r="4802" customHeight="1" spans="4:7">
      <c r="D4802" s="256">
        <v>48050</v>
      </c>
      <c r="E4802" s="257" t="s">
        <v>10885</v>
      </c>
      <c r="F4802" s="257" t="s">
        <v>10892</v>
      </c>
      <c r="G4802" s="257" t="s">
        <v>10893</v>
      </c>
    </row>
    <row r="4803" customHeight="1" spans="4:7">
      <c r="D4803" s="256">
        <v>48050</v>
      </c>
      <c r="E4803" s="257" t="s">
        <v>10885</v>
      </c>
      <c r="F4803" s="257" t="s">
        <v>10894</v>
      </c>
      <c r="G4803" s="257" t="s">
        <v>4358</v>
      </c>
    </row>
    <row r="4804" customHeight="1" spans="4:7">
      <c r="D4804" s="256">
        <v>48050</v>
      </c>
      <c r="E4804" s="257" t="s">
        <v>10885</v>
      </c>
      <c r="F4804" s="257" t="s">
        <v>10895</v>
      </c>
      <c r="G4804" s="257" t="s">
        <v>10896</v>
      </c>
    </row>
    <row r="4805" customHeight="1" spans="4:7">
      <c r="D4805" s="256">
        <v>48050</v>
      </c>
      <c r="E4805" s="257" t="s">
        <v>10885</v>
      </c>
      <c r="F4805" s="257" t="s">
        <v>10897</v>
      </c>
      <c r="G4805" s="257" t="s">
        <v>10898</v>
      </c>
    </row>
    <row r="4806" customHeight="1" spans="4:7">
      <c r="D4806" s="256">
        <v>48050</v>
      </c>
      <c r="E4806" s="257" t="s">
        <v>10885</v>
      </c>
      <c r="F4806" s="257" t="s">
        <v>10899</v>
      </c>
      <c r="G4806" s="257" t="s">
        <v>10900</v>
      </c>
    </row>
    <row r="4807" customHeight="1" spans="4:7">
      <c r="D4807" s="256">
        <v>48050</v>
      </c>
      <c r="E4807" s="257" t="s">
        <v>10885</v>
      </c>
      <c r="F4807" s="257" t="s">
        <v>10901</v>
      </c>
      <c r="G4807" s="257" t="s">
        <v>10902</v>
      </c>
    </row>
    <row r="4808" customHeight="1" spans="4:7">
      <c r="D4808" s="256">
        <v>48050</v>
      </c>
      <c r="E4808" s="257" t="s">
        <v>10885</v>
      </c>
      <c r="F4808" s="257" t="s">
        <v>10903</v>
      </c>
      <c r="G4808" s="257" t="s">
        <v>10904</v>
      </c>
    </row>
    <row r="4809" customHeight="1" spans="4:7">
      <c r="D4809" s="256">
        <v>48050</v>
      </c>
      <c r="E4809" s="257" t="s">
        <v>10885</v>
      </c>
      <c r="F4809" s="257" t="s">
        <v>10905</v>
      </c>
      <c r="G4809" s="257" t="s">
        <v>9012</v>
      </c>
    </row>
    <row r="4810" customHeight="1" spans="4:7">
      <c r="D4810" s="256">
        <v>48050</v>
      </c>
      <c r="E4810" s="257" t="s">
        <v>10885</v>
      </c>
      <c r="F4810" s="257" t="s">
        <v>10906</v>
      </c>
      <c r="G4810" s="257" t="s">
        <v>10907</v>
      </c>
    </row>
    <row r="4811" customHeight="1" spans="4:7">
      <c r="D4811" s="256">
        <v>48050</v>
      </c>
      <c r="E4811" s="257" t="s">
        <v>10885</v>
      </c>
      <c r="F4811" s="257" t="s">
        <v>10908</v>
      </c>
      <c r="G4811" s="257" t="s">
        <v>3034</v>
      </c>
    </row>
    <row r="4812" customHeight="1" spans="4:7">
      <c r="D4812" s="256">
        <v>48050</v>
      </c>
      <c r="E4812" s="257" t="s">
        <v>10885</v>
      </c>
      <c r="F4812" s="257" t="s">
        <v>10909</v>
      </c>
      <c r="G4812" s="257" t="s">
        <v>10910</v>
      </c>
    </row>
    <row r="4813" customHeight="1" spans="4:7">
      <c r="D4813" s="256">
        <v>48050</v>
      </c>
      <c r="E4813" s="257" t="s">
        <v>10885</v>
      </c>
      <c r="F4813" s="257" t="s">
        <v>10911</v>
      </c>
      <c r="G4813" s="257" t="s">
        <v>10912</v>
      </c>
    </row>
    <row r="4814" customHeight="1" spans="4:7">
      <c r="D4814" s="256">
        <v>48050</v>
      </c>
      <c r="E4814" s="257" t="s">
        <v>10885</v>
      </c>
      <c r="F4814" s="257" t="s">
        <v>10913</v>
      </c>
      <c r="G4814" s="257" t="s">
        <v>10914</v>
      </c>
    </row>
    <row r="4815" customHeight="1" spans="4:7">
      <c r="D4815" s="256">
        <v>48050</v>
      </c>
      <c r="E4815" s="257" t="s">
        <v>10885</v>
      </c>
      <c r="F4815" s="257" t="s">
        <v>10915</v>
      </c>
      <c r="G4815" s="257" t="s">
        <v>3266</v>
      </c>
    </row>
    <row r="4816" customHeight="1" spans="4:7">
      <c r="D4816" s="256">
        <v>48050</v>
      </c>
      <c r="E4816" s="257" t="s">
        <v>10885</v>
      </c>
      <c r="F4816" s="257" t="s">
        <v>10916</v>
      </c>
      <c r="G4816" s="257" t="s">
        <v>10917</v>
      </c>
    </row>
    <row r="4817" customHeight="1" spans="4:7">
      <c r="D4817" s="256">
        <v>48050</v>
      </c>
      <c r="E4817" s="257" t="s">
        <v>10885</v>
      </c>
      <c r="F4817" s="257" t="s">
        <v>10918</v>
      </c>
      <c r="G4817" s="257" t="s">
        <v>10919</v>
      </c>
    </row>
    <row r="4818" customHeight="1" spans="4:7">
      <c r="D4818" s="256">
        <v>48050</v>
      </c>
      <c r="E4818" s="257" t="s">
        <v>10885</v>
      </c>
      <c r="F4818" s="257" t="s">
        <v>10920</v>
      </c>
      <c r="G4818" s="257" t="s">
        <v>5920</v>
      </c>
    </row>
    <row r="4819" customHeight="1" spans="4:7">
      <c r="D4819" s="256">
        <v>48050</v>
      </c>
      <c r="E4819" s="257" t="s">
        <v>10885</v>
      </c>
      <c r="F4819" s="257" t="s">
        <v>10921</v>
      </c>
      <c r="G4819" s="257" t="s">
        <v>10922</v>
      </c>
    </row>
    <row r="4820" customHeight="1" spans="4:7">
      <c r="D4820" s="256">
        <v>48050</v>
      </c>
      <c r="E4820" s="257" t="s">
        <v>10885</v>
      </c>
      <c r="F4820" s="257" t="s">
        <v>10923</v>
      </c>
      <c r="G4820" s="257" t="s">
        <v>10924</v>
      </c>
    </row>
    <row r="4821" customHeight="1" spans="4:7">
      <c r="D4821" s="256">
        <v>48050</v>
      </c>
      <c r="E4821" s="257" t="s">
        <v>10885</v>
      </c>
      <c r="F4821" s="257" t="s">
        <v>10925</v>
      </c>
      <c r="G4821" s="257" t="s">
        <v>10926</v>
      </c>
    </row>
    <row r="4822" customHeight="1" spans="4:7">
      <c r="D4822" s="256">
        <v>48050</v>
      </c>
      <c r="E4822" s="257" t="s">
        <v>10885</v>
      </c>
      <c r="F4822" s="257" t="s">
        <v>10927</v>
      </c>
      <c r="G4822" s="257" t="s">
        <v>10928</v>
      </c>
    </row>
    <row r="4823" customHeight="1" spans="4:7">
      <c r="D4823" s="256">
        <v>48050</v>
      </c>
      <c r="E4823" s="257" t="s">
        <v>10885</v>
      </c>
      <c r="F4823" s="257" t="s">
        <v>10929</v>
      </c>
      <c r="G4823" s="257" t="s">
        <v>10930</v>
      </c>
    </row>
    <row r="4824" customHeight="1" spans="4:7">
      <c r="D4824" s="256">
        <v>48050</v>
      </c>
      <c r="E4824" s="257" t="s">
        <v>10885</v>
      </c>
      <c r="F4824" s="257" t="s">
        <v>10931</v>
      </c>
      <c r="G4824" s="257" t="s">
        <v>10015</v>
      </c>
    </row>
    <row r="4825" customHeight="1" spans="4:7">
      <c r="D4825" s="256">
        <v>48050</v>
      </c>
      <c r="E4825" s="257" t="s">
        <v>10885</v>
      </c>
      <c r="F4825" s="257" t="s">
        <v>10932</v>
      </c>
      <c r="G4825" s="257" t="s">
        <v>10933</v>
      </c>
    </row>
    <row r="4826" customHeight="1" spans="4:7">
      <c r="D4826" s="256">
        <v>48050</v>
      </c>
      <c r="E4826" s="257" t="s">
        <v>10885</v>
      </c>
      <c r="F4826" s="257" t="s">
        <v>10934</v>
      </c>
      <c r="G4826" s="257" t="s">
        <v>10935</v>
      </c>
    </row>
    <row r="4827" customHeight="1" spans="4:7">
      <c r="D4827" s="256">
        <v>48050</v>
      </c>
      <c r="E4827" s="257" t="s">
        <v>10885</v>
      </c>
      <c r="F4827" s="257" t="s">
        <v>10936</v>
      </c>
      <c r="G4827" s="257" t="s">
        <v>10937</v>
      </c>
    </row>
    <row r="4828" customHeight="1" spans="4:7">
      <c r="D4828" s="256">
        <v>48050</v>
      </c>
      <c r="E4828" s="257" t="s">
        <v>10885</v>
      </c>
      <c r="F4828" s="257" t="s">
        <v>10938</v>
      </c>
      <c r="G4828" s="257" t="s">
        <v>10939</v>
      </c>
    </row>
    <row r="4829" customHeight="1" spans="4:7">
      <c r="D4829" s="256">
        <v>48050</v>
      </c>
      <c r="E4829" s="257" t="s">
        <v>10885</v>
      </c>
      <c r="F4829" s="257" t="s">
        <v>10940</v>
      </c>
      <c r="G4829" s="257" t="s">
        <v>10941</v>
      </c>
    </row>
    <row r="4830" customHeight="1" spans="4:7">
      <c r="D4830" s="256">
        <v>48050</v>
      </c>
      <c r="E4830" s="257" t="s">
        <v>10885</v>
      </c>
      <c r="F4830" s="257" t="s">
        <v>10942</v>
      </c>
      <c r="G4830" s="257" t="s">
        <v>10943</v>
      </c>
    </row>
    <row r="4831" customHeight="1" spans="4:7">
      <c r="D4831" s="256">
        <v>50039</v>
      </c>
      <c r="E4831" s="257" t="s">
        <v>10944</v>
      </c>
      <c r="F4831" s="257" t="s">
        <v>10945</v>
      </c>
      <c r="G4831" s="257" t="s">
        <v>10946</v>
      </c>
    </row>
    <row r="4832" customHeight="1" spans="4:7">
      <c r="D4832" s="256">
        <v>50039</v>
      </c>
      <c r="E4832" s="257" t="s">
        <v>10944</v>
      </c>
      <c r="F4832" s="257" t="s">
        <v>10947</v>
      </c>
      <c r="G4832" s="257" t="s">
        <v>10948</v>
      </c>
    </row>
    <row r="4833" customHeight="1" spans="4:7">
      <c r="D4833" s="256">
        <v>50039</v>
      </c>
      <c r="E4833" s="257" t="s">
        <v>10944</v>
      </c>
      <c r="F4833" s="257" t="s">
        <v>10949</v>
      </c>
      <c r="G4833" s="257" t="s">
        <v>10950</v>
      </c>
    </row>
    <row r="4834" customHeight="1" spans="4:7">
      <c r="D4834" s="256">
        <v>50039</v>
      </c>
      <c r="E4834" s="257" t="s">
        <v>10944</v>
      </c>
      <c r="F4834" s="257" t="s">
        <v>10951</v>
      </c>
      <c r="G4834" s="257" t="s">
        <v>10952</v>
      </c>
    </row>
    <row r="4835" customHeight="1" spans="4:7">
      <c r="D4835" s="256">
        <v>50039</v>
      </c>
      <c r="E4835" s="257" t="s">
        <v>10944</v>
      </c>
      <c r="F4835" s="257" t="s">
        <v>10953</v>
      </c>
      <c r="G4835" s="257" t="s">
        <v>10954</v>
      </c>
    </row>
    <row r="4836" customHeight="1" spans="4:7">
      <c r="D4836" s="256">
        <v>50039</v>
      </c>
      <c r="E4836" s="257" t="s">
        <v>10944</v>
      </c>
      <c r="F4836" s="257" t="s">
        <v>10955</v>
      </c>
      <c r="G4836" s="257" t="s">
        <v>10956</v>
      </c>
    </row>
    <row r="4837" customHeight="1" spans="4:7">
      <c r="D4837" s="256">
        <v>50039</v>
      </c>
      <c r="E4837" s="257" t="s">
        <v>10944</v>
      </c>
      <c r="F4837" s="257" t="s">
        <v>10957</v>
      </c>
      <c r="G4837" s="257" t="s">
        <v>10958</v>
      </c>
    </row>
    <row r="4838" customHeight="1" spans="4:7">
      <c r="D4838" s="256">
        <v>50039</v>
      </c>
      <c r="E4838" s="257" t="s">
        <v>10944</v>
      </c>
      <c r="F4838" s="257" t="s">
        <v>10959</v>
      </c>
      <c r="G4838" s="257" t="s">
        <v>10960</v>
      </c>
    </row>
    <row r="4839" customHeight="1" spans="4:7">
      <c r="D4839" s="256">
        <v>50039</v>
      </c>
      <c r="E4839" s="257" t="s">
        <v>10944</v>
      </c>
      <c r="F4839" s="257" t="s">
        <v>10961</v>
      </c>
      <c r="G4839" s="257" t="s">
        <v>2188</v>
      </c>
    </row>
    <row r="4840" customHeight="1" spans="4:7">
      <c r="D4840" s="256">
        <v>50039</v>
      </c>
      <c r="E4840" s="257" t="s">
        <v>10944</v>
      </c>
      <c r="F4840" s="257" t="s">
        <v>10962</v>
      </c>
      <c r="G4840" s="257" t="s">
        <v>10963</v>
      </c>
    </row>
    <row r="4841" customHeight="1" spans="4:7">
      <c r="D4841" s="256">
        <v>45017</v>
      </c>
      <c r="E4841" s="257" t="s">
        <v>10964</v>
      </c>
      <c r="F4841" s="257" t="s">
        <v>10965</v>
      </c>
      <c r="G4841" s="257" t="s">
        <v>10966</v>
      </c>
    </row>
    <row r="4842" customHeight="1" spans="4:7">
      <c r="D4842" s="256">
        <v>45017</v>
      </c>
      <c r="E4842" s="257" t="s">
        <v>10964</v>
      </c>
      <c r="F4842" s="257" t="s">
        <v>10967</v>
      </c>
      <c r="G4842" s="257" t="s">
        <v>10968</v>
      </c>
    </row>
    <row r="4843" customHeight="1" spans="4:7">
      <c r="D4843" s="256">
        <v>45017</v>
      </c>
      <c r="E4843" s="257" t="s">
        <v>10964</v>
      </c>
      <c r="F4843" s="257" t="s">
        <v>10969</v>
      </c>
      <c r="G4843" s="257" t="s">
        <v>10970</v>
      </c>
    </row>
    <row r="4844" customHeight="1" spans="4:7">
      <c r="D4844" s="256">
        <v>45017</v>
      </c>
      <c r="E4844" s="257" t="s">
        <v>10964</v>
      </c>
      <c r="F4844" s="257" t="s">
        <v>10971</v>
      </c>
      <c r="G4844" s="257" t="s">
        <v>10972</v>
      </c>
    </row>
    <row r="4845" customHeight="1" spans="4:7">
      <c r="D4845" s="256">
        <v>45017</v>
      </c>
      <c r="E4845" s="257" t="s">
        <v>10964</v>
      </c>
      <c r="F4845" s="257" t="s">
        <v>10973</v>
      </c>
      <c r="G4845" s="257" t="s">
        <v>10974</v>
      </c>
    </row>
    <row r="4846" customHeight="1" spans="4:7">
      <c r="D4846" s="256">
        <v>45017</v>
      </c>
      <c r="E4846" s="257" t="s">
        <v>10964</v>
      </c>
      <c r="F4846" s="257" t="s">
        <v>10975</v>
      </c>
      <c r="G4846" s="257" t="s">
        <v>10976</v>
      </c>
    </row>
    <row r="4847" customHeight="1" spans="4:7">
      <c r="D4847" s="256">
        <v>45017</v>
      </c>
      <c r="E4847" s="257" t="s">
        <v>10964</v>
      </c>
      <c r="F4847" s="257" t="s">
        <v>10977</v>
      </c>
      <c r="G4847" s="257" t="s">
        <v>10978</v>
      </c>
    </row>
    <row r="4848" customHeight="1" spans="4:7">
      <c r="D4848" s="256">
        <v>45017</v>
      </c>
      <c r="E4848" s="257" t="s">
        <v>10964</v>
      </c>
      <c r="F4848" s="257" t="s">
        <v>10979</v>
      </c>
      <c r="G4848" s="257" t="s">
        <v>10980</v>
      </c>
    </row>
    <row r="4849" customHeight="1" spans="4:7">
      <c r="D4849" s="256">
        <v>45017</v>
      </c>
      <c r="E4849" s="257" t="s">
        <v>10964</v>
      </c>
      <c r="F4849" s="257" t="s">
        <v>10981</v>
      </c>
      <c r="G4849" s="257" t="s">
        <v>10982</v>
      </c>
    </row>
    <row r="4850" customHeight="1" spans="4:7">
      <c r="D4850" s="256">
        <v>45017</v>
      </c>
      <c r="E4850" s="257" t="s">
        <v>10964</v>
      </c>
      <c r="F4850" s="257" t="s">
        <v>10983</v>
      </c>
      <c r="G4850" s="257" t="s">
        <v>10984</v>
      </c>
    </row>
    <row r="4851" customHeight="1" spans="4:7">
      <c r="D4851" s="256">
        <v>45017</v>
      </c>
      <c r="E4851" s="257" t="s">
        <v>10964</v>
      </c>
      <c r="F4851" s="257" t="s">
        <v>10985</v>
      </c>
      <c r="G4851" s="257" t="s">
        <v>2488</v>
      </c>
    </row>
    <row r="4852" customHeight="1" spans="4:7">
      <c r="D4852" s="256">
        <v>45017</v>
      </c>
      <c r="E4852" s="257" t="s">
        <v>10964</v>
      </c>
      <c r="F4852" s="257" t="s">
        <v>10986</v>
      </c>
      <c r="G4852" s="257" t="s">
        <v>10987</v>
      </c>
    </row>
    <row r="4853" customHeight="1" spans="4:7">
      <c r="D4853" s="256">
        <v>45017</v>
      </c>
      <c r="E4853" s="257" t="s">
        <v>10964</v>
      </c>
      <c r="F4853" s="257" t="s">
        <v>10988</v>
      </c>
      <c r="G4853" s="257" t="s">
        <v>10989</v>
      </c>
    </row>
    <row r="4854" customHeight="1" spans="4:7">
      <c r="D4854" s="256">
        <v>45017</v>
      </c>
      <c r="E4854" s="257" t="s">
        <v>10964</v>
      </c>
      <c r="F4854" s="257" t="s">
        <v>10990</v>
      </c>
      <c r="G4854" s="257" t="s">
        <v>10991</v>
      </c>
    </row>
    <row r="4855" customHeight="1" spans="4:7">
      <c r="D4855" s="256">
        <v>45017</v>
      </c>
      <c r="E4855" s="257" t="s">
        <v>10964</v>
      </c>
      <c r="F4855" s="257" t="s">
        <v>10992</v>
      </c>
      <c r="G4855" s="257" t="s">
        <v>10993</v>
      </c>
    </row>
    <row r="4856" customHeight="1" spans="4:7">
      <c r="D4856" s="256">
        <v>45017</v>
      </c>
      <c r="E4856" s="257" t="s">
        <v>10964</v>
      </c>
      <c r="F4856" s="257" t="s">
        <v>10994</v>
      </c>
      <c r="G4856" s="257" t="s">
        <v>10995</v>
      </c>
    </row>
    <row r="4857" customHeight="1" spans="4:7">
      <c r="D4857" s="256">
        <v>45017</v>
      </c>
      <c r="E4857" s="257" t="s">
        <v>10964</v>
      </c>
      <c r="F4857" s="257" t="s">
        <v>10996</v>
      </c>
      <c r="G4857" s="257" t="s">
        <v>10997</v>
      </c>
    </row>
    <row r="4858" customHeight="1" spans="4:7">
      <c r="D4858" s="256">
        <v>45017</v>
      </c>
      <c r="E4858" s="257" t="s">
        <v>10964</v>
      </c>
      <c r="F4858" s="257" t="s">
        <v>10998</v>
      </c>
      <c r="G4858" s="257" t="s">
        <v>10999</v>
      </c>
    </row>
    <row r="4859" customHeight="1" spans="4:7">
      <c r="D4859" s="256">
        <v>45017</v>
      </c>
      <c r="E4859" s="257" t="s">
        <v>10964</v>
      </c>
      <c r="F4859" s="257" t="s">
        <v>11000</v>
      </c>
      <c r="G4859" s="257" t="s">
        <v>11001</v>
      </c>
    </row>
    <row r="4860" customHeight="1" spans="4:7">
      <c r="D4860" s="256">
        <v>45017</v>
      </c>
      <c r="E4860" s="257" t="s">
        <v>10964</v>
      </c>
      <c r="F4860" s="257" t="s">
        <v>11002</v>
      </c>
      <c r="G4860" s="257" t="s">
        <v>10376</v>
      </c>
    </row>
    <row r="4861" customHeight="1" spans="4:7">
      <c r="D4861" s="256">
        <v>45017</v>
      </c>
      <c r="E4861" s="257" t="s">
        <v>10964</v>
      </c>
      <c r="F4861" s="257" t="s">
        <v>11003</v>
      </c>
      <c r="G4861" s="257" t="s">
        <v>6084</v>
      </c>
    </row>
    <row r="4862" customHeight="1" spans="4:7">
      <c r="D4862" s="256">
        <v>45017</v>
      </c>
      <c r="E4862" s="257" t="s">
        <v>10964</v>
      </c>
      <c r="F4862" s="257" t="s">
        <v>11004</v>
      </c>
      <c r="G4862" s="257" t="s">
        <v>11005</v>
      </c>
    </row>
    <row r="4863" customHeight="1" spans="4:7">
      <c r="D4863" s="256">
        <v>45017</v>
      </c>
      <c r="E4863" s="257" t="s">
        <v>10964</v>
      </c>
      <c r="F4863" s="257" t="s">
        <v>11006</v>
      </c>
      <c r="G4863" s="257" t="s">
        <v>11007</v>
      </c>
    </row>
    <row r="4864" customHeight="1" spans="4:7">
      <c r="D4864" s="256">
        <v>45017</v>
      </c>
      <c r="E4864" s="257" t="s">
        <v>10964</v>
      </c>
      <c r="F4864" s="257" t="s">
        <v>11008</v>
      </c>
      <c r="G4864" s="257" t="s">
        <v>1497</v>
      </c>
    </row>
    <row r="4865" customHeight="1" spans="4:7">
      <c r="D4865" s="256">
        <v>45017</v>
      </c>
      <c r="E4865" s="257" t="s">
        <v>10964</v>
      </c>
      <c r="F4865" s="257" t="s">
        <v>11009</v>
      </c>
      <c r="G4865" s="257" t="s">
        <v>11010</v>
      </c>
    </row>
    <row r="4866" customHeight="1" spans="4:7">
      <c r="D4866" s="256">
        <v>45017</v>
      </c>
      <c r="E4866" s="257" t="s">
        <v>10964</v>
      </c>
      <c r="F4866" s="257" t="s">
        <v>11011</v>
      </c>
      <c r="G4866" s="257" t="s">
        <v>8581</v>
      </c>
    </row>
    <row r="4867" customHeight="1" spans="4:7">
      <c r="D4867" s="256">
        <v>45017</v>
      </c>
      <c r="E4867" s="257" t="s">
        <v>10964</v>
      </c>
      <c r="F4867" s="257" t="s">
        <v>11012</v>
      </c>
      <c r="G4867" s="257" t="s">
        <v>11013</v>
      </c>
    </row>
    <row r="4868" customHeight="1" spans="4:7">
      <c r="D4868" s="256">
        <v>45017</v>
      </c>
      <c r="E4868" s="257" t="s">
        <v>10964</v>
      </c>
      <c r="F4868" s="257" t="s">
        <v>11014</v>
      </c>
      <c r="G4868" s="257" t="s">
        <v>11015</v>
      </c>
    </row>
    <row r="4869" customHeight="1" spans="4:7">
      <c r="D4869" s="256">
        <v>50040</v>
      </c>
      <c r="E4869" s="230" t="s">
        <v>2196</v>
      </c>
      <c r="F4869" s="257" t="s">
        <v>11016</v>
      </c>
      <c r="G4869" s="257" t="s">
        <v>3360</v>
      </c>
    </row>
    <row r="4870" customHeight="1" spans="4:7">
      <c r="D4870" s="256">
        <v>50040</v>
      </c>
      <c r="E4870" s="230" t="s">
        <v>2196</v>
      </c>
      <c r="F4870" s="257" t="s">
        <v>11017</v>
      </c>
      <c r="G4870" s="257" t="s">
        <v>3364</v>
      </c>
    </row>
    <row r="4871" customHeight="1" spans="4:7">
      <c r="D4871" s="256">
        <v>50040</v>
      </c>
      <c r="E4871" s="230" t="s">
        <v>2196</v>
      </c>
      <c r="F4871" s="257" t="s">
        <v>11018</v>
      </c>
      <c r="G4871" s="257" t="s">
        <v>3366</v>
      </c>
    </row>
    <row r="4872" customHeight="1" spans="4:7">
      <c r="D4872" s="256">
        <v>50040</v>
      </c>
      <c r="E4872" s="230" t="s">
        <v>2196</v>
      </c>
      <c r="F4872" s="257" t="s">
        <v>11019</v>
      </c>
      <c r="G4872" s="257" t="s">
        <v>3374</v>
      </c>
    </row>
    <row r="4873" customHeight="1" spans="4:7">
      <c r="D4873" s="256">
        <v>50040</v>
      </c>
      <c r="E4873" s="230" t="s">
        <v>2196</v>
      </c>
      <c r="F4873" s="257" t="s">
        <v>11020</v>
      </c>
      <c r="G4873" s="257" t="s">
        <v>3380</v>
      </c>
    </row>
    <row r="4874" customHeight="1" spans="4:7">
      <c r="D4874" s="256">
        <v>50040</v>
      </c>
      <c r="E4874" s="230" t="s">
        <v>2196</v>
      </c>
      <c r="F4874" s="257" t="s">
        <v>11021</v>
      </c>
      <c r="G4874" s="257" t="s">
        <v>3378</v>
      </c>
    </row>
    <row r="4875" customHeight="1" spans="4:7">
      <c r="D4875" s="256">
        <v>50040</v>
      </c>
      <c r="E4875" s="230" t="s">
        <v>2196</v>
      </c>
      <c r="F4875" s="257" t="s">
        <v>11022</v>
      </c>
      <c r="G4875" s="257" t="s">
        <v>3370</v>
      </c>
    </row>
    <row r="4876" customHeight="1" spans="4:7">
      <c r="D4876" s="256">
        <v>50040</v>
      </c>
      <c r="E4876" s="230" t="s">
        <v>2196</v>
      </c>
      <c r="F4876" s="257" t="s">
        <v>11023</v>
      </c>
      <c r="G4876" s="257" t="s">
        <v>3372</v>
      </c>
    </row>
    <row r="4877" customHeight="1" spans="4:7">
      <c r="D4877" s="256">
        <v>50040</v>
      </c>
      <c r="E4877" s="230" t="s">
        <v>2196</v>
      </c>
      <c r="F4877" s="257" t="s">
        <v>11024</v>
      </c>
      <c r="G4877" s="257" t="s">
        <v>3376</v>
      </c>
    </row>
    <row r="4878" customHeight="1" spans="4:7">
      <c r="D4878" s="256">
        <v>50040</v>
      </c>
      <c r="E4878" s="230" t="s">
        <v>2196</v>
      </c>
      <c r="F4878" s="257" t="s">
        <v>11016</v>
      </c>
      <c r="G4878" s="257" t="s">
        <v>5962</v>
      </c>
    </row>
    <row r="4879" customHeight="1" spans="4:7">
      <c r="D4879" s="256">
        <v>50040</v>
      </c>
      <c r="E4879" s="230" t="s">
        <v>2196</v>
      </c>
      <c r="F4879" s="257" t="s">
        <v>11017</v>
      </c>
      <c r="G4879" s="257" t="s">
        <v>1991</v>
      </c>
    </row>
    <row r="4880" customHeight="1" spans="4:7">
      <c r="D4880" s="256">
        <v>50040</v>
      </c>
      <c r="E4880" s="230" t="s">
        <v>2196</v>
      </c>
      <c r="F4880" s="257" t="s">
        <v>11018</v>
      </c>
      <c r="G4880" s="257" t="s">
        <v>5975</v>
      </c>
    </row>
    <row r="4881" customHeight="1" spans="4:7">
      <c r="D4881" s="256">
        <v>50040</v>
      </c>
      <c r="E4881" s="230" t="s">
        <v>2196</v>
      </c>
      <c r="F4881" s="257" t="s">
        <v>11019</v>
      </c>
      <c r="G4881" s="257" t="s">
        <v>5977</v>
      </c>
    </row>
    <row r="4882" customHeight="1" spans="4:7">
      <c r="D4882" s="256">
        <v>50040</v>
      </c>
      <c r="E4882" s="230" t="s">
        <v>2196</v>
      </c>
      <c r="F4882" s="257" t="s">
        <v>11025</v>
      </c>
      <c r="G4882" s="257" t="s">
        <v>5979</v>
      </c>
    </row>
    <row r="4883" customHeight="1" spans="4:7">
      <c r="D4883" s="256">
        <v>50040</v>
      </c>
      <c r="E4883" s="230" t="s">
        <v>2196</v>
      </c>
      <c r="F4883" s="257" t="s">
        <v>11026</v>
      </c>
      <c r="G4883" s="257" t="s">
        <v>5981</v>
      </c>
    </row>
    <row r="4884" customHeight="1" spans="4:7">
      <c r="D4884" s="256">
        <v>50040</v>
      </c>
      <c r="E4884" s="230" t="s">
        <v>2196</v>
      </c>
      <c r="F4884" s="257" t="s">
        <v>11027</v>
      </c>
      <c r="G4884" s="257" t="s">
        <v>2477</v>
      </c>
    </row>
    <row r="4885" customHeight="1" spans="4:7">
      <c r="D4885" s="256">
        <v>50040</v>
      </c>
      <c r="E4885" s="230" t="s">
        <v>2196</v>
      </c>
      <c r="F4885" s="257" t="s">
        <v>11028</v>
      </c>
      <c r="G4885" s="257" t="s">
        <v>5991</v>
      </c>
    </row>
    <row r="4886" customHeight="1" spans="4:7">
      <c r="D4886" s="256">
        <v>50040</v>
      </c>
      <c r="E4886" s="230" t="s">
        <v>2196</v>
      </c>
      <c r="F4886" s="257" t="s">
        <v>11029</v>
      </c>
      <c r="G4886" s="257" t="s">
        <v>5993</v>
      </c>
    </row>
    <row r="4887" customHeight="1" spans="4:7">
      <c r="D4887" s="256">
        <v>50040</v>
      </c>
      <c r="E4887" s="230" t="s">
        <v>2196</v>
      </c>
      <c r="F4887" s="257" t="s">
        <v>11030</v>
      </c>
      <c r="G4887" s="257" t="s">
        <v>5960</v>
      </c>
    </row>
    <row r="4888" customHeight="1" spans="4:7">
      <c r="D4888" s="256">
        <v>50040</v>
      </c>
      <c r="E4888" s="230" t="s">
        <v>2196</v>
      </c>
      <c r="F4888" s="257" t="s">
        <v>11031</v>
      </c>
      <c r="G4888" s="257" t="s">
        <v>5969</v>
      </c>
    </row>
    <row r="4889" customHeight="1" spans="4:7">
      <c r="D4889" s="256">
        <v>50040</v>
      </c>
      <c r="E4889" s="230" t="s">
        <v>2196</v>
      </c>
      <c r="F4889" s="257" t="s">
        <v>11032</v>
      </c>
      <c r="G4889" s="257" t="s">
        <v>5971</v>
      </c>
    </row>
    <row r="4890" customHeight="1" spans="4:7">
      <c r="D4890" s="256">
        <v>50040</v>
      </c>
      <c r="E4890" s="230" t="s">
        <v>2196</v>
      </c>
      <c r="F4890" s="257" t="s">
        <v>11033</v>
      </c>
      <c r="G4890" s="257" t="s">
        <v>5973</v>
      </c>
    </row>
    <row r="4891" customHeight="1" spans="4:7">
      <c r="D4891" s="256">
        <v>50040</v>
      </c>
      <c r="E4891" s="230" t="s">
        <v>2196</v>
      </c>
      <c r="F4891" s="257" t="s">
        <v>11034</v>
      </c>
      <c r="G4891" s="257" t="s">
        <v>5983</v>
      </c>
    </row>
    <row r="4892" customHeight="1" spans="4:7">
      <c r="D4892" s="256">
        <v>50040</v>
      </c>
      <c r="E4892" s="230" t="s">
        <v>2196</v>
      </c>
      <c r="F4892" s="257" t="s">
        <v>11035</v>
      </c>
      <c r="G4892" s="257" t="s">
        <v>5985</v>
      </c>
    </row>
    <row r="4893" customHeight="1" spans="4:7">
      <c r="D4893" s="256">
        <v>50040</v>
      </c>
      <c r="E4893" s="230" t="s">
        <v>2196</v>
      </c>
      <c r="F4893" s="257" t="s">
        <v>11036</v>
      </c>
      <c r="G4893" s="257" t="s">
        <v>5987</v>
      </c>
    </row>
    <row r="4894" customHeight="1" spans="4:7">
      <c r="D4894" s="256">
        <v>50040</v>
      </c>
      <c r="E4894" s="230" t="s">
        <v>2196</v>
      </c>
      <c r="F4894" s="257" t="s">
        <v>11037</v>
      </c>
      <c r="G4894" s="257" t="s">
        <v>4170</v>
      </c>
    </row>
    <row r="4895" customHeight="1" spans="4:7">
      <c r="D4895" s="256">
        <v>50040</v>
      </c>
      <c r="E4895" s="230" t="s">
        <v>2196</v>
      </c>
      <c r="F4895" s="257" t="s">
        <v>11038</v>
      </c>
      <c r="G4895" s="257" t="s">
        <v>5966</v>
      </c>
    </row>
    <row r="4896" customHeight="1" spans="4:7">
      <c r="D4896" s="256">
        <v>50040</v>
      </c>
      <c r="E4896" s="230" t="s">
        <v>2196</v>
      </c>
      <c r="F4896" s="257" t="s">
        <v>11039</v>
      </c>
      <c r="G4896" s="257" t="s">
        <v>11040</v>
      </c>
    </row>
    <row r="4897" customHeight="1" spans="4:7">
      <c r="D4897" s="256">
        <v>50041</v>
      </c>
      <c r="E4897" s="230" t="s">
        <v>2199</v>
      </c>
      <c r="F4897" s="257" t="s">
        <v>11041</v>
      </c>
      <c r="G4897" s="257" t="s">
        <v>4796</v>
      </c>
    </row>
    <row r="4898" customHeight="1" spans="4:7">
      <c r="D4898" s="256">
        <v>50041</v>
      </c>
      <c r="E4898" s="230" t="s">
        <v>2199</v>
      </c>
      <c r="F4898" s="257" t="s">
        <v>11042</v>
      </c>
      <c r="G4898" s="257" t="s">
        <v>4798</v>
      </c>
    </row>
    <row r="4899" customHeight="1" spans="4:7">
      <c r="D4899" s="256">
        <v>50041</v>
      </c>
      <c r="E4899" s="230" t="s">
        <v>2199</v>
      </c>
      <c r="F4899" s="257" t="s">
        <v>11043</v>
      </c>
      <c r="G4899" s="257" t="s">
        <v>4800</v>
      </c>
    </row>
    <row r="4900" customHeight="1" spans="4:7">
      <c r="D4900" s="256">
        <v>50041</v>
      </c>
      <c r="E4900" s="230" t="s">
        <v>2199</v>
      </c>
      <c r="F4900" s="257" t="s">
        <v>11044</v>
      </c>
      <c r="G4900" s="257" t="s">
        <v>4811</v>
      </c>
    </row>
    <row r="4901" customHeight="1" spans="4:7">
      <c r="D4901" s="256">
        <v>50041</v>
      </c>
      <c r="E4901" s="230" t="s">
        <v>2199</v>
      </c>
      <c r="F4901" s="257" t="s">
        <v>11045</v>
      </c>
      <c r="G4901" s="257" t="s">
        <v>4815</v>
      </c>
    </row>
    <row r="4902" customHeight="1" spans="4:7">
      <c r="D4902" s="256">
        <v>50041</v>
      </c>
      <c r="E4902" s="230" t="s">
        <v>2199</v>
      </c>
      <c r="F4902" s="257" t="s">
        <v>11046</v>
      </c>
      <c r="G4902" s="257" t="s">
        <v>4792</v>
      </c>
    </row>
    <row r="4903" customHeight="1" spans="4:7">
      <c r="D4903" s="256">
        <v>50041</v>
      </c>
      <c r="E4903" s="230" t="s">
        <v>2199</v>
      </c>
      <c r="F4903" s="257" t="s">
        <v>11047</v>
      </c>
      <c r="G4903" s="257" t="s">
        <v>4802</v>
      </c>
    </row>
    <row r="4904" customHeight="1" spans="4:7">
      <c r="D4904" s="256">
        <v>50041</v>
      </c>
      <c r="E4904" s="230" t="s">
        <v>2199</v>
      </c>
      <c r="F4904" s="257" t="s">
        <v>11048</v>
      </c>
      <c r="G4904" s="257" t="s">
        <v>4804</v>
      </c>
    </row>
    <row r="4905" customHeight="1" spans="4:7">
      <c r="D4905" s="256">
        <v>50041</v>
      </c>
      <c r="E4905" s="230" t="s">
        <v>2199</v>
      </c>
      <c r="F4905" s="257" t="s">
        <v>11049</v>
      </c>
      <c r="G4905" s="257" t="s">
        <v>4809</v>
      </c>
    </row>
    <row r="4906" customHeight="1" spans="4:7">
      <c r="D4906" s="256">
        <v>50041</v>
      </c>
      <c r="E4906" s="230" t="s">
        <v>2199</v>
      </c>
      <c r="F4906" s="257" t="s">
        <v>11050</v>
      </c>
      <c r="G4906" s="257" t="s">
        <v>4813</v>
      </c>
    </row>
    <row r="4907" customHeight="1" spans="4:7">
      <c r="D4907" s="256">
        <v>50041</v>
      </c>
      <c r="E4907" s="230" t="s">
        <v>2199</v>
      </c>
      <c r="F4907" s="257" t="s">
        <v>11051</v>
      </c>
      <c r="G4907" s="257" t="s">
        <v>4807</v>
      </c>
    </row>
    <row r="4908" customHeight="1" spans="4:7">
      <c r="D4908" s="256">
        <v>50041</v>
      </c>
      <c r="E4908" s="230" t="s">
        <v>2199</v>
      </c>
      <c r="F4908" s="257" t="s">
        <v>11052</v>
      </c>
      <c r="G4908" s="257" t="s">
        <v>2827</v>
      </c>
    </row>
    <row r="4909" customHeight="1" spans="4:7">
      <c r="D4909" s="256">
        <v>50041</v>
      </c>
      <c r="E4909" s="230" t="s">
        <v>2199</v>
      </c>
      <c r="F4909" s="257" t="s">
        <v>11041</v>
      </c>
      <c r="G4909" s="257" t="s">
        <v>6162</v>
      </c>
    </row>
    <row r="4910" customHeight="1" spans="4:7">
      <c r="D4910" s="256">
        <v>50041</v>
      </c>
      <c r="E4910" s="230" t="s">
        <v>2199</v>
      </c>
      <c r="F4910" s="257" t="s">
        <v>11042</v>
      </c>
      <c r="G4910" s="257" t="s">
        <v>6164</v>
      </c>
    </row>
    <row r="4911" customHeight="1" spans="4:7">
      <c r="D4911" s="256">
        <v>50041</v>
      </c>
      <c r="E4911" s="230" t="s">
        <v>2199</v>
      </c>
      <c r="F4911" s="257" t="s">
        <v>11043</v>
      </c>
      <c r="G4911" s="257" t="s">
        <v>6158</v>
      </c>
    </row>
    <row r="4912" customHeight="1" spans="4:7">
      <c r="D4912" s="256">
        <v>50041</v>
      </c>
      <c r="E4912" s="230" t="s">
        <v>2199</v>
      </c>
      <c r="F4912" s="257" t="s">
        <v>11046</v>
      </c>
      <c r="G4912" s="257" t="s">
        <v>6155</v>
      </c>
    </row>
    <row r="4913" customHeight="1" spans="4:7">
      <c r="D4913" s="256">
        <v>50041</v>
      </c>
      <c r="E4913" s="230" t="s">
        <v>2199</v>
      </c>
      <c r="F4913" s="257" t="s">
        <v>11048</v>
      </c>
      <c r="G4913" s="257" t="s">
        <v>6166</v>
      </c>
    </row>
    <row r="4914" customHeight="1" spans="4:7">
      <c r="D4914" s="256">
        <v>50041</v>
      </c>
      <c r="E4914" s="230" t="s">
        <v>2199</v>
      </c>
      <c r="F4914" s="257" t="s">
        <v>11049</v>
      </c>
      <c r="G4914" s="257" t="s">
        <v>4289</v>
      </c>
    </row>
    <row r="4915" customHeight="1" spans="4:7">
      <c r="D4915" s="256">
        <v>50041</v>
      </c>
      <c r="E4915" s="230" t="s">
        <v>2199</v>
      </c>
      <c r="F4915" s="257" t="s">
        <v>11053</v>
      </c>
      <c r="G4915" s="257" t="s">
        <v>6160</v>
      </c>
    </row>
    <row r="4916" customHeight="1" spans="4:7">
      <c r="D4916" s="256">
        <v>50041</v>
      </c>
      <c r="E4916" s="230" t="s">
        <v>2199</v>
      </c>
      <c r="F4916" s="257" t="s">
        <v>11054</v>
      </c>
      <c r="G4916" s="257" t="s">
        <v>11055</v>
      </c>
    </row>
  </sheetData>
  <autoFilter ref="A2:G4916">
    <extLst/>
  </autoFilter>
  <mergeCells count="2">
    <mergeCell ref="A1:B1"/>
    <mergeCell ref="D1:G1"/>
  </mergeCells>
  <pageMargins left="0.75" right="0.75" top="1" bottom="1"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CCFF"/>
  </sheetPr>
  <dimension ref="A1:H412"/>
  <sheetViews>
    <sheetView topLeftCell="A387" workbookViewId="0">
      <selection activeCell="A33" sqref="A33:A42"/>
    </sheetView>
  </sheetViews>
  <sheetFormatPr defaultColWidth="9.14285714285714" defaultRowHeight="12.75" outlineLevelCol="7"/>
  <cols>
    <col min="1" max="1" width="11.2857142857143" style="193" customWidth="1"/>
    <col min="2" max="2" width="52.2857142857143" style="194" customWidth="1"/>
    <col min="3" max="3" width="107.142857142857" style="194" customWidth="1"/>
    <col min="4" max="4" width="13.1428571428571" style="194" customWidth="1"/>
    <col min="5" max="5" width="29" style="194" customWidth="1"/>
    <col min="6" max="1024" width="9.14285714285714" style="194"/>
  </cols>
  <sheetData>
    <row r="1" ht="11.25" customHeight="1" spans="1:3">
      <c r="A1" s="195" t="s">
        <v>11056</v>
      </c>
      <c r="B1" s="196" t="s">
        <v>11057</v>
      </c>
      <c r="C1" s="197" t="s">
        <v>11058</v>
      </c>
    </row>
    <row r="2" ht="13.5" spans="1:3">
      <c r="A2" s="195"/>
      <c r="B2" s="198" t="s">
        <v>11059</v>
      </c>
      <c r="C2" s="197"/>
    </row>
    <row r="3" ht="13.5" spans="1:3">
      <c r="A3" s="199" t="s">
        <v>11060</v>
      </c>
      <c r="B3" s="200" t="s">
        <v>11061</v>
      </c>
      <c r="C3" s="201" t="s">
        <v>11062</v>
      </c>
    </row>
    <row r="4" ht="13.5" spans="1:3">
      <c r="A4" s="199"/>
      <c r="B4" s="200" t="s">
        <v>11063</v>
      </c>
      <c r="C4" s="202" t="s">
        <v>11064</v>
      </c>
    </row>
    <row r="5" ht="13.5" spans="1:3">
      <c r="A5" s="199"/>
      <c r="B5" s="200" t="s">
        <v>11065</v>
      </c>
      <c r="C5" s="203" t="s">
        <v>11066</v>
      </c>
    </row>
    <row r="6" ht="13.5" spans="1:3">
      <c r="A6" s="199"/>
      <c r="B6" s="200" t="s">
        <v>11067</v>
      </c>
      <c r="C6" s="203" t="s">
        <v>11068</v>
      </c>
    </row>
    <row r="7" ht="13.5" spans="1:3">
      <c r="A7" s="199"/>
      <c r="B7" s="204"/>
      <c r="C7" s="203" t="s">
        <v>11069</v>
      </c>
    </row>
    <row r="8" ht="13.5" spans="1:3">
      <c r="A8" s="199"/>
      <c r="B8" s="204"/>
      <c r="C8" s="203" t="s">
        <v>11070</v>
      </c>
    </row>
    <row r="9" ht="13.5" spans="1:3">
      <c r="A9" s="199"/>
      <c r="B9" s="204"/>
      <c r="C9" s="203" t="s">
        <v>11071</v>
      </c>
    </row>
    <row r="10" ht="13.5" spans="1:3">
      <c r="A10" s="199"/>
      <c r="B10" s="204"/>
      <c r="C10" s="203" t="s">
        <v>11072</v>
      </c>
    </row>
    <row r="11" ht="13.5" spans="1:3">
      <c r="A11" s="199"/>
      <c r="B11" s="204"/>
      <c r="C11" s="205" t="s">
        <v>11073</v>
      </c>
    </row>
    <row r="12" ht="13.5" spans="1:3">
      <c r="A12" s="199"/>
      <c r="B12" s="204"/>
      <c r="C12" s="206" t="s">
        <v>11074</v>
      </c>
    </row>
    <row r="13" ht="13.5" spans="1:3">
      <c r="A13" s="199"/>
      <c r="B13" s="204"/>
      <c r="C13" s="205" t="s">
        <v>11075</v>
      </c>
    </row>
    <row r="14" ht="13.5" spans="1:3">
      <c r="A14" s="199"/>
      <c r="B14" s="204"/>
      <c r="C14" s="207" t="s">
        <v>11076</v>
      </c>
    </row>
    <row r="15" ht="13.5" spans="1:3">
      <c r="A15" s="199"/>
      <c r="B15" s="208"/>
      <c r="C15" s="209" t="s">
        <v>11077</v>
      </c>
    </row>
    <row r="16" ht="34.5" spans="1:3">
      <c r="A16" s="199" t="s">
        <v>11078</v>
      </c>
      <c r="B16" s="200" t="s">
        <v>11079</v>
      </c>
      <c r="C16" s="201" t="s">
        <v>11080</v>
      </c>
    </row>
    <row r="17" ht="13.5" spans="1:3">
      <c r="A17" s="199"/>
      <c r="B17" s="200" t="s">
        <v>11081</v>
      </c>
      <c r="C17" s="210"/>
    </row>
    <row r="18" ht="34.5" spans="1:3">
      <c r="A18" s="199"/>
      <c r="B18" s="200" t="s">
        <v>11082</v>
      </c>
      <c r="C18" s="210" t="s">
        <v>11083</v>
      </c>
    </row>
    <row r="19" ht="13.5" spans="1:3">
      <c r="A19" s="199"/>
      <c r="B19" s="211" t="s">
        <v>11084</v>
      </c>
      <c r="C19" s="212"/>
    </row>
    <row r="20" ht="11.25" customHeight="1" spans="1:3">
      <c r="A20" s="213">
        <v>3</v>
      </c>
      <c r="B20" s="200" t="s">
        <v>11085</v>
      </c>
      <c r="C20" s="214" t="s">
        <v>11086</v>
      </c>
    </row>
    <row r="21" ht="13.5" spans="1:3">
      <c r="A21" s="213"/>
      <c r="B21" s="200" t="s">
        <v>11087</v>
      </c>
      <c r="C21" s="214"/>
    </row>
    <row r="22" ht="13.5" spans="1:3">
      <c r="A22" s="213"/>
      <c r="B22" s="200" t="s">
        <v>11088</v>
      </c>
      <c r="C22" s="214"/>
    </row>
    <row r="23" ht="13.5" spans="1:3">
      <c r="A23" s="213"/>
      <c r="B23" s="211"/>
      <c r="C23" s="214"/>
    </row>
    <row r="24" ht="11.25" customHeight="1" spans="1:3">
      <c r="A24" s="213">
        <v>4</v>
      </c>
      <c r="B24" s="200" t="s">
        <v>11089</v>
      </c>
      <c r="C24" s="214" t="s">
        <v>11090</v>
      </c>
    </row>
    <row r="25" ht="13.5" spans="1:3">
      <c r="A25" s="213"/>
      <c r="B25" s="200" t="s">
        <v>11063</v>
      </c>
      <c r="C25" s="214"/>
    </row>
    <row r="26" ht="13.5" spans="1:3">
      <c r="A26" s="213"/>
      <c r="B26" s="211" t="s">
        <v>11091</v>
      </c>
      <c r="C26" s="214"/>
    </row>
    <row r="27" ht="11.25" customHeight="1" spans="1:3">
      <c r="A27" s="213">
        <v>5</v>
      </c>
      <c r="B27" s="200" t="s">
        <v>11092</v>
      </c>
      <c r="C27" s="214" t="s">
        <v>11093</v>
      </c>
    </row>
    <row r="28" ht="13.5" spans="1:3">
      <c r="A28" s="213"/>
      <c r="B28" s="200" t="s">
        <v>11063</v>
      </c>
      <c r="C28" s="214"/>
    </row>
    <row r="29" ht="13.5" spans="1:3">
      <c r="A29" s="213"/>
      <c r="B29" s="211" t="s">
        <v>11094</v>
      </c>
      <c r="C29" s="214"/>
    </row>
    <row r="30" ht="57" spans="1:3">
      <c r="A30" s="215">
        <v>6</v>
      </c>
      <c r="B30" s="216" t="s">
        <v>11095</v>
      </c>
      <c r="C30" s="217" t="s">
        <v>11096</v>
      </c>
    </row>
    <row r="31" ht="34.5" spans="1:3">
      <c r="A31" s="215">
        <v>7</v>
      </c>
      <c r="B31" s="216" t="s">
        <v>11097</v>
      </c>
      <c r="C31" s="217" t="s">
        <v>11098</v>
      </c>
    </row>
    <row r="32" ht="90.75" spans="1:3">
      <c r="A32" s="218">
        <v>8</v>
      </c>
      <c r="B32" s="216" t="s">
        <v>11099</v>
      </c>
      <c r="C32" s="217" t="s">
        <v>11100</v>
      </c>
    </row>
    <row r="33" ht="23.25" spans="1:3">
      <c r="A33" s="199" t="s">
        <v>11101</v>
      </c>
      <c r="B33" s="200" t="s">
        <v>11102</v>
      </c>
      <c r="C33" s="201" t="s">
        <v>11103</v>
      </c>
    </row>
    <row r="34" ht="13.5" spans="1:3">
      <c r="A34" s="199"/>
      <c r="B34" s="200" t="s">
        <v>11081</v>
      </c>
      <c r="C34" s="210" t="s">
        <v>11104</v>
      </c>
    </row>
    <row r="35" ht="13.5" spans="1:3">
      <c r="A35" s="199"/>
      <c r="B35" s="200" t="s">
        <v>11105</v>
      </c>
      <c r="C35" s="210" t="s">
        <v>11106</v>
      </c>
    </row>
    <row r="36" ht="13.5" spans="1:3">
      <c r="A36" s="199"/>
      <c r="B36" s="200" t="s">
        <v>11107</v>
      </c>
      <c r="C36" s="210" t="s">
        <v>11108</v>
      </c>
    </row>
    <row r="37" ht="13.5" spans="1:3">
      <c r="A37" s="199"/>
      <c r="B37" s="204"/>
      <c r="C37" s="210" t="s">
        <v>11109</v>
      </c>
    </row>
    <row r="38" ht="13.5" spans="1:3">
      <c r="A38" s="199"/>
      <c r="B38" s="204"/>
      <c r="C38" s="210" t="s">
        <v>11110</v>
      </c>
    </row>
    <row r="39" ht="13.5" spans="1:3">
      <c r="A39" s="199"/>
      <c r="B39" s="204"/>
      <c r="C39" s="210" t="s">
        <v>11111</v>
      </c>
    </row>
    <row r="40" ht="13.5" spans="1:3">
      <c r="A40" s="199"/>
      <c r="B40" s="204"/>
      <c r="C40" s="210" t="s">
        <v>11112</v>
      </c>
    </row>
    <row r="41" ht="13.5" spans="1:3">
      <c r="A41" s="199"/>
      <c r="B41" s="204"/>
      <c r="C41" s="210" t="s">
        <v>11113</v>
      </c>
    </row>
    <row r="42" ht="13.5" spans="1:3">
      <c r="A42" s="199"/>
      <c r="B42" s="208"/>
      <c r="C42" s="219" t="s">
        <v>11114</v>
      </c>
    </row>
    <row r="43" ht="11.25" customHeight="1" spans="1:3">
      <c r="A43" s="199" t="s">
        <v>11115</v>
      </c>
      <c r="B43" s="200" t="s">
        <v>11116</v>
      </c>
      <c r="C43" s="214" t="s">
        <v>11117</v>
      </c>
    </row>
    <row r="44" ht="13.5" spans="1:3">
      <c r="A44" s="199"/>
      <c r="B44" s="200" t="s">
        <v>11087</v>
      </c>
      <c r="C44" s="214"/>
    </row>
    <row r="45" ht="13.5" spans="1:3">
      <c r="A45" s="199"/>
      <c r="B45" s="200" t="s">
        <v>11088</v>
      </c>
      <c r="C45" s="214"/>
    </row>
    <row r="46" ht="13.5" spans="1:3">
      <c r="A46" s="199"/>
      <c r="B46" s="211"/>
      <c r="C46" s="214"/>
    </row>
    <row r="47" ht="11.25" customHeight="1" spans="1:3">
      <c r="A47" s="213">
        <v>23</v>
      </c>
      <c r="B47" s="200" t="s">
        <v>11118</v>
      </c>
      <c r="C47" s="214" t="s">
        <v>11119</v>
      </c>
    </row>
    <row r="48" ht="13.5" spans="1:3">
      <c r="A48" s="213"/>
      <c r="B48" s="200" t="s">
        <v>11063</v>
      </c>
      <c r="C48" s="214"/>
    </row>
    <row r="49" ht="13.5" spans="1:3">
      <c r="A49" s="213"/>
      <c r="B49" s="211" t="s">
        <v>11120</v>
      </c>
      <c r="C49" s="214"/>
    </row>
    <row r="50" ht="11.25" customHeight="1" spans="1:3">
      <c r="A50" s="213">
        <v>24</v>
      </c>
      <c r="B50" s="200" t="s">
        <v>11121</v>
      </c>
      <c r="C50" s="214" t="s">
        <v>11122</v>
      </c>
    </row>
    <row r="51" ht="13.5" spans="1:3">
      <c r="A51" s="213"/>
      <c r="B51" s="200" t="s">
        <v>11123</v>
      </c>
      <c r="C51" s="214"/>
    </row>
    <row r="52" ht="13.5" spans="1:3">
      <c r="A52" s="213"/>
      <c r="B52" s="211" t="s">
        <v>11124</v>
      </c>
      <c r="C52" s="214"/>
    </row>
    <row r="53" ht="13.5" spans="1:3">
      <c r="A53" s="213">
        <v>25</v>
      </c>
      <c r="B53" s="200" t="s">
        <v>11125</v>
      </c>
      <c r="C53" s="220" t="s">
        <v>11126</v>
      </c>
    </row>
    <row r="54" ht="13.5" spans="1:3">
      <c r="A54" s="213"/>
      <c r="B54" s="200" t="s">
        <v>11063</v>
      </c>
      <c r="C54" s="221" t="s">
        <v>11127</v>
      </c>
    </row>
    <row r="55" ht="13.5" spans="1:3">
      <c r="A55" s="213"/>
      <c r="B55" s="200" t="s">
        <v>11128</v>
      </c>
      <c r="C55" s="221" t="s">
        <v>11129</v>
      </c>
    </row>
    <row r="56" ht="13.5" spans="1:3">
      <c r="A56" s="213">
        <v>25</v>
      </c>
      <c r="B56" s="211" t="s">
        <v>11130</v>
      </c>
      <c r="C56" s="222" t="s">
        <v>11131</v>
      </c>
    </row>
    <row r="57" ht="13.5" spans="1:3">
      <c r="A57" s="199" t="s">
        <v>11132</v>
      </c>
      <c r="B57" s="200" t="s">
        <v>11133</v>
      </c>
      <c r="C57" s="201" t="s">
        <v>11134</v>
      </c>
    </row>
    <row r="58" ht="13.5" spans="1:3">
      <c r="A58" s="199"/>
      <c r="B58" s="200" t="s">
        <v>11063</v>
      </c>
      <c r="C58" s="210" t="s">
        <v>11135</v>
      </c>
    </row>
    <row r="59" ht="13.5" spans="1:3">
      <c r="A59" s="199"/>
      <c r="B59" s="200" t="s">
        <v>11136</v>
      </c>
      <c r="C59" s="210" t="s">
        <v>11137</v>
      </c>
    </row>
    <row r="60" ht="13.5" spans="1:3">
      <c r="A60" s="199"/>
      <c r="B60" s="200" t="s">
        <v>11138</v>
      </c>
      <c r="C60" s="210" t="s">
        <v>11139</v>
      </c>
    </row>
    <row r="61" ht="13.5" spans="1:3">
      <c r="A61" s="199"/>
      <c r="B61" s="200"/>
      <c r="C61" s="210" t="s">
        <v>11140</v>
      </c>
    </row>
    <row r="62" ht="13.5" spans="1:3">
      <c r="A62" s="199"/>
      <c r="B62" s="204"/>
      <c r="C62" s="210" t="s">
        <v>11141</v>
      </c>
    </row>
    <row r="63" ht="13.5" spans="1:3">
      <c r="A63" s="199"/>
      <c r="B63" s="204"/>
      <c r="C63" s="210" t="s">
        <v>11142</v>
      </c>
    </row>
    <row r="64" ht="23.25" spans="1:3">
      <c r="A64" s="199"/>
      <c r="B64" s="204"/>
      <c r="C64" s="210" t="s">
        <v>11143</v>
      </c>
    </row>
    <row r="65" ht="13.5" spans="1:3">
      <c r="A65" s="199"/>
      <c r="B65" s="204"/>
      <c r="C65" s="201"/>
    </row>
    <row r="66" ht="23.25" spans="1:3">
      <c r="A66" s="199"/>
      <c r="B66" s="208"/>
      <c r="C66" s="223" t="s">
        <v>11144</v>
      </c>
    </row>
    <row r="67" ht="23.25" spans="1:3">
      <c r="A67" s="199" t="s">
        <v>11145</v>
      </c>
      <c r="B67" s="200" t="s">
        <v>11146</v>
      </c>
      <c r="C67" s="201" t="s">
        <v>11147</v>
      </c>
    </row>
    <row r="68" ht="13.5" spans="1:3">
      <c r="A68" s="199"/>
      <c r="B68" s="200" t="s">
        <v>11081</v>
      </c>
      <c r="C68" s="210" t="s">
        <v>11148</v>
      </c>
    </row>
    <row r="69" ht="13.5" spans="1:3">
      <c r="A69" s="199"/>
      <c r="B69" s="200" t="s">
        <v>11149</v>
      </c>
      <c r="C69" s="210" t="s">
        <v>11150</v>
      </c>
    </row>
    <row r="70" ht="13.5" spans="1:3">
      <c r="A70" s="199"/>
      <c r="B70" s="200" t="s">
        <v>11107</v>
      </c>
      <c r="C70" s="210" t="s">
        <v>11151</v>
      </c>
    </row>
    <row r="71" ht="13.5" spans="1:3">
      <c r="A71" s="199"/>
      <c r="B71" s="204"/>
      <c r="C71" s="210" t="s">
        <v>11152</v>
      </c>
    </row>
    <row r="72" ht="13.5" spans="1:3">
      <c r="A72" s="199"/>
      <c r="B72" s="204"/>
      <c r="C72" s="210" t="s">
        <v>11153</v>
      </c>
    </row>
    <row r="73" ht="13.5" spans="1:3">
      <c r="A73" s="199"/>
      <c r="B73" s="204"/>
      <c r="C73" s="210" t="s">
        <v>11154</v>
      </c>
    </row>
    <row r="74" ht="13.5" spans="1:3">
      <c r="A74" s="199"/>
      <c r="B74" s="204"/>
      <c r="C74" s="201"/>
    </row>
    <row r="75" ht="23.25" spans="1:3">
      <c r="A75" s="199"/>
      <c r="B75" s="208"/>
      <c r="C75" s="223" t="s">
        <v>11155</v>
      </c>
    </row>
    <row r="76" ht="11.25" customHeight="1" spans="1:3">
      <c r="A76" s="199" t="s">
        <v>11156</v>
      </c>
      <c r="B76" s="200" t="s">
        <v>11157</v>
      </c>
      <c r="C76" s="214" t="s">
        <v>11158</v>
      </c>
    </row>
    <row r="77" ht="13.5" spans="1:3">
      <c r="A77" s="199"/>
      <c r="B77" s="200" t="s">
        <v>11081</v>
      </c>
      <c r="C77" s="214"/>
    </row>
    <row r="78" ht="13.5" spans="1:3">
      <c r="A78" s="199"/>
      <c r="B78" s="200" t="s">
        <v>11159</v>
      </c>
      <c r="C78" s="214"/>
    </row>
    <row r="79" ht="13.5" spans="1:3">
      <c r="A79" s="199"/>
      <c r="B79" s="211" t="s">
        <v>11160</v>
      </c>
      <c r="C79" s="214"/>
    </row>
    <row r="80" ht="11.25" customHeight="1" spans="1:3">
      <c r="A80" s="199" t="s">
        <v>11161</v>
      </c>
      <c r="B80" s="200" t="s">
        <v>11162</v>
      </c>
      <c r="C80" s="214" t="s">
        <v>11163</v>
      </c>
    </row>
    <row r="81" ht="13.5" spans="1:3">
      <c r="A81" s="199"/>
      <c r="B81" s="200" t="s">
        <v>11081</v>
      </c>
      <c r="C81" s="214"/>
    </row>
    <row r="82" ht="13.5" spans="1:3">
      <c r="A82" s="199"/>
      <c r="B82" s="200" t="s">
        <v>11105</v>
      </c>
      <c r="C82" s="214"/>
    </row>
    <row r="83" ht="13.5" spans="1:3">
      <c r="A83" s="199"/>
      <c r="B83" s="211" t="s">
        <v>11107</v>
      </c>
      <c r="C83" s="214"/>
    </row>
    <row r="84" ht="11.25" customHeight="1" spans="1:3">
      <c r="A84" s="213">
        <v>45</v>
      </c>
      <c r="B84" s="200" t="s">
        <v>11164</v>
      </c>
      <c r="C84" s="214" t="s">
        <v>11165</v>
      </c>
    </row>
    <row r="85" ht="13.5" spans="1:3">
      <c r="A85" s="213"/>
      <c r="B85" s="200" t="s">
        <v>11087</v>
      </c>
      <c r="C85" s="214"/>
    </row>
    <row r="86" ht="13.5" spans="1:3">
      <c r="A86" s="213"/>
      <c r="B86" s="200" t="s">
        <v>11166</v>
      </c>
      <c r="C86" s="214"/>
    </row>
    <row r="87" ht="13.5" spans="1:3">
      <c r="A87" s="213"/>
      <c r="B87" s="211"/>
      <c r="C87" s="214"/>
    </row>
    <row r="88" ht="11.25" customHeight="1" spans="1:3">
      <c r="A88" s="213">
        <v>46</v>
      </c>
      <c r="B88" s="200" t="s">
        <v>11167</v>
      </c>
      <c r="C88" s="214" t="s">
        <v>11168</v>
      </c>
    </row>
    <row r="89" ht="13.5" spans="1:3">
      <c r="A89" s="213"/>
      <c r="B89" s="200" t="s">
        <v>11087</v>
      </c>
      <c r="C89" s="214"/>
    </row>
    <row r="90" ht="13.5" spans="1:3">
      <c r="A90" s="213"/>
      <c r="B90" s="200" t="s">
        <v>11166</v>
      </c>
      <c r="C90" s="214"/>
    </row>
    <row r="91" ht="13.5" spans="1:3">
      <c r="A91" s="213"/>
      <c r="B91" s="211"/>
      <c r="C91" s="214"/>
    </row>
    <row r="92" ht="11.25" customHeight="1" spans="1:3">
      <c r="A92" s="199" t="s">
        <v>11169</v>
      </c>
      <c r="B92" s="200" t="s">
        <v>11170</v>
      </c>
      <c r="C92" s="214" t="s">
        <v>11171</v>
      </c>
    </row>
    <row r="93" ht="13.5" spans="1:3">
      <c r="A93" s="199"/>
      <c r="B93" s="200" t="s">
        <v>11087</v>
      </c>
      <c r="C93" s="214"/>
    </row>
    <row r="94" ht="13.5" spans="1:3">
      <c r="A94" s="199"/>
      <c r="B94" s="200" t="s">
        <v>11088</v>
      </c>
      <c r="C94" s="214"/>
    </row>
    <row r="95" ht="13.5" spans="1:3">
      <c r="A95" s="199"/>
      <c r="B95" s="211"/>
      <c r="C95" s="214"/>
    </row>
    <row r="96" ht="13.5" spans="1:3">
      <c r="A96" s="213">
        <v>62</v>
      </c>
      <c r="B96" s="200" t="s">
        <v>11172</v>
      </c>
      <c r="C96" s="201" t="s">
        <v>11173</v>
      </c>
    </row>
    <row r="97" ht="13.5" spans="1:3">
      <c r="A97" s="213"/>
      <c r="B97" s="200" t="s">
        <v>11063</v>
      </c>
      <c r="C97" s="210" t="s">
        <v>11174</v>
      </c>
    </row>
    <row r="98" ht="13.5" spans="1:3">
      <c r="A98" s="213"/>
      <c r="B98" s="200" t="s">
        <v>11136</v>
      </c>
      <c r="C98" s="210" t="s">
        <v>11175</v>
      </c>
    </row>
    <row r="99" ht="13.5" spans="1:3">
      <c r="A99" s="213"/>
      <c r="B99" s="211" t="s">
        <v>11176</v>
      </c>
      <c r="C99" s="212"/>
    </row>
    <row r="100" ht="11.25" customHeight="1" spans="1:3">
      <c r="A100" s="213">
        <v>63</v>
      </c>
      <c r="B100" s="200" t="s">
        <v>11177</v>
      </c>
      <c r="C100" s="214" t="s">
        <v>11178</v>
      </c>
    </row>
    <row r="101" ht="13.5" spans="1:3">
      <c r="A101" s="213"/>
      <c r="B101" s="200" t="s">
        <v>11063</v>
      </c>
      <c r="C101" s="214"/>
    </row>
    <row r="102" ht="13.5" spans="1:3">
      <c r="A102" s="213"/>
      <c r="B102" s="211" t="s">
        <v>11094</v>
      </c>
      <c r="C102" s="214"/>
    </row>
    <row r="103" ht="11.25" customHeight="1" spans="1:3">
      <c r="A103" s="213">
        <v>64</v>
      </c>
      <c r="B103" s="200" t="s">
        <v>11179</v>
      </c>
      <c r="C103" s="214" t="s">
        <v>11180</v>
      </c>
    </row>
    <row r="104" ht="13.5" spans="1:3">
      <c r="A104" s="213"/>
      <c r="B104" s="200" t="s">
        <v>11063</v>
      </c>
      <c r="C104" s="214"/>
    </row>
    <row r="105" ht="13.5" spans="1:3">
      <c r="A105" s="213"/>
      <c r="B105" s="211" t="s">
        <v>11181</v>
      </c>
      <c r="C105" s="214"/>
    </row>
    <row r="106" ht="11.25" customHeight="1" spans="1:3">
      <c r="A106" s="213">
        <v>65</v>
      </c>
      <c r="B106" s="200" t="s">
        <v>11182</v>
      </c>
      <c r="C106" s="214" t="s">
        <v>11183</v>
      </c>
    </row>
    <row r="107" ht="13.5" spans="1:3">
      <c r="A107" s="213"/>
      <c r="B107" s="200" t="s">
        <v>11063</v>
      </c>
      <c r="C107" s="214"/>
    </row>
    <row r="108" ht="13.5" spans="1:3">
      <c r="A108" s="213"/>
      <c r="B108" s="211" t="s">
        <v>11094</v>
      </c>
      <c r="C108" s="214"/>
    </row>
    <row r="109" ht="11.25" customHeight="1" spans="1:3">
      <c r="A109" s="213">
        <v>66</v>
      </c>
      <c r="B109" s="200" t="s">
        <v>11184</v>
      </c>
      <c r="C109" s="214" t="s">
        <v>11185</v>
      </c>
    </row>
    <row r="110" ht="13.5" spans="1:3">
      <c r="A110" s="213"/>
      <c r="B110" s="200" t="s">
        <v>11063</v>
      </c>
      <c r="C110" s="214"/>
    </row>
    <row r="111" ht="13.5" spans="1:3">
      <c r="A111" s="213"/>
      <c r="B111" s="211" t="s">
        <v>11181</v>
      </c>
      <c r="C111" s="214"/>
    </row>
    <row r="112" ht="11.25" customHeight="1" spans="1:3">
      <c r="A112" s="213">
        <v>67</v>
      </c>
      <c r="B112" s="200" t="s">
        <v>11186</v>
      </c>
      <c r="C112" s="214" t="s">
        <v>11187</v>
      </c>
    </row>
    <row r="113" ht="13.5" spans="1:3">
      <c r="A113" s="213"/>
      <c r="B113" s="200" t="s">
        <v>11063</v>
      </c>
      <c r="C113" s="214"/>
    </row>
    <row r="114" ht="13.5" spans="1:3">
      <c r="A114" s="213"/>
      <c r="B114" s="211" t="s">
        <v>11094</v>
      </c>
      <c r="C114" s="214"/>
    </row>
    <row r="115" ht="11.25" customHeight="1" spans="1:3">
      <c r="A115" s="213">
        <v>68</v>
      </c>
      <c r="B115" s="200" t="s">
        <v>11188</v>
      </c>
      <c r="C115" s="214" t="s">
        <v>11189</v>
      </c>
    </row>
    <row r="116" ht="13.5" spans="1:3">
      <c r="A116" s="213"/>
      <c r="B116" s="200" t="s">
        <v>11063</v>
      </c>
      <c r="C116" s="214"/>
    </row>
    <row r="117" ht="13.5" spans="1:3">
      <c r="A117" s="213"/>
      <c r="B117" s="211" t="s">
        <v>11181</v>
      </c>
      <c r="C117" s="214"/>
    </row>
    <row r="118" ht="11.25" customHeight="1" spans="1:3">
      <c r="A118" s="213">
        <v>69</v>
      </c>
      <c r="B118" s="200" t="s">
        <v>11190</v>
      </c>
      <c r="C118" s="214" t="s">
        <v>11191</v>
      </c>
    </row>
    <row r="119" ht="13.5" spans="1:3">
      <c r="A119" s="213"/>
      <c r="B119" s="200" t="s">
        <v>11063</v>
      </c>
      <c r="C119" s="214"/>
    </row>
    <row r="120" ht="13.5" spans="1:3">
      <c r="A120" s="213"/>
      <c r="B120" s="211" t="s">
        <v>11094</v>
      </c>
      <c r="C120" s="214"/>
    </row>
    <row r="121" ht="11.25" customHeight="1" spans="1:3">
      <c r="A121" s="213">
        <v>70</v>
      </c>
      <c r="B121" s="200" t="s">
        <v>11192</v>
      </c>
      <c r="C121" s="214" t="s">
        <v>11193</v>
      </c>
    </row>
    <row r="122" ht="13.5" spans="1:3">
      <c r="A122" s="213"/>
      <c r="B122" s="200" t="s">
        <v>11063</v>
      </c>
      <c r="C122" s="214"/>
    </row>
    <row r="123" ht="13.5" spans="1:3">
      <c r="A123" s="213"/>
      <c r="B123" s="211" t="s">
        <v>11094</v>
      </c>
      <c r="C123" s="214"/>
    </row>
    <row r="124" ht="11.25" customHeight="1" spans="1:3">
      <c r="A124" s="213">
        <v>71</v>
      </c>
      <c r="B124" s="200" t="s">
        <v>11194</v>
      </c>
      <c r="C124" s="214" t="s">
        <v>11195</v>
      </c>
    </row>
    <row r="125" ht="13.5" spans="1:3">
      <c r="A125" s="213"/>
      <c r="B125" s="200" t="s">
        <v>11063</v>
      </c>
      <c r="C125" s="214"/>
    </row>
    <row r="126" ht="13.5" spans="1:3">
      <c r="A126" s="213"/>
      <c r="B126" s="211" t="s">
        <v>11094</v>
      </c>
      <c r="C126" s="214"/>
    </row>
    <row r="127" ht="11.25" customHeight="1" spans="1:3">
      <c r="A127" s="213">
        <v>72</v>
      </c>
      <c r="B127" s="200" t="s">
        <v>11196</v>
      </c>
      <c r="C127" s="214" t="s">
        <v>11197</v>
      </c>
    </row>
    <row r="128" ht="13.5" spans="1:3">
      <c r="A128" s="213"/>
      <c r="B128" s="200" t="s">
        <v>11063</v>
      </c>
      <c r="C128" s="214"/>
    </row>
    <row r="129" ht="13.5" spans="1:3">
      <c r="A129" s="213"/>
      <c r="B129" s="211" t="s">
        <v>11094</v>
      </c>
      <c r="C129" s="214"/>
    </row>
    <row r="130" ht="11.25" customHeight="1" spans="1:3">
      <c r="A130" s="213">
        <v>73</v>
      </c>
      <c r="B130" s="200" t="s">
        <v>11198</v>
      </c>
      <c r="C130" s="214" t="s">
        <v>11199</v>
      </c>
    </row>
    <row r="131" ht="13.5" spans="1:3">
      <c r="A131" s="213"/>
      <c r="B131" s="200" t="s">
        <v>11063</v>
      </c>
      <c r="C131" s="214"/>
    </row>
    <row r="132" ht="13.5" spans="1:3">
      <c r="A132" s="213"/>
      <c r="B132" s="211" t="s">
        <v>11094</v>
      </c>
      <c r="C132" s="214"/>
    </row>
    <row r="133" ht="11.25" customHeight="1" spans="1:3">
      <c r="A133" s="213">
        <v>74</v>
      </c>
      <c r="B133" s="224" t="s">
        <v>11200</v>
      </c>
      <c r="C133" s="214" t="s">
        <v>11201</v>
      </c>
    </row>
    <row r="134" ht="13.5" spans="1:3">
      <c r="A134" s="213"/>
      <c r="B134" s="200" t="s">
        <v>11063</v>
      </c>
      <c r="C134" s="214"/>
    </row>
    <row r="135" ht="13.5" spans="1:3">
      <c r="A135" s="213"/>
      <c r="B135" s="211" t="s">
        <v>11202</v>
      </c>
      <c r="C135" s="214"/>
    </row>
    <row r="137" spans="1:2">
      <c r="A137" s="225" t="s">
        <v>1175</v>
      </c>
      <c r="B137" s="225"/>
    </row>
    <row r="138" s="192" customFormat="1" ht="12" customHeight="1" spans="1:3">
      <c r="A138" s="226" t="s">
        <v>11203</v>
      </c>
      <c r="B138" s="227" t="s">
        <v>137</v>
      </c>
      <c r="C138" s="228"/>
    </row>
    <row r="139" s="192" customFormat="1" ht="12" customHeight="1" spans="1:3">
      <c r="A139" s="229">
        <v>1</v>
      </c>
      <c r="B139" s="230" t="s">
        <v>11204</v>
      </c>
      <c r="C139" s="228"/>
    </row>
    <row r="140" s="192" customFormat="1" ht="12" customHeight="1" spans="1:3">
      <c r="A140" s="229">
        <v>2</v>
      </c>
      <c r="B140" s="230" t="s">
        <v>11205</v>
      </c>
      <c r="C140" s="228"/>
    </row>
    <row r="141" s="192" customFormat="1" ht="12" customHeight="1" spans="1:3">
      <c r="A141" s="229">
        <v>3</v>
      </c>
      <c r="B141" s="230" t="s">
        <v>11206</v>
      </c>
      <c r="C141" s="228"/>
    </row>
    <row r="142" s="192" customFormat="1" ht="12" customHeight="1" spans="1:3">
      <c r="A142" s="229">
        <v>4</v>
      </c>
      <c r="B142" s="230" t="s">
        <v>11207</v>
      </c>
      <c r="C142" s="228"/>
    </row>
    <row r="143" s="192" customFormat="1" ht="12" customHeight="1" spans="1:3">
      <c r="A143" s="229">
        <v>5</v>
      </c>
      <c r="B143" s="230" t="s">
        <v>11208</v>
      </c>
      <c r="C143" s="228"/>
    </row>
    <row r="144" s="192" customFormat="1" ht="12" customHeight="1" spans="1:3">
      <c r="A144" s="231">
        <v>99</v>
      </c>
      <c r="B144" s="232" t="s">
        <v>11209</v>
      </c>
      <c r="C144" s="228"/>
    </row>
    <row r="146" s="192" customFormat="1" ht="12" customHeight="1" spans="1:2">
      <c r="A146" s="225" t="s">
        <v>1180</v>
      </c>
      <c r="B146" s="225"/>
    </row>
    <row r="147" s="192" customFormat="1" ht="12" customHeight="1" spans="1:2">
      <c r="A147" s="233" t="s">
        <v>110</v>
      </c>
      <c r="B147" s="234" t="s">
        <v>11210</v>
      </c>
    </row>
    <row r="148" s="192" customFormat="1" ht="12" customHeight="1" spans="1:2">
      <c r="A148" s="229">
        <v>1</v>
      </c>
      <c r="B148" s="230" t="s">
        <v>11211</v>
      </c>
    </row>
    <row r="149" s="192" customFormat="1" ht="12" customHeight="1" spans="1:2">
      <c r="A149" s="229">
        <v>2</v>
      </c>
      <c r="B149" s="230" t="s">
        <v>11212</v>
      </c>
    </row>
    <row r="150" s="192" customFormat="1" ht="12" customHeight="1" spans="1:2">
      <c r="A150" s="229">
        <v>3</v>
      </c>
      <c r="B150" s="230" t="s">
        <v>11213</v>
      </c>
    </row>
    <row r="151" s="192" customFormat="1" ht="12" customHeight="1" spans="1:2">
      <c r="A151" s="229">
        <v>4</v>
      </c>
      <c r="B151" s="235" t="s">
        <v>11214</v>
      </c>
    </row>
    <row r="152" s="192" customFormat="1" ht="12" customHeight="1" spans="1:2">
      <c r="A152" s="229">
        <v>5</v>
      </c>
      <c r="B152" s="235" t="s">
        <v>11215</v>
      </c>
    </row>
    <row r="153" s="192" customFormat="1" ht="12" customHeight="1" spans="1:2">
      <c r="A153" s="236"/>
      <c r="B153" s="228"/>
    </row>
    <row r="154" s="192" customFormat="1" ht="12" customHeight="1" spans="1:2">
      <c r="A154" s="225" t="s">
        <v>1190</v>
      </c>
      <c r="B154" s="225"/>
    </row>
    <row r="155" s="192" customFormat="1" ht="12" customHeight="1" spans="1:2">
      <c r="A155" s="233" t="s">
        <v>922</v>
      </c>
      <c r="B155" s="234" t="s">
        <v>11216</v>
      </c>
    </row>
    <row r="156" s="192" customFormat="1" ht="12" customHeight="1" spans="1:2">
      <c r="A156" s="229">
        <v>1</v>
      </c>
      <c r="B156" s="230" t="s">
        <v>11217</v>
      </c>
    </row>
    <row r="157" s="192" customFormat="1" ht="12" customHeight="1" spans="1:2">
      <c r="A157" s="229">
        <v>2</v>
      </c>
      <c r="B157" s="230" t="s">
        <v>11218</v>
      </c>
    </row>
    <row r="158" s="192" customFormat="1" ht="12" customHeight="1" spans="1:2">
      <c r="A158" s="229">
        <v>3</v>
      </c>
      <c r="B158" s="230" t="s">
        <v>11219</v>
      </c>
    </row>
    <row r="159" s="192" customFormat="1" ht="12" customHeight="1" spans="1:2">
      <c r="A159" s="231">
        <v>4</v>
      </c>
      <c r="B159" s="232" t="s">
        <v>11220</v>
      </c>
    </row>
    <row r="160" s="192" customFormat="1" ht="12" customHeight="1" spans="1:2">
      <c r="A160" s="231">
        <v>5</v>
      </c>
      <c r="B160" s="232" t="s">
        <v>11221</v>
      </c>
    </row>
    <row r="161" s="192" customFormat="1" ht="12" customHeight="1" spans="1:2">
      <c r="A161" s="231">
        <v>6</v>
      </c>
      <c r="B161" s="232" t="s">
        <v>11222</v>
      </c>
    </row>
    <row r="162" s="192" customFormat="1" ht="12" customHeight="1" spans="1:2">
      <c r="A162" s="231">
        <v>7</v>
      </c>
      <c r="B162" s="232" t="s">
        <v>11223</v>
      </c>
    </row>
    <row r="163" s="192" customFormat="1" ht="12" customHeight="1" spans="1:2">
      <c r="A163" s="231">
        <v>8</v>
      </c>
      <c r="B163" s="232" t="s">
        <v>11224</v>
      </c>
    </row>
    <row r="164" s="192" customFormat="1" ht="12" customHeight="1" spans="1:2">
      <c r="A164" s="231">
        <v>9</v>
      </c>
      <c r="B164" s="232" t="s">
        <v>11225</v>
      </c>
    </row>
    <row r="165" s="192" customFormat="1" ht="12" customHeight="1" spans="1:2">
      <c r="A165" s="229">
        <v>99</v>
      </c>
      <c r="B165" s="230" t="s">
        <v>11226</v>
      </c>
    </row>
    <row r="166" s="192" customFormat="1" ht="12" customHeight="1" spans="1:2">
      <c r="A166" s="236"/>
      <c r="B166" s="228"/>
    </row>
    <row r="167" s="192" customFormat="1" ht="12" customHeight="1" spans="1:2">
      <c r="A167" s="225" t="s">
        <v>1195</v>
      </c>
      <c r="B167" s="225"/>
    </row>
    <row r="168" s="192" customFormat="1" ht="12" customHeight="1" spans="1:2">
      <c r="A168" s="233" t="s">
        <v>997</v>
      </c>
      <c r="B168" s="234" t="s">
        <v>11227</v>
      </c>
    </row>
    <row r="169" s="192" customFormat="1" ht="12" customHeight="1" spans="1:2">
      <c r="A169" s="229">
        <v>1</v>
      </c>
      <c r="B169" s="230" t="s">
        <v>11228</v>
      </c>
    </row>
    <row r="170" s="192" customFormat="1" ht="12" customHeight="1" spans="1:2">
      <c r="A170" s="229">
        <v>2</v>
      </c>
      <c r="B170" s="230" t="s">
        <v>11229</v>
      </c>
    </row>
    <row r="171" s="192" customFormat="1" ht="12" customHeight="1" spans="1:2">
      <c r="A171" s="229">
        <v>3</v>
      </c>
      <c r="B171" s="230" t="s">
        <v>11230</v>
      </c>
    </row>
    <row r="172" s="192" customFormat="1" ht="12" customHeight="1" spans="1:2">
      <c r="A172" s="229">
        <v>4</v>
      </c>
      <c r="B172" s="230" t="s">
        <v>11231</v>
      </c>
    </row>
    <row r="173" s="192" customFormat="1" ht="12" customHeight="1" spans="1:2">
      <c r="A173" s="229">
        <v>5</v>
      </c>
      <c r="B173" s="230" t="s">
        <v>11232</v>
      </c>
    </row>
    <row r="174" s="192" customFormat="1" ht="12" customHeight="1" spans="1:2">
      <c r="A174" s="229">
        <v>6</v>
      </c>
      <c r="B174" s="230" t="s">
        <v>11233</v>
      </c>
    </row>
    <row r="175" s="192" customFormat="1" ht="12" customHeight="1" spans="1:2">
      <c r="A175" s="229">
        <v>7</v>
      </c>
      <c r="B175" s="230" t="s">
        <v>11234</v>
      </c>
    </row>
    <row r="176" s="192" customFormat="1" ht="12" customHeight="1" spans="1:2">
      <c r="A176" s="229">
        <v>8</v>
      </c>
      <c r="B176" s="230" t="s">
        <v>11235</v>
      </c>
    </row>
    <row r="177" s="192" customFormat="1" ht="12" customHeight="1" spans="1:2">
      <c r="A177" s="237">
        <v>99</v>
      </c>
      <c r="B177" s="235" t="s">
        <v>11236</v>
      </c>
    </row>
    <row r="178" s="192" customFormat="1" ht="12" customHeight="1" spans="1:2">
      <c r="A178" s="236"/>
      <c r="B178" s="228"/>
    </row>
    <row r="179" s="192" customFormat="1" ht="12" customHeight="1" spans="1:2">
      <c r="A179" s="238" t="s">
        <v>11237</v>
      </c>
      <c r="B179" s="238"/>
    </row>
    <row r="180" s="192" customFormat="1" ht="12" customHeight="1" spans="1:2">
      <c r="A180" s="233" t="s">
        <v>634</v>
      </c>
      <c r="B180" s="234" t="s">
        <v>635</v>
      </c>
    </row>
    <row r="181" s="192" customFormat="1" ht="12" customHeight="1" spans="1:2">
      <c r="A181" s="229">
        <v>1</v>
      </c>
      <c r="B181" s="230" t="s">
        <v>11204</v>
      </c>
    </row>
    <row r="182" s="192" customFormat="1" ht="12" customHeight="1" spans="1:2">
      <c r="A182" s="229">
        <v>2</v>
      </c>
      <c r="B182" s="230" t="s">
        <v>11238</v>
      </c>
    </row>
    <row r="183" s="192" customFormat="1" ht="12" customHeight="1" spans="1:2">
      <c r="A183" s="229">
        <v>3</v>
      </c>
      <c r="B183" s="230" t="s">
        <v>11239</v>
      </c>
    </row>
    <row r="184" s="192" customFormat="1" ht="12" customHeight="1" spans="1:2">
      <c r="A184" s="229">
        <v>4</v>
      </c>
      <c r="B184" s="230" t="s">
        <v>11240</v>
      </c>
    </row>
    <row r="185" s="192" customFormat="1" ht="12" customHeight="1" spans="1:2">
      <c r="A185" s="229">
        <v>5</v>
      </c>
      <c r="B185" s="230" t="s">
        <v>11241</v>
      </c>
    </row>
    <row r="186" s="192" customFormat="1" ht="12" customHeight="1" spans="1:2">
      <c r="A186" s="229">
        <v>6</v>
      </c>
      <c r="B186" s="230" t="s">
        <v>11242</v>
      </c>
    </row>
    <row r="187" s="192" customFormat="1" ht="12" customHeight="1" spans="1:2">
      <c r="A187" s="229">
        <v>7</v>
      </c>
      <c r="B187" s="230" t="s">
        <v>11243</v>
      </c>
    </row>
    <row r="188" s="192" customFormat="1" ht="12" customHeight="1" spans="1:2">
      <c r="A188" s="229">
        <v>8</v>
      </c>
      <c r="B188" s="230" t="s">
        <v>11244</v>
      </c>
    </row>
    <row r="189" s="192" customFormat="1" ht="12" customHeight="1" spans="1:2">
      <c r="A189" s="229">
        <v>9</v>
      </c>
      <c r="B189" s="230" t="s">
        <v>11245</v>
      </c>
    </row>
    <row r="190" s="192" customFormat="1" ht="12" customHeight="1" spans="1:2">
      <c r="A190" s="229">
        <v>10</v>
      </c>
      <c r="B190" s="230" t="s">
        <v>11246</v>
      </c>
    </row>
    <row r="191" s="192" customFormat="1" ht="12" customHeight="1" spans="1:2">
      <c r="A191" s="229">
        <v>11</v>
      </c>
      <c r="B191" s="230" t="s">
        <v>11247</v>
      </c>
    </row>
    <row r="192" s="192" customFormat="1" ht="12" customHeight="1" spans="1:2">
      <c r="A192" s="229">
        <v>12</v>
      </c>
      <c r="B192" s="230" t="s">
        <v>11248</v>
      </c>
    </row>
    <row r="193" s="192" customFormat="1" ht="12" customHeight="1" spans="1:2">
      <c r="A193" s="229">
        <v>13</v>
      </c>
      <c r="B193" s="230" t="s">
        <v>11249</v>
      </c>
    </row>
    <row r="194" s="192" customFormat="1" ht="12" customHeight="1" spans="1:2">
      <c r="A194" s="229">
        <v>14</v>
      </c>
      <c r="B194" s="230" t="s">
        <v>11250</v>
      </c>
    </row>
    <row r="195" s="192" customFormat="1" ht="12" customHeight="1" spans="1:2">
      <c r="A195" s="229">
        <v>15</v>
      </c>
      <c r="B195" s="230" t="s">
        <v>11251</v>
      </c>
    </row>
    <row r="196" s="192" customFormat="1" ht="12" customHeight="1" spans="1:2">
      <c r="A196" s="229">
        <v>16</v>
      </c>
      <c r="B196" s="230" t="s">
        <v>11252</v>
      </c>
    </row>
    <row r="197" s="192" customFormat="1" ht="12" customHeight="1" spans="1:2">
      <c r="A197" s="229">
        <v>17</v>
      </c>
      <c r="B197" s="230" t="s">
        <v>11253</v>
      </c>
    </row>
    <row r="198" s="192" customFormat="1" ht="12" customHeight="1" spans="1:2">
      <c r="A198" s="229">
        <v>18</v>
      </c>
      <c r="B198" s="230" t="s">
        <v>11254</v>
      </c>
    </row>
    <row r="199" s="192" customFormat="1" ht="12" customHeight="1" spans="1:2">
      <c r="A199" s="229">
        <v>19</v>
      </c>
      <c r="B199" s="230" t="s">
        <v>11255</v>
      </c>
    </row>
    <row r="200" s="192" customFormat="1" ht="12" customHeight="1" spans="1:2">
      <c r="A200" s="229">
        <v>20</v>
      </c>
      <c r="B200" s="230" t="s">
        <v>11256</v>
      </c>
    </row>
    <row r="201" s="192" customFormat="1" ht="12" customHeight="1" spans="1:2">
      <c r="A201" s="229">
        <v>21</v>
      </c>
      <c r="B201" s="230" t="s">
        <v>11257</v>
      </c>
    </row>
    <row r="202" s="192" customFormat="1" ht="12" customHeight="1" spans="1:2">
      <c r="A202" s="229">
        <v>22</v>
      </c>
      <c r="B202" s="230" t="s">
        <v>11258</v>
      </c>
    </row>
    <row r="203" s="192" customFormat="1" ht="12" customHeight="1" spans="1:2">
      <c r="A203" s="229">
        <v>23</v>
      </c>
      <c r="B203" s="230" t="s">
        <v>11259</v>
      </c>
    </row>
    <row r="204" s="192" customFormat="1" ht="12" customHeight="1" spans="1:2">
      <c r="A204" s="229">
        <v>24</v>
      </c>
      <c r="B204" s="230" t="s">
        <v>11260</v>
      </c>
    </row>
    <row r="205" s="192" customFormat="1" ht="12" customHeight="1" spans="1:2">
      <c r="A205" s="229">
        <v>25</v>
      </c>
      <c r="B205" s="230" t="s">
        <v>11261</v>
      </c>
    </row>
    <row r="206" s="192" customFormat="1" ht="12" customHeight="1" spans="1:2">
      <c r="A206" s="229">
        <v>26</v>
      </c>
      <c r="B206" s="230" t="s">
        <v>11262</v>
      </c>
    </row>
    <row r="207" s="192" customFormat="1" ht="12" customHeight="1" spans="1:2">
      <c r="A207" s="229">
        <v>27</v>
      </c>
      <c r="B207" s="230" t="s">
        <v>11263</v>
      </c>
    </row>
    <row r="208" s="192" customFormat="1" ht="12" customHeight="1" spans="1:2">
      <c r="A208" s="229">
        <v>28</v>
      </c>
      <c r="B208" s="230" t="s">
        <v>11264</v>
      </c>
    </row>
    <row r="209" s="192" customFormat="1" ht="12" customHeight="1" spans="1:2">
      <c r="A209" s="229">
        <v>29</v>
      </c>
      <c r="B209" s="230" t="s">
        <v>11265</v>
      </c>
    </row>
    <row r="210" s="192" customFormat="1" ht="12" customHeight="1" spans="1:2">
      <c r="A210" s="229">
        <v>30</v>
      </c>
      <c r="B210" s="230" t="s">
        <v>11266</v>
      </c>
    </row>
    <row r="211" s="192" customFormat="1" ht="12" customHeight="1" spans="1:2">
      <c r="A211" s="229">
        <v>31</v>
      </c>
      <c r="B211" s="230" t="s">
        <v>11267</v>
      </c>
    </row>
    <row r="212" s="192" customFormat="1" ht="12" customHeight="1" spans="1:2">
      <c r="A212" s="229">
        <v>32</v>
      </c>
      <c r="B212" s="230" t="s">
        <v>11268</v>
      </c>
    </row>
    <row r="213" s="192" customFormat="1" ht="12" customHeight="1" spans="1:2">
      <c r="A213" s="229">
        <v>33</v>
      </c>
      <c r="B213" s="230" t="s">
        <v>11269</v>
      </c>
    </row>
    <row r="214" s="192" customFormat="1" ht="12" customHeight="1" spans="1:2">
      <c r="A214" s="229">
        <v>34</v>
      </c>
      <c r="B214" s="230" t="s">
        <v>11270</v>
      </c>
    </row>
    <row r="215" s="192" customFormat="1" ht="12" customHeight="1" spans="1:2">
      <c r="A215" s="229">
        <v>35</v>
      </c>
      <c r="B215" s="230" t="s">
        <v>11271</v>
      </c>
    </row>
    <row r="216" s="192" customFormat="1" ht="12" customHeight="1" spans="1:2">
      <c r="A216" s="229">
        <v>36</v>
      </c>
      <c r="B216" s="230" t="s">
        <v>11272</v>
      </c>
    </row>
    <row r="217" s="192" customFormat="1" ht="12" customHeight="1" spans="1:2">
      <c r="A217" s="229">
        <v>37</v>
      </c>
      <c r="B217" s="230" t="s">
        <v>11273</v>
      </c>
    </row>
    <row r="218" s="192" customFormat="1" ht="12" customHeight="1" spans="1:2">
      <c r="A218" s="229">
        <v>38</v>
      </c>
      <c r="B218" s="230" t="s">
        <v>11274</v>
      </c>
    </row>
    <row r="219" s="192" customFormat="1" ht="12" customHeight="1" spans="1:2">
      <c r="A219" s="229">
        <v>39</v>
      </c>
      <c r="B219" s="230" t="s">
        <v>11275</v>
      </c>
    </row>
    <row r="220" s="192" customFormat="1" ht="12" customHeight="1" spans="1:2">
      <c r="A220" s="229">
        <v>40</v>
      </c>
      <c r="B220" s="230" t="s">
        <v>11276</v>
      </c>
    </row>
    <row r="221" s="192" customFormat="1" ht="12" customHeight="1" spans="1:2">
      <c r="A221" s="229">
        <v>41</v>
      </c>
      <c r="B221" s="230" t="s">
        <v>11277</v>
      </c>
    </row>
    <row r="222" s="192" customFormat="1" ht="12" customHeight="1" spans="1:2">
      <c r="A222" s="229">
        <v>42</v>
      </c>
      <c r="B222" s="230" t="s">
        <v>11278</v>
      </c>
    </row>
    <row r="223" s="192" customFormat="1" ht="12" customHeight="1" spans="1:2">
      <c r="A223" s="229">
        <v>43</v>
      </c>
      <c r="B223" s="230" t="s">
        <v>11279</v>
      </c>
    </row>
    <row r="224" s="192" customFormat="1" ht="12" customHeight="1" spans="1:2">
      <c r="A224" s="229">
        <v>44</v>
      </c>
      <c r="B224" s="230" t="s">
        <v>11280</v>
      </c>
    </row>
    <row r="225" s="192" customFormat="1" ht="12" customHeight="1" spans="1:2">
      <c r="A225" s="229">
        <v>45</v>
      </c>
      <c r="B225" s="230" t="s">
        <v>11266</v>
      </c>
    </row>
    <row r="226" s="192" customFormat="1" ht="12" customHeight="1" spans="1:2">
      <c r="A226" s="229">
        <v>46</v>
      </c>
      <c r="B226" s="230" t="s">
        <v>11281</v>
      </c>
    </row>
    <row r="227" s="192" customFormat="1" ht="12" customHeight="1" spans="1:2">
      <c r="A227" s="229">
        <v>47</v>
      </c>
      <c r="B227" s="230" t="s">
        <v>11282</v>
      </c>
    </row>
    <row r="228" s="192" customFormat="1" ht="12" customHeight="1" spans="1:2">
      <c r="A228" s="229">
        <v>48</v>
      </c>
      <c r="B228" s="230" t="s">
        <v>11283</v>
      </c>
    </row>
    <row r="229" s="192" customFormat="1" ht="12" customHeight="1" spans="1:2">
      <c r="A229" s="229">
        <v>49</v>
      </c>
      <c r="B229" s="230" t="s">
        <v>11284</v>
      </c>
    </row>
    <row r="230" s="192" customFormat="1" ht="12" customHeight="1" spans="1:2">
      <c r="A230" s="229">
        <v>50</v>
      </c>
      <c r="B230" s="230" t="s">
        <v>11285</v>
      </c>
    </row>
    <row r="231" s="192" customFormat="1" ht="12" customHeight="1" spans="1:2">
      <c r="A231" s="229">
        <v>51</v>
      </c>
      <c r="B231" s="230" t="s">
        <v>11286</v>
      </c>
    </row>
    <row r="232" s="192" customFormat="1" ht="12" customHeight="1" spans="1:2">
      <c r="A232" s="229">
        <v>52</v>
      </c>
      <c r="B232" s="230" t="s">
        <v>11287</v>
      </c>
    </row>
    <row r="233" s="192" customFormat="1" ht="12" customHeight="1" spans="1:2">
      <c r="A233" s="229">
        <v>53</v>
      </c>
      <c r="B233" s="230" t="s">
        <v>11288</v>
      </c>
    </row>
    <row r="234" s="192" customFormat="1" ht="12" customHeight="1" spans="1:2">
      <c r="A234" s="229">
        <v>54</v>
      </c>
      <c r="B234" s="230" t="s">
        <v>11289</v>
      </c>
    </row>
    <row r="235" s="192" customFormat="1" ht="12" customHeight="1" spans="1:2">
      <c r="A235" s="237"/>
      <c r="B235" s="235"/>
    </row>
    <row r="236" s="192" customFormat="1" ht="12" customHeight="1" spans="1:2">
      <c r="A236" s="225" t="s">
        <v>1205</v>
      </c>
      <c r="B236" s="225"/>
    </row>
    <row r="237" s="192" customFormat="1" ht="12" customHeight="1" spans="1:2">
      <c r="A237" s="233" t="s">
        <v>215</v>
      </c>
      <c r="B237" s="234" t="s">
        <v>11290</v>
      </c>
    </row>
    <row r="238" s="192" customFormat="1" ht="12" customHeight="1" spans="1:2">
      <c r="A238" s="229">
        <v>1</v>
      </c>
      <c r="B238" s="230" t="s">
        <v>11291</v>
      </c>
    </row>
    <row r="239" s="192" customFormat="1" ht="12" customHeight="1" spans="1:2">
      <c r="A239" s="229">
        <v>2</v>
      </c>
      <c r="B239" s="230" t="s">
        <v>11292</v>
      </c>
    </row>
    <row r="240" s="192" customFormat="1" ht="12" customHeight="1" spans="1:2">
      <c r="A240" s="229">
        <v>3</v>
      </c>
      <c r="B240" s="230" t="s">
        <v>11293</v>
      </c>
    </row>
    <row r="241" s="192" customFormat="1" ht="12" customHeight="1" spans="1:2">
      <c r="A241" s="229">
        <v>4</v>
      </c>
      <c r="B241" s="230" t="s">
        <v>11294</v>
      </c>
    </row>
    <row r="242" s="192" customFormat="1" ht="12" customHeight="1" spans="1:2">
      <c r="A242" s="229">
        <v>5</v>
      </c>
      <c r="B242" s="230" t="s">
        <v>11295</v>
      </c>
    </row>
    <row r="243" s="192" customFormat="1" ht="12" customHeight="1" spans="1:2">
      <c r="A243" s="229">
        <v>6</v>
      </c>
      <c r="B243" s="230" t="s">
        <v>11296</v>
      </c>
    </row>
    <row r="244" s="192" customFormat="1" ht="12" customHeight="1" spans="1:2">
      <c r="A244" s="236"/>
      <c r="B244" s="228"/>
    </row>
    <row r="245" s="192" customFormat="1" ht="12" customHeight="1" spans="1:2">
      <c r="A245" s="225" t="s">
        <v>1210</v>
      </c>
      <c r="B245" s="225"/>
    </row>
    <row r="246" s="192" customFormat="1" ht="12" customHeight="1" spans="1:2">
      <c r="A246" s="233" t="s">
        <v>837</v>
      </c>
      <c r="B246" s="234" t="s">
        <v>11297</v>
      </c>
    </row>
    <row r="247" s="192" customFormat="1" ht="12" customHeight="1" spans="1:2">
      <c r="A247" s="229">
        <v>1</v>
      </c>
      <c r="B247" s="230" t="s">
        <v>11298</v>
      </c>
    </row>
    <row r="248" s="192" customFormat="1" ht="12" customHeight="1" spans="1:2">
      <c r="A248" s="229">
        <v>2</v>
      </c>
      <c r="B248" s="230" t="s">
        <v>11299</v>
      </c>
    </row>
    <row r="249" s="192" customFormat="1" ht="12" customHeight="1" spans="1:2">
      <c r="A249" s="236"/>
      <c r="B249" s="228"/>
    </row>
    <row r="250" s="192" customFormat="1" ht="12" customHeight="1" spans="1:2">
      <c r="A250" s="239" t="s">
        <v>11300</v>
      </c>
      <c r="B250" s="239"/>
    </row>
    <row r="251" s="192" customFormat="1" ht="12" customHeight="1" spans="1:2">
      <c r="A251" s="233" t="s">
        <v>1120</v>
      </c>
      <c r="B251" s="234" t="s">
        <v>11301</v>
      </c>
    </row>
    <row r="252" s="192" customFormat="1" ht="12" customHeight="1" spans="1:2">
      <c r="A252" s="229">
        <v>1</v>
      </c>
      <c r="B252" s="230" t="s">
        <v>11258</v>
      </c>
    </row>
    <row r="253" s="192" customFormat="1" ht="12" customHeight="1" spans="1:2">
      <c r="A253" s="229">
        <v>2</v>
      </c>
      <c r="B253" s="230" t="s">
        <v>11244</v>
      </c>
    </row>
    <row r="254" s="192" customFormat="1" ht="12" customHeight="1" spans="1:2">
      <c r="A254" s="229">
        <v>3</v>
      </c>
      <c r="B254" s="230" t="s">
        <v>11302</v>
      </c>
    </row>
    <row r="255" s="192" customFormat="1" ht="12" customHeight="1" spans="1:2">
      <c r="A255" s="229">
        <v>4</v>
      </c>
      <c r="B255" s="230" t="s">
        <v>11303</v>
      </c>
    </row>
    <row r="257" s="192" customFormat="1" ht="12" customHeight="1" spans="1:2">
      <c r="A257" s="225" t="s">
        <v>1219</v>
      </c>
      <c r="B257" s="225"/>
    </row>
    <row r="258" s="192" customFormat="1" ht="12" customHeight="1" spans="1:2">
      <c r="A258" s="233" t="s">
        <v>1111</v>
      </c>
      <c r="B258" s="234" t="s">
        <v>11304</v>
      </c>
    </row>
    <row r="259" s="192" customFormat="1" ht="12" customHeight="1" spans="1:2">
      <c r="A259" s="229">
        <v>1</v>
      </c>
      <c r="B259" s="230" t="s">
        <v>11305</v>
      </c>
    </row>
    <row r="260" s="192" customFormat="1" ht="12" customHeight="1" spans="1:2">
      <c r="A260" s="229">
        <v>2</v>
      </c>
      <c r="B260" s="230" t="s">
        <v>11306</v>
      </c>
    </row>
    <row r="261" s="192" customFormat="1" ht="12" customHeight="1" spans="1:2">
      <c r="A261" s="229">
        <v>3</v>
      </c>
      <c r="B261" s="230" t="s">
        <v>11303</v>
      </c>
    </row>
    <row r="262" s="192" customFormat="1" ht="12" customHeight="1" spans="1:2">
      <c r="A262" s="236"/>
      <c r="B262" s="228"/>
    </row>
    <row r="263" s="192" customFormat="1" ht="12" customHeight="1" spans="1:2">
      <c r="A263" s="225" t="s">
        <v>1224</v>
      </c>
      <c r="B263" s="225"/>
    </row>
    <row r="264" s="192" customFormat="1" ht="12" customHeight="1" spans="1:2">
      <c r="A264" s="233" t="s">
        <v>11307</v>
      </c>
      <c r="B264" s="234" t="s">
        <v>11308</v>
      </c>
    </row>
    <row r="265" s="192" customFormat="1" ht="12" customHeight="1" spans="1:2">
      <c r="A265" s="229">
        <v>1</v>
      </c>
      <c r="B265" s="230" t="s">
        <v>11309</v>
      </c>
    </row>
    <row r="266" s="192" customFormat="1" ht="12" customHeight="1" spans="1:2">
      <c r="A266" s="229">
        <v>2</v>
      </c>
      <c r="B266" s="230" t="s">
        <v>11310</v>
      </c>
    </row>
    <row r="267" s="192" customFormat="1" ht="12" customHeight="1" spans="1:2">
      <c r="A267" s="229">
        <v>3</v>
      </c>
      <c r="B267" s="230" t="s">
        <v>11311</v>
      </c>
    </row>
    <row r="268" s="192" customFormat="1" ht="12" customHeight="1" spans="1:2">
      <c r="A268" s="229">
        <v>4</v>
      </c>
      <c r="B268" s="230" t="s">
        <v>11312</v>
      </c>
    </row>
    <row r="269" s="192" customFormat="1" ht="12" customHeight="1" spans="1:2">
      <c r="A269" s="229">
        <v>5</v>
      </c>
      <c r="B269" s="230" t="s">
        <v>11313</v>
      </c>
    </row>
    <row r="271" s="192" customFormat="1" ht="12" customHeight="1" spans="1:2">
      <c r="A271" s="225" t="s">
        <v>1238</v>
      </c>
      <c r="B271" s="225"/>
    </row>
    <row r="272" s="192" customFormat="1" ht="12" customHeight="1" spans="1:2">
      <c r="A272" s="233" t="s">
        <v>206</v>
      </c>
      <c r="B272" s="234" t="s">
        <v>11314</v>
      </c>
    </row>
    <row r="273" s="192" customFormat="1" ht="12" customHeight="1" spans="1:2">
      <c r="A273" s="229">
        <v>1</v>
      </c>
      <c r="B273" s="230" t="s">
        <v>11236</v>
      </c>
    </row>
    <row r="274" s="192" customFormat="1" ht="12" customHeight="1" spans="1:2">
      <c r="A274" s="229">
        <v>2</v>
      </c>
      <c r="B274" s="230" t="s">
        <v>11315</v>
      </c>
    </row>
    <row r="275" s="192" customFormat="1" ht="12" customHeight="1" spans="1:2">
      <c r="A275" s="229">
        <v>3</v>
      </c>
      <c r="B275" s="230" t="s">
        <v>11316</v>
      </c>
    </row>
    <row r="276" s="192" customFormat="1" ht="12" customHeight="1" spans="1:2">
      <c r="A276" s="229">
        <v>4</v>
      </c>
      <c r="B276" s="230" t="s">
        <v>11317</v>
      </c>
    </row>
    <row r="277" s="192" customFormat="1" ht="12" customHeight="1" spans="1:2">
      <c r="A277" s="229">
        <v>5</v>
      </c>
      <c r="B277" s="230" t="s">
        <v>11303</v>
      </c>
    </row>
    <row r="278" s="192" customFormat="1" ht="12" customHeight="1" spans="1:2">
      <c r="A278" s="237">
        <v>6</v>
      </c>
      <c r="B278" s="235" t="s">
        <v>11318</v>
      </c>
    </row>
    <row r="279" s="192" customFormat="1" ht="12" customHeight="1" spans="1:2">
      <c r="A279" s="236"/>
      <c r="B279" s="228"/>
    </row>
    <row r="280" s="192" customFormat="1" ht="12" customHeight="1" spans="1:2">
      <c r="A280" s="225" t="s">
        <v>1252</v>
      </c>
      <c r="B280" s="225"/>
    </row>
    <row r="281" s="192" customFormat="1" ht="12" customHeight="1" spans="1:2">
      <c r="A281" s="233" t="s">
        <v>664</v>
      </c>
      <c r="B281" s="234" t="s">
        <v>11319</v>
      </c>
    </row>
    <row r="282" s="192" customFormat="1" ht="12" customHeight="1" spans="1:2">
      <c r="A282" s="229">
        <v>1</v>
      </c>
      <c r="B282" s="230" t="s">
        <v>11320</v>
      </c>
    </row>
    <row r="283" s="192" customFormat="1" ht="12" customHeight="1" spans="1:2">
      <c r="A283" s="229">
        <v>2</v>
      </c>
      <c r="B283" s="230" t="s">
        <v>11321</v>
      </c>
    </row>
    <row r="284" s="192" customFormat="1" ht="12" customHeight="1" spans="1:2">
      <c r="A284" s="229">
        <v>3</v>
      </c>
      <c r="B284" s="230" t="s">
        <v>11322</v>
      </c>
    </row>
    <row r="285" s="192" customFormat="1" ht="12" customHeight="1" spans="1:2">
      <c r="A285" s="229">
        <v>4</v>
      </c>
      <c r="B285" s="230" t="s">
        <v>11323</v>
      </c>
    </row>
    <row r="286" s="192" customFormat="1" ht="12" customHeight="1" spans="1:2">
      <c r="A286" s="236"/>
      <c r="B286" s="228"/>
    </row>
    <row r="287" s="192" customFormat="1" ht="12" customHeight="1" spans="1:2">
      <c r="A287" s="225" t="s">
        <v>1257</v>
      </c>
      <c r="B287" s="225"/>
    </row>
    <row r="288" s="192" customFormat="1" ht="12" customHeight="1" spans="1:2">
      <c r="A288" s="233" t="s">
        <v>191</v>
      </c>
      <c r="B288" s="234" t="s">
        <v>11324</v>
      </c>
    </row>
    <row r="289" s="192" customFormat="1" ht="12" customHeight="1" spans="1:2">
      <c r="A289" s="229">
        <v>1</v>
      </c>
      <c r="B289" s="230" t="s">
        <v>11325</v>
      </c>
    </row>
    <row r="290" s="192" customFormat="1" ht="12" customHeight="1" spans="1:2">
      <c r="A290" s="229">
        <v>2</v>
      </c>
      <c r="B290" s="230" t="s">
        <v>11326</v>
      </c>
    </row>
    <row r="291" s="192" customFormat="1" ht="12" customHeight="1" spans="1:2">
      <c r="A291" s="229">
        <v>3</v>
      </c>
      <c r="B291" s="230" t="s">
        <v>11327</v>
      </c>
    </row>
    <row r="292" s="192" customFormat="1" ht="12" customHeight="1" spans="1:2">
      <c r="A292" s="229">
        <v>4</v>
      </c>
      <c r="B292" s="230" t="s">
        <v>11328</v>
      </c>
    </row>
    <row r="293" s="192" customFormat="1" ht="12" customHeight="1" spans="1:2">
      <c r="A293" s="236"/>
      <c r="B293" s="228"/>
    </row>
    <row r="294" s="192" customFormat="1" ht="12" customHeight="1" spans="1:2">
      <c r="A294" s="225" t="s">
        <v>1262</v>
      </c>
      <c r="B294" s="225"/>
    </row>
    <row r="295" s="192" customFormat="1" ht="12" customHeight="1" spans="1:2">
      <c r="A295" s="233" t="s">
        <v>413</v>
      </c>
      <c r="B295" s="234" t="s">
        <v>11329</v>
      </c>
    </row>
    <row r="296" s="192" customFormat="1" ht="12" customHeight="1" spans="1:2">
      <c r="A296" s="229">
        <v>1</v>
      </c>
      <c r="B296" s="230" t="s">
        <v>11330</v>
      </c>
    </row>
    <row r="297" s="192" customFormat="1" ht="12" customHeight="1" spans="1:2">
      <c r="A297" s="229">
        <v>2</v>
      </c>
      <c r="B297" s="230" t="s">
        <v>11211</v>
      </c>
    </row>
    <row r="298" s="192" customFormat="1" ht="12" customHeight="1" spans="1:2">
      <c r="A298" s="229">
        <v>3</v>
      </c>
      <c r="B298" s="230" t="s">
        <v>11212</v>
      </c>
    </row>
    <row r="299" s="192" customFormat="1" ht="12" customHeight="1" spans="1:2">
      <c r="A299" s="229">
        <v>4</v>
      </c>
      <c r="B299" s="230" t="s">
        <v>11213</v>
      </c>
    </row>
    <row r="300" s="192" customFormat="1" ht="12" customHeight="1" spans="1:2">
      <c r="A300" s="240">
        <v>5</v>
      </c>
      <c r="B300" s="241" t="s">
        <v>11331</v>
      </c>
    </row>
    <row r="301" s="192" customFormat="1" ht="12" customHeight="1" spans="1:2">
      <c r="A301" s="236"/>
      <c r="B301" s="228"/>
    </row>
    <row r="302" s="192" customFormat="1" ht="12" customHeight="1" spans="1:2">
      <c r="A302" s="225" t="s">
        <v>1267</v>
      </c>
      <c r="B302" s="225"/>
    </row>
    <row r="303" s="192" customFormat="1" ht="12" customHeight="1" spans="1:2">
      <c r="A303" s="233" t="s">
        <v>474</v>
      </c>
      <c r="B303" s="234" t="s">
        <v>11332</v>
      </c>
    </row>
    <row r="304" s="192" customFormat="1" ht="12" customHeight="1" spans="1:2">
      <c r="A304" s="229">
        <v>1</v>
      </c>
      <c r="B304" s="230" t="s">
        <v>11333</v>
      </c>
    </row>
    <row r="305" s="192" customFormat="1" ht="12" customHeight="1" spans="1:2">
      <c r="A305" s="229">
        <v>2</v>
      </c>
      <c r="B305" s="230" t="s">
        <v>11334</v>
      </c>
    </row>
    <row r="306" s="192" customFormat="1" ht="12" customHeight="1" spans="1:2">
      <c r="A306" s="229">
        <v>3</v>
      </c>
      <c r="B306" s="230" t="s">
        <v>11335</v>
      </c>
    </row>
    <row r="307" s="192" customFormat="1" ht="12" customHeight="1" spans="1:2">
      <c r="A307" s="236"/>
      <c r="B307" s="228"/>
    </row>
    <row r="308" s="192" customFormat="1" ht="12" customHeight="1" spans="1:2">
      <c r="A308" s="225" t="s">
        <v>1272</v>
      </c>
      <c r="B308" s="225"/>
    </row>
    <row r="309" s="192" customFormat="1" ht="12" customHeight="1" spans="1:2">
      <c r="A309" s="233" t="s">
        <v>462</v>
      </c>
      <c r="B309" s="234" t="s">
        <v>11336</v>
      </c>
    </row>
    <row r="310" s="192" customFormat="1" ht="12" customHeight="1" spans="1:2">
      <c r="A310" s="229">
        <v>1</v>
      </c>
      <c r="B310" s="230" t="s">
        <v>11236</v>
      </c>
    </row>
    <row r="311" s="192" customFormat="1" ht="12" customHeight="1" spans="1:2">
      <c r="A311" s="229">
        <v>2</v>
      </c>
      <c r="B311" s="230" t="s">
        <v>11337</v>
      </c>
    </row>
    <row r="312" s="192" customFormat="1" ht="12" customHeight="1" spans="1:2">
      <c r="A312" s="229">
        <v>3</v>
      </c>
      <c r="B312" s="230" t="s">
        <v>11338</v>
      </c>
    </row>
    <row r="313" s="192" customFormat="1" ht="12" customHeight="1" spans="1:2">
      <c r="A313" s="229">
        <v>4</v>
      </c>
      <c r="B313" s="230" t="s">
        <v>11303</v>
      </c>
    </row>
    <row r="314" s="192" customFormat="1" ht="12" customHeight="1" spans="1:2">
      <c r="A314" s="236"/>
      <c r="B314" s="228"/>
    </row>
    <row r="315" s="192" customFormat="1" ht="12" customHeight="1" spans="1:2">
      <c r="A315" s="225" t="s">
        <v>1277</v>
      </c>
      <c r="B315" s="225"/>
    </row>
    <row r="316" s="192" customFormat="1" ht="12" customHeight="1" spans="1:2">
      <c r="A316" s="233" t="s">
        <v>465</v>
      </c>
      <c r="B316" s="234" t="s">
        <v>11339</v>
      </c>
    </row>
    <row r="317" s="192" customFormat="1" ht="12" customHeight="1" spans="1:2">
      <c r="A317" s="229">
        <v>1</v>
      </c>
      <c r="B317" s="230" t="s">
        <v>11333</v>
      </c>
    </row>
    <row r="318" s="192" customFormat="1" ht="12" customHeight="1" spans="1:2">
      <c r="A318" s="229">
        <v>2</v>
      </c>
      <c r="B318" s="230" t="s">
        <v>11340</v>
      </c>
    </row>
    <row r="319" s="192" customFormat="1" ht="12" customHeight="1" spans="1:2">
      <c r="A319" s="229">
        <v>3</v>
      </c>
      <c r="B319" s="230" t="s">
        <v>11341</v>
      </c>
    </row>
    <row r="320" s="192" customFormat="1" ht="12" customHeight="1" spans="1:2">
      <c r="A320" s="229">
        <v>4</v>
      </c>
      <c r="B320" s="230" t="s">
        <v>11342</v>
      </c>
    </row>
    <row r="321" s="192" customFormat="1" ht="12" customHeight="1" spans="1:2">
      <c r="A321" s="229">
        <v>5</v>
      </c>
      <c r="B321" s="230" t="s">
        <v>11303</v>
      </c>
    </row>
    <row r="322" s="192" customFormat="1" ht="12" customHeight="1" spans="1:2">
      <c r="A322" s="236"/>
      <c r="B322" s="228"/>
    </row>
    <row r="323" s="192" customFormat="1" ht="12" customHeight="1" spans="1:2">
      <c r="A323" s="225" t="s">
        <v>11343</v>
      </c>
      <c r="B323" s="225"/>
    </row>
    <row r="324" s="192" customFormat="1" ht="12" customHeight="1" spans="1:2">
      <c r="A324" s="233" t="s">
        <v>1006</v>
      </c>
      <c r="B324" s="234" t="s">
        <v>11344</v>
      </c>
    </row>
    <row r="325" s="192" customFormat="1" ht="12" customHeight="1" spans="1:2">
      <c r="A325" s="229">
        <v>1</v>
      </c>
      <c r="B325" s="230" t="s">
        <v>11333</v>
      </c>
    </row>
    <row r="326" s="192" customFormat="1" ht="12" customHeight="1" spans="1:2">
      <c r="A326" s="229">
        <v>2</v>
      </c>
      <c r="B326" s="230" t="s">
        <v>11345</v>
      </c>
    </row>
    <row r="327" s="192" customFormat="1" ht="12" customHeight="1" spans="1:2">
      <c r="A327" s="229">
        <v>3</v>
      </c>
      <c r="B327" s="230" t="s">
        <v>11346</v>
      </c>
    </row>
    <row r="328" s="192" customFormat="1" ht="12" customHeight="1" spans="1:2">
      <c r="A328" s="236"/>
      <c r="B328" s="228"/>
    </row>
    <row r="329" s="192" customFormat="1" ht="12" customHeight="1" spans="1:2">
      <c r="A329" s="225" t="s">
        <v>1287</v>
      </c>
      <c r="B329" s="225"/>
    </row>
    <row r="330" s="192" customFormat="1" ht="12" customHeight="1" spans="1:2">
      <c r="A330" s="233" t="s">
        <v>1027</v>
      </c>
      <c r="B330" s="234" t="s">
        <v>11347</v>
      </c>
    </row>
    <row r="331" s="192" customFormat="1" ht="12" customHeight="1" spans="1:2">
      <c r="A331" s="229">
        <v>1</v>
      </c>
      <c r="B331" s="230" t="s">
        <v>11348</v>
      </c>
    </row>
    <row r="332" s="192" customFormat="1" ht="12" customHeight="1" spans="1:2">
      <c r="A332" s="229">
        <v>2</v>
      </c>
      <c r="B332" s="230" t="s">
        <v>11349</v>
      </c>
    </row>
    <row r="333" s="192" customFormat="1" ht="12" customHeight="1" spans="1:2">
      <c r="A333" s="229">
        <v>3</v>
      </c>
      <c r="B333" s="230" t="s">
        <v>11303</v>
      </c>
    </row>
    <row r="334" s="192" customFormat="1" ht="12" customHeight="1" spans="1:2">
      <c r="A334" s="240">
        <v>4</v>
      </c>
      <c r="B334" s="241" t="s">
        <v>11350</v>
      </c>
    </row>
    <row r="335" s="192" customFormat="1" ht="12" customHeight="1" spans="1:2">
      <c r="A335" s="240">
        <v>5</v>
      </c>
      <c r="B335" s="241" t="s">
        <v>11351</v>
      </c>
    </row>
    <row r="337" s="192" customFormat="1" ht="12" customHeight="1" spans="1:2">
      <c r="A337" s="225" t="s">
        <v>1292</v>
      </c>
      <c r="B337" s="225"/>
    </row>
    <row r="338" s="192" customFormat="1" ht="12" customHeight="1" spans="1:2">
      <c r="A338" s="233" t="s">
        <v>1018</v>
      </c>
      <c r="B338" s="234" t="s">
        <v>1019</v>
      </c>
    </row>
    <row r="339" s="192" customFormat="1" ht="12" customHeight="1" spans="1:2">
      <c r="A339" s="229">
        <v>1</v>
      </c>
      <c r="B339" s="230" t="s">
        <v>11333</v>
      </c>
    </row>
    <row r="340" s="192" customFormat="1" ht="12" customHeight="1" spans="1:2">
      <c r="A340" s="229">
        <v>2</v>
      </c>
      <c r="B340" s="230" t="s">
        <v>11352</v>
      </c>
    </row>
    <row r="341" s="192" customFormat="1" ht="12" customHeight="1" spans="1:2">
      <c r="A341" s="229">
        <v>3</v>
      </c>
      <c r="B341" s="230" t="s">
        <v>11353</v>
      </c>
    </row>
    <row r="342" s="192" customFormat="1" ht="12" customHeight="1" spans="1:2">
      <c r="A342" s="229">
        <v>4</v>
      </c>
      <c r="B342" s="230" t="s">
        <v>11354</v>
      </c>
    </row>
    <row r="343" ht="12" customHeight="1"/>
    <row r="344" ht="12" customHeight="1" spans="1:2">
      <c r="A344" s="225" t="s">
        <v>11355</v>
      </c>
      <c r="B344" s="225"/>
    </row>
    <row r="345" s="192" customFormat="1" ht="12" customHeight="1" spans="1:2">
      <c r="A345" s="226" t="s">
        <v>1114</v>
      </c>
      <c r="B345" s="227" t="s">
        <v>11356</v>
      </c>
    </row>
    <row r="346" s="192" customFormat="1" ht="47.25" customHeight="1" spans="1:2">
      <c r="A346" s="242" t="s">
        <v>11212</v>
      </c>
      <c r="B346" s="230" t="s">
        <v>11357</v>
      </c>
    </row>
    <row r="347" s="192" customFormat="1" ht="67.5" spans="1:2">
      <c r="A347" s="242" t="s">
        <v>11358</v>
      </c>
      <c r="B347" s="230" t="s">
        <v>11359</v>
      </c>
    </row>
    <row r="348" s="192" customFormat="1" ht="67.5" spans="1:2">
      <c r="A348" s="242" t="s">
        <v>11360</v>
      </c>
      <c r="B348" s="230" t="s">
        <v>11361</v>
      </c>
    </row>
    <row r="349" customHeight="1"/>
    <row r="350" ht="12" customHeight="1" spans="1:2">
      <c r="A350" s="225" t="s">
        <v>1185</v>
      </c>
      <c r="B350" s="225"/>
    </row>
    <row r="351" s="192" customFormat="1" ht="12" customHeight="1" spans="1:2">
      <c r="A351" s="226" t="s">
        <v>11362</v>
      </c>
      <c r="B351" s="227" t="s">
        <v>11363</v>
      </c>
    </row>
    <row r="352" s="192" customFormat="1" ht="67.5" spans="1:2">
      <c r="A352" s="242" t="s">
        <v>11364</v>
      </c>
      <c r="B352" s="230" t="s">
        <v>11365</v>
      </c>
    </row>
    <row r="353" s="192" customFormat="1" ht="45" spans="1:4">
      <c r="A353" s="242" t="s">
        <v>11366</v>
      </c>
      <c r="B353" s="230" t="s">
        <v>11367</v>
      </c>
      <c r="C353" s="228"/>
      <c r="D353" s="228"/>
    </row>
    <row r="354" s="192" customFormat="1" ht="56.25" spans="1:4">
      <c r="A354" s="242" t="s">
        <v>11368</v>
      </c>
      <c r="B354" s="230" t="s">
        <v>11369</v>
      </c>
      <c r="C354" s="228"/>
      <c r="D354" s="228"/>
    </row>
    <row r="355" s="192" customFormat="1" ht="56.25" spans="1:4">
      <c r="A355" s="242" t="s">
        <v>11370</v>
      </c>
      <c r="B355" s="230" t="s">
        <v>11371</v>
      </c>
      <c r="C355" s="228"/>
      <c r="D355" s="228"/>
    </row>
    <row r="356" s="192" customFormat="1" ht="22.5" spans="1:4">
      <c r="A356" s="242" t="s">
        <v>11372</v>
      </c>
      <c r="B356" s="230" t="s">
        <v>11373</v>
      </c>
      <c r="C356" s="228"/>
      <c r="D356" s="228"/>
    </row>
    <row r="357" customHeight="1"/>
    <row r="358" s="192" customFormat="1" ht="12" customHeight="1" spans="1:4">
      <c r="A358" s="243" t="s">
        <v>11374</v>
      </c>
      <c r="B358" s="243"/>
      <c r="C358" s="228"/>
      <c r="D358" s="228"/>
    </row>
    <row r="359" s="192" customFormat="1" ht="12" customHeight="1" spans="1:4">
      <c r="A359" s="233" t="s">
        <v>11375</v>
      </c>
      <c r="B359" s="234" t="s">
        <v>11376</v>
      </c>
      <c r="C359" s="234" t="s">
        <v>11377</v>
      </c>
      <c r="D359" s="234" t="s">
        <v>11378</v>
      </c>
    </row>
    <row r="360" s="192" customFormat="1" ht="12" customHeight="1" spans="1:4">
      <c r="A360" s="229">
        <v>1</v>
      </c>
      <c r="B360" s="230" t="s">
        <v>11379</v>
      </c>
      <c r="C360" s="244">
        <v>0</v>
      </c>
      <c r="D360" s="244" t="s">
        <v>11380</v>
      </c>
    </row>
    <row r="361" s="192" customFormat="1" ht="12" customHeight="1" spans="1:4">
      <c r="A361" s="229">
        <v>2</v>
      </c>
      <c r="B361" s="230" t="s">
        <v>11381</v>
      </c>
      <c r="C361" s="244">
        <v>0</v>
      </c>
      <c r="D361" s="244" t="s">
        <v>11380</v>
      </c>
    </row>
    <row r="362" s="192" customFormat="1" ht="12" customHeight="1" spans="1:4">
      <c r="A362" s="229">
        <v>3</v>
      </c>
      <c r="B362" s="230" t="s">
        <v>11382</v>
      </c>
      <c r="C362" s="244">
        <v>0.1</v>
      </c>
      <c r="D362" s="244" t="s">
        <v>11383</v>
      </c>
    </row>
    <row r="363" s="192" customFormat="1" ht="12" customHeight="1" spans="1:4">
      <c r="A363" s="229">
        <v>4</v>
      </c>
      <c r="B363" s="230" t="s">
        <v>11384</v>
      </c>
      <c r="C363" s="244">
        <v>5</v>
      </c>
      <c r="D363" s="244" t="s">
        <v>11383</v>
      </c>
    </row>
    <row r="364" s="192" customFormat="1" ht="12" customHeight="1" spans="1:4">
      <c r="A364" s="229">
        <v>5</v>
      </c>
      <c r="B364" s="230" t="s">
        <v>11385</v>
      </c>
      <c r="C364" s="244">
        <v>10</v>
      </c>
      <c r="D364" s="244" t="s">
        <v>11383</v>
      </c>
    </row>
    <row r="365" s="192" customFormat="1" ht="12" customHeight="1" spans="1:4">
      <c r="A365" s="229">
        <v>6</v>
      </c>
      <c r="B365" s="230" t="s">
        <v>11386</v>
      </c>
      <c r="C365" s="244">
        <v>1</v>
      </c>
      <c r="D365" s="244" t="s">
        <v>11383</v>
      </c>
    </row>
    <row r="366" s="192" customFormat="1" ht="12" customHeight="1" spans="1:4">
      <c r="A366" s="229">
        <v>7</v>
      </c>
      <c r="B366" s="230" t="s">
        <v>11387</v>
      </c>
      <c r="C366" s="244">
        <v>0.01</v>
      </c>
      <c r="D366" s="244" t="s">
        <v>11383</v>
      </c>
    </row>
    <row r="367" s="192" customFormat="1" ht="12" customHeight="1" spans="1:4">
      <c r="A367" s="229">
        <v>8</v>
      </c>
      <c r="B367" s="230" t="s">
        <v>11388</v>
      </c>
      <c r="C367" s="244">
        <v>1</v>
      </c>
      <c r="D367" s="244" t="s">
        <v>11383</v>
      </c>
    </row>
    <row r="368" s="192" customFormat="1" ht="12" customHeight="1" spans="1:4">
      <c r="A368" s="229">
        <v>9</v>
      </c>
      <c r="B368" s="230" t="s">
        <v>11389</v>
      </c>
      <c r="C368" s="244">
        <v>10</v>
      </c>
      <c r="D368" s="244" t="s">
        <v>11383</v>
      </c>
    </row>
    <row r="369" s="192" customFormat="1" ht="12" customHeight="1" spans="1:4">
      <c r="A369" s="229">
        <v>10</v>
      </c>
      <c r="B369" s="230" t="s">
        <v>11390</v>
      </c>
      <c r="C369" s="244">
        <v>5</v>
      </c>
      <c r="D369" s="244" t="s">
        <v>11383</v>
      </c>
    </row>
    <row r="370" s="192" customFormat="1" ht="12" customHeight="1" spans="1:4">
      <c r="A370" s="229">
        <v>11</v>
      </c>
      <c r="B370" s="230" t="s">
        <v>11391</v>
      </c>
      <c r="C370" s="244">
        <v>50</v>
      </c>
      <c r="D370" s="244" t="s">
        <v>11383</v>
      </c>
    </row>
    <row r="371" s="192" customFormat="1" ht="12" customHeight="1" spans="1:4">
      <c r="A371" s="229">
        <v>12</v>
      </c>
      <c r="B371" s="230" t="s">
        <v>11392</v>
      </c>
      <c r="C371" s="244">
        <v>10</v>
      </c>
      <c r="D371" s="244" t="s">
        <v>903</v>
      </c>
    </row>
    <row r="372" s="192" customFormat="1" ht="12" customHeight="1" spans="1:4">
      <c r="A372" s="229">
        <v>13</v>
      </c>
      <c r="B372" s="230" t="s">
        <v>11393</v>
      </c>
      <c r="C372" s="244">
        <v>50</v>
      </c>
      <c r="D372" s="244" t="s">
        <v>11383</v>
      </c>
    </row>
    <row r="373" s="192" customFormat="1" ht="12" customHeight="1" spans="1:4">
      <c r="A373" s="229">
        <v>14</v>
      </c>
      <c r="B373" s="230" t="s">
        <v>11394</v>
      </c>
      <c r="C373" s="244">
        <v>3</v>
      </c>
      <c r="D373" s="244" t="s">
        <v>11383</v>
      </c>
    </row>
    <row r="374" s="192" customFormat="1" ht="12" customHeight="1" spans="1:4">
      <c r="A374" s="229">
        <v>15</v>
      </c>
      <c r="B374" s="230" t="s">
        <v>11395</v>
      </c>
      <c r="C374" s="244">
        <v>0.1</v>
      </c>
      <c r="D374" s="244" t="s">
        <v>11383</v>
      </c>
    </row>
    <row r="375" s="192" customFormat="1" ht="12" customHeight="1" spans="1:4">
      <c r="A375" s="229">
        <v>16</v>
      </c>
      <c r="B375" s="230" t="s">
        <v>11396</v>
      </c>
      <c r="C375" s="244">
        <v>1.5</v>
      </c>
      <c r="D375" s="244" t="s">
        <v>903</v>
      </c>
    </row>
    <row r="376" s="192" customFormat="1" ht="12" customHeight="1" spans="1:4">
      <c r="A376" s="229">
        <v>17</v>
      </c>
      <c r="B376" s="230" t="s">
        <v>11266</v>
      </c>
      <c r="C376" s="244">
        <v>10</v>
      </c>
      <c r="D376" s="244" t="s">
        <v>11383</v>
      </c>
    </row>
    <row r="377" s="192" customFormat="1" ht="12" customHeight="1" spans="1:4">
      <c r="A377" s="229">
        <v>18</v>
      </c>
      <c r="B377" s="230" t="s">
        <v>11397</v>
      </c>
      <c r="C377" s="244">
        <v>1</v>
      </c>
      <c r="D377" s="244" t="s">
        <v>11383</v>
      </c>
    </row>
    <row r="378" s="192" customFormat="1" ht="12" customHeight="1" spans="1:4">
      <c r="A378" s="229">
        <v>19</v>
      </c>
      <c r="B378" s="230" t="s">
        <v>11398</v>
      </c>
      <c r="C378" s="244">
        <v>20</v>
      </c>
      <c r="D378" s="244" t="s">
        <v>11383</v>
      </c>
    </row>
    <row r="379" s="192" customFormat="1" ht="12" customHeight="1" spans="1:4">
      <c r="A379" s="229">
        <v>20</v>
      </c>
      <c r="B379" s="230" t="s">
        <v>11399</v>
      </c>
      <c r="C379" s="244">
        <v>50</v>
      </c>
      <c r="D379" s="244" t="s">
        <v>903</v>
      </c>
    </row>
    <row r="380" s="192" customFormat="1" ht="12" customHeight="1" spans="1:4">
      <c r="A380" s="229">
        <v>21</v>
      </c>
      <c r="B380" s="230" t="s">
        <v>11400</v>
      </c>
      <c r="C380" s="244">
        <v>0.5</v>
      </c>
      <c r="D380" s="244" t="s">
        <v>903</v>
      </c>
    </row>
    <row r="381" s="192" customFormat="1" ht="12" customHeight="1" spans="1:4">
      <c r="A381" s="229">
        <v>22</v>
      </c>
      <c r="B381" s="230" t="s">
        <v>11401</v>
      </c>
      <c r="C381" s="244">
        <v>0.1</v>
      </c>
      <c r="D381" s="244" t="s">
        <v>11383</v>
      </c>
    </row>
    <row r="382" s="192" customFormat="1" ht="12" customHeight="1" spans="1:4">
      <c r="A382" s="229">
        <v>23</v>
      </c>
      <c r="B382" s="230" t="s">
        <v>11402</v>
      </c>
      <c r="C382" s="244">
        <v>0.5</v>
      </c>
      <c r="D382" s="244" t="s">
        <v>11383</v>
      </c>
    </row>
    <row r="383" s="192" customFormat="1" ht="12" customHeight="1" spans="1:4">
      <c r="A383" s="229">
        <v>24</v>
      </c>
      <c r="B383" s="230" t="s">
        <v>11403</v>
      </c>
      <c r="C383" s="244">
        <v>0.1</v>
      </c>
      <c r="D383" s="244" t="s">
        <v>11383</v>
      </c>
    </row>
    <row r="384" s="192" customFormat="1" ht="12" customHeight="1" spans="1:4">
      <c r="A384" s="229">
        <v>25</v>
      </c>
      <c r="B384" s="230" t="s">
        <v>11404</v>
      </c>
      <c r="C384" s="244">
        <v>10</v>
      </c>
      <c r="D384" s="244" t="s">
        <v>11383</v>
      </c>
    </row>
    <row r="385" s="192" customFormat="1" ht="12" customHeight="1" spans="1:4">
      <c r="A385" s="229">
        <v>26</v>
      </c>
      <c r="B385" s="230" t="s">
        <v>11405</v>
      </c>
      <c r="C385" s="244">
        <v>10</v>
      </c>
      <c r="D385" s="244" t="s">
        <v>11383</v>
      </c>
    </row>
    <row r="386" s="192" customFormat="1" ht="12" customHeight="1" spans="1:4">
      <c r="A386" s="229">
        <v>27</v>
      </c>
      <c r="B386" s="230" t="s">
        <v>11406</v>
      </c>
      <c r="C386" s="244">
        <v>30</v>
      </c>
      <c r="D386" s="244" t="s">
        <v>11383</v>
      </c>
    </row>
    <row r="387" s="192" customFormat="1" ht="12" customHeight="1" spans="1:4">
      <c r="A387" s="229">
        <v>28</v>
      </c>
      <c r="B387" s="230" t="s">
        <v>11407</v>
      </c>
      <c r="C387" s="244">
        <v>0.5</v>
      </c>
      <c r="D387" s="244" t="s">
        <v>11383</v>
      </c>
    </row>
    <row r="388" s="192" customFormat="1" ht="12" customHeight="1" spans="1:4">
      <c r="A388" s="229">
        <v>29</v>
      </c>
      <c r="B388" s="230" t="s">
        <v>11408</v>
      </c>
      <c r="C388" s="244">
        <v>200</v>
      </c>
      <c r="D388" s="244" t="s">
        <v>11383</v>
      </c>
    </row>
    <row r="389" s="192" customFormat="1" ht="12" customHeight="1" spans="1:4">
      <c r="A389" s="229">
        <v>30</v>
      </c>
      <c r="B389" s="230" t="s">
        <v>11409</v>
      </c>
      <c r="C389" s="244">
        <v>50</v>
      </c>
      <c r="D389" s="244" t="s">
        <v>11383</v>
      </c>
    </row>
    <row r="390" s="192" customFormat="1" ht="12" customHeight="1" spans="1:4">
      <c r="A390" s="229">
        <v>31</v>
      </c>
      <c r="B390" s="230" t="s">
        <v>11410</v>
      </c>
      <c r="C390" s="244">
        <v>100</v>
      </c>
      <c r="D390" s="244" t="s">
        <v>11411</v>
      </c>
    </row>
    <row r="391" s="192" customFormat="1" ht="12" customHeight="1" spans="1:4">
      <c r="A391" s="229">
        <v>32</v>
      </c>
      <c r="B391" s="230" t="s">
        <v>11412</v>
      </c>
      <c r="C391" s="244">
        <v>0.1</v>
      </c>
      <c r="D391" s="244" t="s">
        <v>11413</v>
      </c>
    </row>
    <row r="392" s="192" customFormat="1" ht="12" customHeight="1" spans="1:4">
      <c r="A392" s="236"/>
      <c r="B392" s="228"/>
      <c r="C392" s="228"/>
      <c r="D392" s="228"/>
    </row>
    <row r="393" customHeight="1"/>
    <row r="394" s="192" customFormat="1" customHeight="1" spans="1:8">
      <c r="A394" s="245" t="s">
        <v>11414</v>
      </c>
      <c r="B394" s="245" t="s">
        <v>11415</v>
      </c>
      <c r="C394" s="245" t="s">
        <v>11416</v>
      </c>
      <c r="D394" s="245" t="s">
        <v>11417</v>
      </c>
      <c r="E394" s="245" t="s">
        <v>11418</v>
      </c>
      <c r="F394" s="245" t="s">
        <v>11419</v>
      </c>
      <c r="G394" s="245" t="s">
        <v>11307</v>
      </c>
      <c r="H394" s="245" t="s">
        <v>11420</v>
      </c>
    </row>
    <row r="395" s="192" customFormat="1" customHeight="1" spans="1:8">
      <c r="A395" s="246">
        <v>1</v>
      </c>
      <c r="B395" s="247" t="s">
        <v>11421</v>
      </c>
      <c r="C395" s="247" t="s">
        <v>11422</v>
      </c>
      <c r="D395" s="247" t="s">
        <v>11423</v>
      </c>
      <c r="E395" s="247" t="s">
        <v>11424</v>
      </c>
      <c r="F395" s="247"/>
      <c r="G395" s="248">
        <v>2</v>
      </c>
      <c r="H395" s="248">
        <v>0</v>
      </c>
    </row>
    <row r="396" s="192" customFormat="1" customHeight="1" spans="1:8">
      <c r="A396" s="246">
        <v>2</v>
      </c>
      <c r="B396" s="247" t="s">
        <v>11425</v>
      </c>
      <c r="C396" s="247" t="s">
        <v>11426</v>
      </c>
      <c r="D396" s="247" t="s">
        <v>11427</v>
      </c>
      <c r="E396" s="247" t="s">
        <v>11428</v>
      </c>
      <c r="F396" s="247"/>
      <c r="G396" s="248">
        <v>2</v>
      </c>
      <c r="H396" s="248">
        <v>0</v>
      </c>
    </row>
    <row r="397" s="192" customFormat="1" customHeight="1" spans="1:8">
      <c r="A397" s="246">
        <v>3</v>
      </c>
      <c r="B397" s="247" t="s">
        <v>11429</v>
      </c>
      <c r="C397" s="247" t="s">
        <v>11430</v>
      </c>
      <c r="D397" s="247" t="s">
        <v>11431</v>
      </c>
      <c r="E397" s="247" t="s">
        <v>11432</v>
      </c>
      <c r="F397" s="247"/>
      <c r="G397" s="248">
        <v>2</v>
      </c>
      <c r="H397" s="248">
        <v>0</v>
      </c>
    </row>
    <row r="398" s="192" customFormat="1" customHeight="1" spans="1:8">
      <c r="A398" s="246">
        <v>4</v>
      </c>
      <c r="B398" s="247" t="s">
        <v>11433</v>
      </c>
      <c r="C398" s="247" t="s">
        <v>11434</v>
      </c>
      <c r="D398" s="247" t="s">
        <v>11435</v>
      </c>
      <c r="E398" s="247" t="s">
        <v>11436</v>
      </c>
      <c r="F398" s="247"/>
      <c r="G398" s="248">
        <v>2</v>
      </c>
      <c r="H398" s="248">
        <v>0</v>
      </c>
    </row>
    <row r="399" s="192" customFormat="1" customHeight="1" spans="1:8">
      <c r="A399" s="246">
        <v>21</v>
      </c>
      <c r="B399" s="247" t="s">
        <v>11437</v>
      </c>
      <c r="C399" s="247" t="s">
        <v>11438</v>
      </c>
      <c r="D399" s="247" t="s">
        <v>11439</v>
      </c>
      <c r="E399" s="247" t="s">
        <v>11440</v>
      </c>
      <c r="F399" s="247"/>
      <c r="G399" s="248">
        <v>2</v>
      </c>
      <c r="H399" s="248">
        <v>0</v>
      </c>
    </row>
    <row r="400" s="192" customFormat="1" customHeight="1" spans="1:8">
      <c r="A400" s="246">
        <v>5</v>
      </c>
      <c r="B400" s="247" t="s">
        <v>11441</v>
      </c>
      <c r="C400" s="247" t="s">
        <v>11442</v>
      </c>
      <c r="D400" s="247" t="s">
        <v>11443</v>
      </c>
      <c r="E400" s="247" t="s">
        <v>11444</v>
      </c>
      <c r="F400" s="247"/>
      <c r="G400" s="248">
        <v>2</v>
      </c>
      <c r="H400" s="248">
        <v>0</v>
      </c>
    </row>
    <row r="401" s="192" customFormat="1" customHeight="1" spans="1:8">
      <c r="A401" s="246">
        <v>6</v>
      </c>
      <c r="B401" s="247" t="s">
        <v>11445</v>
      </c>
      <c r="C401" s="247" t="s">
        <v>554</v>
      </c>
      <c r="D401" s="247" t="s">
        <v>11446</v>
      </c>
      <c r="E401" s="247" t="s">
        <v>11447</v>
      </c>
      <c r="F401" s="247"/>
      <c r="G401" s="248">
        <v>2</v>
      </c>
      <c r="H401" s="248">
        <v>1</v>
      </c>
    </row>
    <row r="402" s="192" customFormat="1" customHeight="1" spans="1:8">
      <c r="A402" s="246">
        <v>7</v>
      </c>
      <c r="B402" s="247" t="s">
        <v>11448</v>
      </c>
      <c r="C402" s="247" t="s">
        <v>11449</v>
      </c>
      <c r="D402" s="247" t="s">
        <v>11450</v>
      </c>
      <c r="E402" s="247" t="s">
        <v>11451</v>
      </c>
      <c r="F402" s="247"/>
      <c r="G402" s="248">
        <v>2</v>
      </c>
      <c r="H402" s="248">
        <v>0</v>
      </c>
    </row>
    <row r="403" s="192" customFormat="1" customHeight="1" spans="1:8">
      <c r="A403" s="246">
        <v>8</v>
      </c>
      <c r="B403" s="247" t="s">
        <v>11452</v>
      </c>
      <c r="C403" s="247" t="s">
        <v>11453</v>
      </c>
      <c r="D403" s="247" t="s">
        <v>11454</v>
      </c>
      <c r="E403" s="247" t="s">
        <v>11455</v>
      </c>
      <c r="F403" s="247"/>
      <c r="G403" s="248">
        <v>2</v>
      </c>
      <c r="H403" s="248">
        <v>0</v>
      </c>
    </row>
    <row r="404" s="192" customFormat="1" customHeight="1" spans="1:8">
      <c r="A404" s="246">
        <v>9</v>
      </c>
      <c r="B404" s="247" t="s">
        <v>11456</v>
      </c>
      <c r="C404" s="247" t="s">
        <v>11457</v>
      </c>
      <c r="D404" s="247" t="s">
        <v>11458</v>
      </c>
      <c r="E404" s="247" t="s">
        <v>11459</v>
      </c>
      <c r="F404" s="247"/>
      <c r="G404" s="248">
        <v>2</v>
      </c>
      <c r="H404" s="248">
        <v>1</v>
      </c>
    </row>
    <row r="405" s="192" customFormat="1" customHeight="1" spans="1:8">
      <c r="A405" s="246">
        <v>10</v>
      </c>
      <c r="B405" s="247" t="s">
        <v>11460</v>
      </c>
      <c r="C405" s="247" t="s">
        <v>11461</v>
      </c>
      <c r="D405" s="247" t="s">
        <v>11462</v>
      </c>
      <c r="E405" s="247" t="s">
        <v>11463</v>
      </c>
      <c r="F405" s="247"/>
      <c r="G405" s="248">
        <v>3</v>
      </c>
      <c r="H405" s="248">
        <v>1</v>
      </c>
    </row>
    <row r="406" s="192" customFormat="1" customHeight="1" spans="1:8">
      <c r="A406" s="246">
        <v>13</v>
      </c>
      <c r="B406" s="247" t="s">
        <v>11464</v>
      </c>
      <c r="C406" s="247" t="s">
        <v>11465</v>
      </c>
      <c r="D406" s="247" t="s">
        <v>11466</v>
      </c>
      <c r="E406" s="247" t="s">
        <v>11467</v>
      </c>
      <c r="F406" s="247"/>
      <c r="G406" s="248">
        <v>3</v>
      </c>
      <c r="H406" s="248">
        <v>0</v>
      </c>
    </row>
    <row r="407" s="192" customFormat="1" customHeight="1" spans="1:8">
      <c r="A407" s="246">
        <v>14</v>
      </c>
      <c r="B407" s="247" t="s">
        <v>11468</v>
      </c>
      <c r="C407" s="247" t="s">
        <v>861</v>
      </c>
      <c r="D407" s="247" t="s">
        <v>11469</v>
      </c>
      <c r="E407" s="247" t="s">
        <v>11470</v>
      </c>
      <c r="F407" s="247"/>
      <c r="G407" s="248">
        <v>3</v>
      </c>
      <c r="H407" s="248">
        <v>1</v>
      </c>
    </row>
    <row r="408" s="192" customFormat="1" customHeight="1" spans="1:8">
      <c r="A408" s="246">
        <v>15</v>
      </c>
      <c r="B408" s="247" t="s">
        <v>11471</v>
      </c>
      <c r="C408" s="247" t="s">
        <v>11472</v>
      </c>
      <c r="D408" s="247" t="s">
        <v>11473</v>
      </c>
      <c r="E408" s="247" t="s">
        <v>11474</v>
      </c>
      <c r="F408" s="247"/>
      <c r="G408" s="248">
        <v>3</v>
      </c>
      <c r="H408" s="248">
        <v>0</v>
      </c>
    </row>
    <row r="409" s="192" customFormat="1" customHeight="1" spans="1:8">
      <c r="A409" s="246">
        <v>16</v>
      </c>
      <c r="B409" s="247" t="s">
        <v>11475</v>
      </c>
      <c r="C409" s="247" t="s">
        <v>11476</v>
      </c>
      <c r="D409" s="247" t="s">
        <v>11477</v>
      </c>
      <c r="E409" s="247" t="s">
        <v>11478</v>
      </c>
      <c r="F409" s="247"/>
      <c r="G409" s="248">
        <v>3</v>
      </c>
      <c r="H409" s="248">
        <v>0</v>
      </c>
    </row>
    <row r="410" s="192" customFormat="1" customHeight="1" spans="1:8">
      <c r="A410" s="246">
        <v>18</v>
      </c>
      <c r="B410" s="247" t="s">
        <v>11479</v>
      </c>
      <c r="C410" s="247" t="s">
        <v>11480</v>
      </c>
      <c r="D410" s="247" t="s">
        <v>11481</v>
      </c>
      <c r="E410" s="247" t="s">
        <v>11482</v>
      </c>
      <c r="F410" s="247"/>
      <c r="G410" s="248">
        <v>3</v>
      </c>
      <c r="H410" s="248">
        <v>0</v>
      </c>
    </row>
    <row r="411" s="192" customFormat="1" customHeight="1" spans="1:8">
      <c r="A411" s="246">
        <v>19</v>
      </c>
      <c r="B411" s="247" t="s">
        <v>11483</v>
      </c>
      <c r="C411" s="247" t="s">
        <v>11484</v>
      </c>
      <c r="D411" s="247" t="s">
        <v>11485</v>
      </c>
      <c r="E411" s="247" t="s">
        <v>11486</v>
      </c>
      <c r="F411" s="247"/>
      <c r="G411" s="248">
        <v>2</v>
      </c>
      <c r="H411" s="248">
        <v>0</v>
      </c>
    </row>
    <row r="412" s="192" customFormat="1" customHeight="1" spans="1:8">
      <c r="A412" s="246">
        <v>20</v>
      </c>
      <c r="B412" s="247" t="s">
        <v>11487</v>
      </c>
      <c r="C412" s="247" t="s">
        <v>11488</v>
      </c>
      <c r="D412" s="247" t="s">
        <v>11489</v>
      </c>
      <c r="E412" s="247" t="s">
        <v>11490</v>
      </c>
      <c r="F412" s="247"/>
      <c r="G412" s="248">
        <v>1</v>
      </c>
      <c r="H412" s="248">
        <v>0</v>
      </c>
    </row>
  </sheetData>
  <mergeCells count="78">
    <mergeCell ref="A137:B137"/>
    <mergeCell ref="A146:B146"/>
    <mergeCell ref="A154:B154"/>
    <mergeCell ref="A167:B167"/>
    <mergeCell ref="A179:B179"/>
    <mergeCell ref="A236:B236"/>
    <mergeCell ref="A245:B245"/>
    <mergeCell ref="A250:B250"/>
    <mergeCell ref="A257:B257"/>
    <mergeCell ref="A263:B263"/>
    <mergeCell ref="A271:B271"/>
    <mergeCell ref="A280:B280"/>
    <mergeCell ref="A287:B287"/>
    <mergeCell ref="A294:B294"/>
    <mergeCell ref="A302:B302"/>
    <mergeCell ref="A308:B308"/>
    <mergeCell ref="A315:B315"/>
    <mergeCell ref="A323:B323"/>
    <mergeCell ref="A329:B329"/>
    <mergeCell ref="A337:B337"/>
    <mergeCell ref="A344:B344"/>
    <mergeCell ref="A350:B350"/>
    <mergeCell ref="A358:B358"/>
    <mergeCell ref="A1:A2"/>
    <mergeCell ref="A3:A15"/>
    <mergeCell ref="A16:A19"/>
    <mergeCell ref="A20:A23"/>
    <mergeCell ref="A24:A26"/>
    <mergeCell ref="A27:A29"/>
    <mergeCell ref="A33:A42"/>
    <mergeCell ref="A43:A46"/>
    <mergeCell ref="A47:A49"/>
    <mergeCell ref="A50:A52"/>
    <mergeCell ref="A53:A56"/>
    <mergeCell ref="A57:A66"/>
    <mergeCell ref="A67:A75"/>
    <mergeCell ref="A76:A79"/>
    <mergeCell ref="A80:A83"/>
    <mergeCell ref="A84:A87"/>
    <mergeCell ref="A88:A91"/>
    <mergeCell ref="A92:A95"/>
    <mergeCell ref="A96: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C1:C2"/>
    <mergeCell ref="C20:C23"/>
    <mergeCell ref="C24:C26"/>
    <mergeCell ref="C27:C29"/>
    <mergeCell ref="C43:C46"/>
    <mergeCell ref="C47:C49"/>
    <mergeCell ref="C50:C52"/>
    <mergeCell ref="C76:C79"/>
    <mergeCell ref="C80:C83"/>
    <mergeCell ref="C84:C87"/>
    <mergeCell ref="C88:C91"/>
    <mergeCell ref="C92:C95"/>
    <mergeCell ref="C100:C102"/>
    <mergeCell ref="C103:C105"/>
    <mergeCell ref="C106:C108"/>
    <mergeCell ref="C109:C111"/>
    <mergeCell ref="C112:C114"/>
    <mergeCell ref="C115:C117"/>
    <mergeCell ref="C118:C120"/>
    <mergeCell ref="C121:C123"/>
    <mergeCell ref="C124:C126"/>
    <mergeCell ref="C127:C129"/>
    <mergeCell ref="C130:C132"/>
    <mergeCell ref="C133:C135"/>
  </mergeCells>
  <pageMargins left="0.75" right="0.75" top="1" bottom="1"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
  <sheetViews>
    <sheetView workbookViewId="0">
      <selection activeCell="A33" sqref="A33"/>
    </sheetView>
  </sheetViews>
  <sheetFormatPr defaultColWidth="8.71428571428571" defaultRowHeight="12.75"/>
  <cols>
    <col min="1" max="1" width="10" customWidth="1"/>
    <col min="2" max="2" width="18.2857142857143" customWidth="1"/>
    <col min="3" max="17" width="3.14285714285714" customWidth="1"/>
    <col min="18" max="18" width="53.2857142857143" customWidth="1"/>
  </cols>
  <sheetData>
    <row r="1" ht="27" customHeight="1" spans="1:18">
      <c r="A1" s="183" t="s">
        <v>11056</v>
      </c>
      <c r="B1" s="183" t="s">
        <v>11491</v>
      </c>
      <c r="R1" s="183" t="s">
        <v>11058</v>
      </c>
    </row>
    <row r="2" spans="1:18">
      <c r="A2" s="184">
        <v>1</v>
      </c>
      <c r="B2" s="185" t="s">
        <v>11492</v>
      </c>
      <c r="R2" s="191" t="s">
        <v>11493</v>
      </c>
    </row>
    <row r="3" spans="1:18">
      <c r="A3" s="186">
        <v>2</v>
      </c>
      <c r="B3" s="187" t="s">
        <v>11494</v>
      </c>
      <c r="R3" s="191" t="s">
        <v>11495</v>
      </c>
    </row>
    <row r="4" spans="1:18">
      <c r="A4" s="186">
        <v>21</v>
      </c>
      <c r="B4" s="187"/>
      <c r="R4" s="191" t="s">
        <v>11496</v>
      </c>
    </row>
    <row r="5" spans="1:18">
      <c r="A5" s="186">
        <v>22</v>
      </c>
      <c r="B5" s="188"/>
      <c r="R5" s="191" t="s">
        <v>11497</v>
      </c>
    </row>
    <row r="6" spans="1:18">
      <c r="A6" s="186">
        <v>41</v>
      </c>
      <c r="B6" s="187" t="s">
        <v>11498</v>
      </c>
      <c r="R6" s="191" t="s">
        <v>11499</v>
      </c>
    </row>
    <row r="7" spans="1:18">
      <c r="A7" s="186">
        <v>42</v>
      </c>
      <c r="B7" s="187" t="s">
        <v>11500</v>
      </c>
      <c r="R7" s="191" t="s">
        <v>11501</v>
      </c>
    </row>
    <row r="8" spans="1:18">
      <c r="A8" s="186">
        <v>43</v>
      </c>
      <c r="B8" s="187"/>
      <c r="R8" s="191" t="s">
        <v>11502</v>
      </c>
    </row>
    <row r="9" spans="1:18">
      <c r="A9" s="186">
        <v>44</v>
      </c>
      <c r="B9" s="187" t="s">
        <v>11500</v>
      </c>
      <c r="R9" s="191" t="s">
        <v>11503</v>
      </c>
    </row>
    <row r="10" spans="1:18">
      <c r="A10" s="189">
        <v>61</v>
      </c>
      <c r="B10" s="190"/>
      <c r="R10" s="191" t="s">
        <v>11504</v>
      </c>
    </row>
  </sheetData>
  <pageMargins left="0.75" right="0.75" top="1" bottom="1"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26"/>
  <sheetViews>
    <sheetView tabSelected="1" topLeftCell="BV1" workbookViewId="0">
      <selection activeCell="CB26" sqref="CB26"/>
    </sheetView>
  </sheetViews>
  <sheetFormatPr defaultColWidth="10.7142857142857" defaultRowHeight="12.75"/>
  <cols>
    <col min="1" max="1" width="26.1428571428571" style="3" customWidth="1"/>
    <col min="2" max="2" width="35.2857142857143" style="3" customWidth="1"/>
    <col min="3" max="3" width="29.2857142857143" style="3" customWidth="1"/>
    <col min="4" max="4" width="16.2857142857143" style="3" customWidth="1"/>
    <col min="5" max="5" width="14.2857142857143" style="3" customWidth="1"/>
    <col min="6" max="6" width="10.7142857142857" style="3"/>
    <col min="7" max="7" width="13" style="3" customWidth="1"/>
    <col min="8" max="8" width="15.1428571428571" style="3" customWidth="1"/>
    <col min="9" max="9" width="10.7142857142857" style="3"/>
    <col min="10" max="10" width="14.2857142857143" style="3" customWidth="1"/>
    <col min="11" max="11" width="24.1428571428571" style="3" customWidth="1"/>
    <col min="12" max="12" width="10.7142857142857" style="3"/>
    <col min="13" max="13" width="50.1428571428571" style="3" customWidth="1"/>
    <col min="14" max="14" width="13" style="3" customWidth="1"/>
    <col min="15" max="21" width="10.7142857142857" style="3"/>
    <col min="22" max="23" width="19.1428571428571" style="3" customWidth="1"/>
    <col min="24" max="54" width="10.7142857142857" style="3"/>
    <col min="55" max="55" width="21" style="3" customWidth="1"/>
    <col min="56" max="56" width="16.8571428571429" style="3" customWidth="1"/>
    <col min="57" max="57" width="21" style="3" customWidth="1"/>
    <col min="58" max="58" width="11.1428571428571" customWidth="1"/>
    <col min="59" max="59" width="16.1428571428571" customWidth="1"/>
    <col min="60" max="60" width="18.2857142857143" customWidth="1"/>
    <col min="61" max="61" width="13.1428571428571" customWidth="1"/>
    <col min="62" max="62" width="13.8571428571429" customWidth="1"/>
    <col min="63" max="63" width="25.4285714285714" customWidth="1"/>
    <col min="64" max="64" width="17" customWidth="1"/>
    <col min="65" max="65" width="15.7142857142857" customWidth="1"/>
    <col min="66" max="66" width="15.8571428571429" customWidth="1"/>
    <col min="67" max="67" width="15" customWidth="1"/>
    <col min="68" max="68" width="22.5714285714286" customWidth="1"/>
    <col min="69" max="69" width="32.5714285714286" customWidth="1"/>
    <col min="70" max="70" width="17.4285714285714" style="3" customWidth="1"/>
    <col min="71" max="71" width="21.2857142857143" style="3" customWidth="1"/>
    <col min="72" max="72" width="26.1428571428571" style="3" customWidth="1"/>
    <col min="73" max="73" width="16.8571428571429" style="160" customWidth="1"/>
    <col min="74" max="74" width="23.1428571428571" style="160" customWidth="1"/>
    <col min="75" max="75" width="15.4285714285714" style="23" customWidth="1"/>
    <col min="76" max="76" width="18.8571428571429" style="23" customWidth="1"/>
    <col min="77" max="77" width="18.4285714285714" style="23" customWidth="1"/>
    <col min="78" max="78" width="16.7142857142857" style="3" customWidth="1"/>
    <col min="79" max="79" width="47.7142857142857" style="3" customWidth="1"/>
    <col min="80" max="80" width="62.2857142857143" style="3" customWidth="1"/>
    <col min="81" max="81" width="62.7142857142857" style="177" customWidth="1"/>
    <col min="82" max="1024" width="10.7142857142857" style="3"/>
  </cols>
  <sheetData>
    <row r="1" ht="94.5" customHeight="1" spans="1:78">
      <c r="A1" s="8" t="s">
        <v>11505</v>
      </c>
      <c r="B1" s="8" t="s">
        <v>11506</v>
      </c>
      <c r="C1" s="8" t="s">
        <v>11507</v>
      </c>
      <c r="D1" s="8" t="s">
        <v>11508</v>
      </c>
      <c r="E1" s="8" t="s">
        <v>11509</v>
      </c>
      <c r="F1" s="8" t="s">
        <v>11510</v>
      </c>
      <c r="G1" s="27" t="s">
        <v>11511</v>
      </c>
      <c r="H1" s="27" t="s">
        <v>11512</v>
      </c>
      <c r="I1" s="8" t="s">
        <v>11513</v>
      </c>
      <c r="J1" s="8" t="s">
        <v>11514</v>
      </c>
      <c r="K1" s="8" t="s">
        <v>11515</v>
      </c>
      <c r="L1" s="8" t="s">
        <v>11516</v>
      </c>
      <c r="M1" s="8" t="s">
        <v>11517</v>
      </c>
      <c r="N1" s="8" t="s">
        <v>11518</v>
      </c>
      <c r="O1" s="8" t="s">
        <v>11519</v>
      </c>
      <c r="P1" s="8" t="s">
        <v>11520</v>
      </c>
      <c r="Q1" s="27" t="s">
        <v>11521</v>
      </c>
      <c r="R1" s="8" t="s">
        <v>11522</v>
      </c>
      <c r="S1" s="8" t="s">
        <v>11523</v>
      </c>
      <c r="T1" s="8" t="s">
        <v>11524</v>
      </c>
      <c r="U1" s="8" t="s">
        <v>11525</v>
      </c>
      <c r="V1" s="8" t="s">
        <v>11526</v>
      </c>
      <c r="W1" s="8" t="s">
        <v>11527</v>
      </c>
      <c r="X1" s="8" t="s">
        <v>11528</v>
      </c>
      <c r="Y1" s="8" t="s">
        <v>11529</v>
      </c>
      <c r="Z1" s="8" t="s">
        <v>11530</v>
      </c>
      <c r="AA1" s="8" t="s">
        <v>11531</v>
      </c>
      <c r="AB1" s="8" t="s">
        <v>11532</v>
      </c>
      <c r="AC1" s="8" t="s">
        <v>11533</v>
      </c>
      <c r="AD1" s="8" t="s">
        <v>11534</v>
      </c>
      <c r="AE1" s="8" t="s">
        <v>11535</v>
      </c>
      <c r="AF1" s="8" t="s">
        <v>11536</v>
      </c>
      <c r="AG1" s="8" t="s">
        <v>11537</v>
      </c>
      <c r="AH1" s="8" t="s">
        <v>11538</v>
      </c>
      <c r="AI1" s="8" t="s">
        <v>11539</v>
      </c>
      <c r="AJ1" s="8" t="s">
        <v>11540</v>
      </c>
      <c r="AK1" s="8" t="s">
        <v>11541</v>
      </c>
      <c r="AL1" s="8" t="s">
        <v>11542</v>
      </c>
      <c r="AM1" s="8" t="s">
        <v>11543</v>
      </c>
      <c r="AN1" s="8" t="s">
        <v>11544</v>
      </c>
      <c r="AO1" s="8" t="s">
        <v>11545</v>
      </c>
      <c r="AP1" s="8" t="s">
        <v>11546</v>
      </c>
      <c r="AQ1" s="8" t="s">
        <v>11547</v>
      </c>
      <c r="AR1" s="8" t="s">
        <v>11548</v>
      </c>
      <c r="AS1" s="8" t="s">
        <v>11549</v>
      </c>
      <c r="AT1" s="8" t="s">
        <v>11550</v>
      </c>
      <c r="AU1" s="8" t="s">
        <v>11551</v>
      </c>
      <c r="AV1" s="8" t="s">
        <v>11552</v>
      </c>
      <c r="AW1" s="8" t="s">
        <v>11553</v>
      </c>
      <c r="AX1" s="8" t="s">
        <v>11554</v>
      </c>
      <c r="AY1" s="8" t="s">
        <v>11555</v>
      </c>
      <c r="AZ1" s="8" t="s">
        <v>11556</v>
      </c>
      <c r="BA1" s="8" t="s">
        <v>11557</v>
      </c>
      <c r="BB1" s="8" t="s">
        <v>11558</v>
      </c>
      <c r="BC1" s="12" t="s">
        <v>11559</v>
      </c>
      <c r="BD1" s="13" t="s">
        <v>11560</v>
      </c>
      <c r="BE1" s="13" t="s">
        <v>11561</v>
      </c>
      <c r="BF1" s="13" t="s">
        <v>11562</v>
      </c>
      <c r="BG1" s="13" t="s">
        <v>11563</v>
      </c>
      <c r="BH1" s="13" t="s">
        <v>11564</v>
      </c>
      <c r="BI1" s="13" t="s">
        <v>11565</v>
      </c>
      <c r="BJ1" s="13" t="s">
        <v>11566</v>
      </c>
      <c r="BK1" s="13" t="s">
        <v>11567</v>
      </c>
      <c r="BL1" s="13" t="s">
        <v>11568</v>
      </c>
      <c r="BM1" s="13"/>
      <c r="BN1" s="13"/>
      <c r="BO1" s="13" t="s">
        <v>11569</v>
      </c>
      <c r="BP1" s="13" t="s">
        <v>11570</v>
      </c>
      <c r="BQ1" s="13" t="s">
        <v>11571</v>
      </c>
      <c r="BR1" s="13"/>
      <c r="BS1" s="13" t="s">
        <v>11572</v>
      </c>
      <c r="BT1" s="13" t="s">
        <v>11572</v>
      </c>
      <c r="BU1" s="13" t="s">
        <v>11573</v>
      </c>
      <c r="BV1" s="13" t="s">
        <v>11574</v>
      </c>
      <c r="BW1" s="33" t="s">
        <v>11575</v>
      </c>
      <c r="BX1" s="34" t="s">
        <v>11576</v>
      </c>
      <c r="BY1" s="34" t="s">
        <v>11577</v>
      </c>
      <c r="BZ1" s="24"/>
    </row>
    <row r="2" s="179" customFormat="1" ht="52.5" customHeight="1" spans="1:77">
      <c r="A2" s="9" t="s">
        <v>11578</v>
      </c>
      <c r="B2" s="9" t="s">
        <v>11579</v>
      </c>
      <c r="C2" s="9" t="s">
        <v>11580</v>
      </c>
      <c r="D2" s="9" t="s">
        <v>11581</v>
      </c>
      <c r="E2" s="9" t="s">
        <v>11582</v>
      </c>
      <c r="F2" s="9" t="s">
        <v>11583</v>
      </c>
      <c r="G2" s="29" t="s">
        <v>11584</v>
      </c>
      <c r="H2" s="29" t="s">
        <v>11585</v>
      </c>
      <c r="I2" s="9" t="s">
        <v>11586</v>
      </c>
      <c r="J2" s="9" t="s">
        <v>11587</v>
      </c>
      <c r="K2" s="9" t="s">
        <v>11588</v>
      </c>
      <c r="L2" s="9" t="s">
        <v>11589</v>
      </c>
      <c r="M2" s="9" t="s">
        <v>11590</v>
      </c>
      <c r="N2" s="9" t="s">
        <v>11591</v>
      </c>
      <c r="O2" s="9" t="s">
        <v>11592</v>
      </c>
      <c r="P2" s="9" t="s">
        <v>11593</v>
      </c>
      <c r="Q2" s="29" t="s">
        <v>11594</v>
      </c>
      <c r="R2" s="9" t="s">
        <v>11595</v>
      </c>
      <c r="S2" s="9" t="s">
        <v>11596</v>
      </c>
      <c r="T2" s="9" t="s">
        <v>11597</v>
      </c>
      <c r="U2" s="9" t="s">
        <v>11598</v>
      </c>
      <c r="V2" s="9" t="s">
        <v>11599</v>
      </c>
      <c r="W2" s="9" t="s">
        <v>11600</v>
      </c>
      <c r="X2" s="9" t="s">
        <v>11601</v>
      </c>
      <c r="Y2" s="9" t="s">
        <v>11602</v>
      </c>
      <c r="Z2" s="9" t="s">
        <v>11603</v>
      </c>
      <c r="AA2" s="9" t="s">
        <v>11604</v>
      </c>
      <c r="AB2" s="9" t="s">
        <v>11605</v>
      </c>
      <c r="AC2" s="9" t="s">
        <v>11606</v>
      </c>
      <c r="AD2" s="9" t="s">
        <v>11607</v>
      </c>
      <c r="AE2" s="9" t="s">
        <v>11608</v>
      </c>
      <c r="AF2" s="9" t="s">
        <v>11609</v>
      </c>
      <c r="AG2" s="9" t="s">
        <v>11610</v>
      </c>
      <c r="AH2" s="9" t="s">
        <v>11611</v>
      </c>
      <c r="AI2" s="9" t="s">
        <v>11612</v>
      </c>
      <c r="AJ2" s="9" t="s">
        <v>11613</v>
      </c>
      <c r="AK2" s="9" t="s">
        <v>11614</v>
      </c>
      <c r="AL2" s="9" t="s">
        <v>11615</v>
      </c>
      <c r="AM2" s="9" t="s">
        <v>11616</v>
      </c>
      <c r="AN2" s="9" t="s">
        <v>11617</v>
      </c>
      <c r="AO2" s="9" t="s">
        <v>11618</v>
      </c>
      <c r="AP2" s="9" t="s">
        <v>11619</v>
      </c>
      <c r="AQ2" s="9" t="s">
        <v>11620</v>
      </c>
      <c r="AR2" s="9" t="s">
        <v>11621</v>
      </c>
      <c r="AS2" s="9" t="s">
        <v>11622</v>
      </c>
      <c r="AT2" s="9" t="s">
        <v>11623</v>
      </c>
      <c r="AU2" s="9" t="s">
        <v>11624</v>
      </c>
      <c r="AV2" s="9" t="s">
        <v>11625</v>
      </c>
      <c r="AW2" s="9" t="s">
        <v>11626</v>
      </c>
      <c r="AX2" s="9" t="s">
        <v>11627</v>
      </c>
      <c r="AY2" s="9" t="s">
        <v>11628</v>
      </c>
      <c r="AZ2" s="9" t="s">
        <v>11629</v>
      </c>
      <c r="BA2" s="9" t="s">
        <v>11630</v>
      </c>
      <c r="BB2" s="9" t="s">
        <v>11631</v>
      </c>
      <c r="BC2" s="14"/>
      <c r="BD2" s="13"/>
      <c r="BE2" s="13"/>
      <c r="BF2" s="18"/>
      <c r="BG2" s="18"/>
      <c r="BH2" s="18"/>
      <c r="BI2" s="18"/>
      <c r="BJ2" s="18"/>
      <c r="BK2" s="18"/>
      <c r="BL2" s="18"/>
      <c r="BM2" s="18"/>
      <c r="BN2" s="18"/>
      <c r="BO2" s="18"/>
      <c r="BP2" s="18"/>
      <c r="BQ2" s="18"/>
      <c r="BR2" s="18"/>
      <c r="BS2" s="18"/>
      <c r="BT2" s="77"/>
      <c r="BU2" s="17"/>
      <c r="BV2" s="17"/>
      <c r="BW2" s="34"/>
      <c r="BX2" s="34"/>
      <c r="BY2" s="34"/>
    </row>
    <row r="3" ht="75.75" customHeight="1" spans="1:78">
      <c r="A3" s="10" t="s">
        <v>11632</v>
      </c>
      <c r="B3" s="10" t="s">
        <v>11633</v>
      </c>
      <c r="C3" s="10" t="s">
        <v>11634</v>
      </c>
      <c r="D3" s="10" t="s">
        <v>11635</v>
      </c>
      <c r="E3" s="10" t="s">
        <v>11636</v>
      </c>
      <c r="F3" s="10" t="s">
        <v>11637</v>
      </c>
      <c r="G3" s="10">
        <v>110700</v>
      </c>
      <c r="H3" s="10">
        <v>110800</v>
      </c>
      <c r="I3" s="10" t="s">
        <v>11638</v>
      </c>
      <c r="J3" s="10" t="s">
        <v>11639</v>
      </c>
      <c r="K3" s="10" t="s">
        <v>11640</v>
      </c>
      <c r="L3" s="10" t="s">
        <v>11641</v>
      </c>
      <c r="M3" s="10" t="s">
        <v>11642</v>
      </c>
      <c r="N3" s="10" t="s">
        <v>11643</v>
      </c>
      <c r="O3" s="10" t="s">
        <v>11644</v>
      </c>
      <c r="P3" s="10" t="s">
        <v>11645</v>
      </c>
      <c r="Q3" s="10">
        <v>110900</v>
      </c>
      <c r="R3" s="10" t="s">
        <v>11646</v>
      </c>
      <c r="S3" s="10" t="s">
        <v>11647</v>
      </c>
      <c r="T3" s="10" t="s">
        <v>11648</v>
      </c>
      <c r="U3" s="10" t="s">
        <v>11649</v>
      </c>
      <c r="V3" s="10" t="s">
        <v>11650</v>
      </c>
      <c r="W3" s="10" t="s">
        <v>11651</v>
      </c>
      <c r="X3" s="10" t="s">
        <v>11652</v>
      </c>
      <c r="Y3" s="10" t="s">
        <v>11653</v>
      </c>
      <c r="Z3" s="10" t="s">
        <v>11654</v>
      </c>
      <c r="AA3" s="10" t="s">
        <v>11655</v>
      </c>
      <c r="AB3" s="10" t="s">
        <v>11656</v>
      </c>
      <c r="AC3" s="10" t="s">
        <v>11657</v>
      </c>
      <c r="AD3" s="10" t="s">
        <v>11658</v>
      </c>
      <c r="AE3" s="10" t="s">
        <v>11659</v>
      </c>
      <c r="AF3" s="10" t="s">
        <v>11660</v>
      </c>
      <c r="AG3" s="10" t="s">
        <v>11661</v>
      </c>
      <c r="AH3" s="10" t="s">
        <v>11662</v>
      </c>
      <c r="AI3" s="10" t="s">
        <v>11663</v>
      </c>
      <c r="AJ3" s="10" t="s">
        <v>11664</v>
      </c>
      <c r="AK3" s="10" t="s">
        <v>11665</v>
      </c>
      <c r="AL3" s="10" t="s">
        <v>11666</v>
      </c>
      <c r="AM3" s="10" t="s">
        <v>11667</v>
      </c>
      <c r="AN3" s="10" t="s">
        <v>11668</v>
      </c>
      <c r="AO3" s="10" t="s">
        <v>11669</v>
      </c>
      <c r="AP3" s="10" t="s">
        <v>11670</v>
      </c>
      <c r="AQ3" s="10" t="s">
        <v>11671</v>
      </c>
      <c r="AR3" s="10" t="s">
        <v>11672</v>
      </c>
      <c r="AS3" s="10" t="s">
        <v>11673</v>
      </c>
      <c r="AT3" s="10" t="s">
        <v>11674</v>
      </c>
      <c r="AU3" s="10" t="s">
        <v>11675</v>
      </c>
      <c r="AV3" s="10" t="s">
        <v>11676</v>
      </c>
      <c r="AW3" s="10" t="s">
        <v>11677</v>
      </c>
      <c r="AX3" s="10" t="s">
        <v>11678</v>
      </c>
      <c r="AY3" s="10" t="s">
        <v>11679</v>
      </c>
      <c r="AZ3" s="10" t="s">
        <v>11680</v>
      </c>
      <c r="BA3" s="10" t="s">
        <v>11681</v>
      </c>
      <c r="BB3" s="10" t="s">
        <v>11682</v>
      </c>
      <c r="BC3" s="182"/>
      <c r="BD3" s="16"/>
      <c r="BE3" s="16"/>
      <c r="BF3" s="16" t="s">
        <v>11683</v>
      </c>
      <c r="BG3" s="16" t="s">
        <v>11684</v>
      </c>
      <c r="BH3" s="16" t="s">
        <v>11685</v>
      </c>
      <c r="BI3" s="16" t="s">
        <v>124</v>
      </c>
      <c r="BJ3" s="16" t="s">
        <v>11522</v>
      </c>
      <c r="BK3" s="16" t="s">
        <v>11523</v>
      </c>
      <c r="BL3" s="16" t="s">
        <v>11686</v>
      </c>
      <c r="BM3" s="122" t="s">
        <v>11687</v>
      </c>
      <c r="BN3" s="16" t="s">
        <v>11688</v>
      </c>
      <c r="BO3" s="16" t="s">
        <v>11689</v>
      </c>
      <c r="BP3" s="16" t="s">
        <v>11690</v>
      </c>
      <c r="BQ3" s="16" t="s">
        <v>11691</v>
      </c>
      <c r="BR3" s="16" t="s">
        <v>11692</v>
      </c>
      <c r="BS3" s="16" t="s">
        <v>11693</v>
      </c>
      <c r="BT3" s="16" t="s">
        <v>11694</v>
      </c>
      <c r="BU3" s="16" t="s">
        <v>11695</v>
      </c>
      <c r="BV3" s="16" t="s">
        <v>11696</v>
      </c>
      <c r="BW3" s="35" t="s">
        <v>11697</v>
      </c>
      <c r="BX3" s="35" t="s">
        <v>11698</v>
      </c>
      <c r="BY3" s="35" t="s">
        <v>11699</v>
      </c>
      <c r="BZ3" s="167" t="s">
        <v>11700</v>
      </c>
    </row>
    <row r="4" ht="20.25" customHeight="1" spans="4:80">
      <c r="D4" s="50"/>
      <c r="E4" s="50"/>
      <c r="V4" s="171"/>
      <c r="AW4" s="180"/>
      <c r="AY4" s="181"/>
      <c r="BC4" s="55"/>
      <c r="BD4" s="6">
        <f>IF(AND(D4&gt;4678396.48217382,D4&lt;4924789.13601513),0,1)</f>
        <v>1</v>
      </c>
      <c r="BE4" s="6">
        <f>IF(AND(E4&gt;1554744.35667513,E4&lt;1771650.40247209),0,1)</f>
        <v>1</v>
      </c>
      <c r="BF4" s="6">
        <f>+IF(AR4&lt;3,IF(I4="",0,IF(I4&gt;0,0,1)),0)</f>
        <v>0</v>
      </c>
      <c r="BG4" s="4">
        <f>IF(AR4&lt;3,IF(AND(N4&gt;0,N4&lt;6),0,1),0)</f>
        <v>1</v>
      </c>
      <c r="BH4" s="4">
        <f>IF(AR4&lt;3,IF(AND(P4&gt;0,P4&lt;3000),0,1),0)</f>
        <v>1</v>
      </c>
      <c r="BI4" s="4">
        <f>IF(AR4&lt;3,IF(OR(Q4="S",Q4="N",Q4=0,Q4=1),0,1),0)</f>
        <v>0</v>
      </c>
      <c r="BJ4" s="4">
        <f>IF(AR4&lt;3,IF(OR(R4=9999,R4&lt;=('[2]Input anno'!$A$1)),0,1),0)</f>
        <v>0</v>
      </c>
      <c r="BK4" s="4">
        <f>IF(AR4&lt;3,IF(OR(S4=9800,S4=9999,S4&lt;=('[2]Input anno'!$A$1)),0,1),0)</f>
        <v>0</v>
      </c>
      <c r="BL4" s="4">
        <f>+IF(AR4=3,IF(R4='[2]Input anno'!$A$1,0,1),0)</f>
        <v>0</v>
      </c>
      <c r="BM4" s="6">
        <f>+IF(AR4&lt;3,IF(AND(R4&lt;&gt;9999,R4&lt;&gt;9800),IF(R4&lt;S4,0,1),0),0)</f>
        <v>1</v>
      </c>
      <c r="BN4" s="6">
        <f>+IF(AR4&lt;3,IF(V4=100,IF(U4="CONTINUO",0,1),IF(U4="CONTINUO",1,0)),0)</f>
        <v>0</v>
      </c>
      <c r="BO4" s="6">
        <f>+IF(AR4&lt;3,IF(V4=0,IF(X4=0,0,1),IF(X4&gt;0,0,1)),0)</f>
        <v>0</v>
      </c>
      <c r="BP4" s="6">
        <f>IF(AR4&gt;2,IF(X4=0,0,1),IF(X4&gt;0,IF(Y4&gt;0,0,1),IF(Y4=0,0,1)))</f>
        <v>0</v>
      </c>
      <c r="BQ4" s="4">
        <f>+IF(AR4&lt;3,IF(Y4&lt;=X4,0,1),0)</f>
        <v>0</v>
      </c>
      <c r="BR4" s="4">
        <f>+IF(AR4&lt;3,IF(AP4&lt;&gt;9800,IF(AP4&lt;AQ4,0,1),0),0)</f>
        <v>1</v>
      </c>
      <c r="BS4" s="4">
        <f>+IF(AR4&lt;3,IF(AND(AP4&lt;&gt;9800,AP4&lt;&gt;9999),IF(AP4&lt;='[2]Input anno'!$A$1,0,1),0),0)</f>
        <v>0</v>
      </c>
      <c r="BT4" s="6">
        <f>+IF(AR4&lt;3,IF(AND(AQ4&lt;&gt;9800,AQ4&lt;&gt;9999),IF(AQ4&lt;='[2]Input anno'!$A$1,0,1),0),0)</f>
        <v>0</v>
      </c>
      <c r="BU4" s="19">
        <f>+IF(AR4&lt;3,IF(R4&lt;&gt;9999,IF(R4&gt;=2014,IF(AT4="A",0,1),0),IF(AT4="X",0,1)),0)</f>
        <v>0</v>
      </c>
      <c r="BV4" s="19">
        <f>+IF(AR4&lt;3,IF(S4&lt;9800,IF(S4&gt;=2014,IF(AU4="A",0,1),0),IF(S4=9999,IF(AU4="X",0,1),IF(AU4="A",0,1))),0)</f>
        <v>0</v>
      </c>
      <c r="BW4" s="36">
        <f>+IF(AR4&lt;3,IF(AND(S4&lt;&gt;9800,S4&lt;&gt;9999),IF(AND(S4&gt;=2019,T4&lt;4),1,0),0),0)</f>
        <v>0</v>
      </c>
      <c r="BX4" s="36">
        <f>IF(AR4&lt;3,IF(R4=9999,0,IF(R4&gt;=2014,IF(AND(S4&gt;R4,S4&lt;&gt;9999,T4&gt;=4),0,1),0)),0)</f>
        <v>0</v>
      </c>
      <c r="BY4" s="36">
        <f>+IF(AR4&lt;3,IF(R4=9999,0,IF(R4&gt;=2015,IF(COUNTBLANK(B4:BB4)=0,0,1),0)),0)</f>
        <v>0</v>
      </c>
      <c r="BZ4" s="38">
        <f>+IF(AND(R4='[2]Input anno'!$A$1,AR4=1),COUNTBLANK(B4:BA4),0)</f>
        <v>0</v>
      </c>
      <c r="CA4" s="84" t="s">
        <v>11560</v>
      </c>
      <c r="CB4" s="84" t="str">
        <f>IF(SUM(BD:BD)=0,"OK","errore su coordinata Nord")</f>
        <v>errore su coordinata Nord</v>
      </c>
    </row>
    <row r="5" spans="4:80">
      <c r="D5" s="50"/>
      <c r="E5" s="50"/>
      <c r="W5" s="171"/>
      <c r="AW5" s="180"/>
      <c r="AY5" s="181"/>
      <c r="BC5" s="55"/>
      <c r="BD5" s="55"/>
      <c r="BE5" s="55"/>
      <c r="BF5" s="6"/>
      <c r="BG5" s="4"/>
      <c r="BH5" s="4"/>
      <c r="BI5" s="4"/>
      <c r="BJ5" s="4"/>
      <c r="BK5" s="4"/>
      <c r="BL5" s="4"/>
      <c r="BM5" s="6"/>
      <c r="BN5" s="6"/>
      <c r="BO5" s="6"/>
      <c r="BP5" s="6"/>
      <c r="BQ5" s="4"/>
      <c r="BR5" s="4"/>
      <c r="BS5" s="4"/>
      <c r="BT5" s="6"/>
      <c r="BU5" s="19"/>
      <c r="BV5" s="19"/>
      <c r="BW5" s="36"/>
      <c r="BX5" s="36"/>
      <c r="BY5" s="36"/>
      <c r="CA5" s="84" t="s">
        <v>11561</v>
      </c>
      <c r="CB5" s="84" t="str">
        <f>IF(SUM(BE:BE)=0,"OK","errore su coordinata Est")</f>
        <v>errore su coordinata Est</v>
      </c>
    </row>
    <row r="6" spans="4:80">
      <c r="D6" s="50"/>
      <c r="E6" s="50"/>
      <c r="W6" s="171"/>
      <c r="AW6" s="180"/>
      <c r="AY6" s="181"/>
      <c r="BC6" s="55"/>
      <c r="BD6" s="55"/>
      <c r="BE6" s="55"/>
      <c r="BF6" s="6"/>
      <c r="BG6" s="4"/>
      <c r="BH6" s="4"/>
      <c r="BI6" s="4"/>
      <c r="BJ6" s="4"/>
      <c r="BK6" s="4"/>
      <c r="BL6" s="4"/>
      <c r="BM6" s="6"/>
      <c r="BN6" s="6"/>
      <c r="BO6" s="6"/>
      <c r="BP6" s="6"/>
      <c r="BQ6" s="4"/>
      <c r="BR6" s="4"/>
      <c r="BS6" s="4"/>
      <c r="BT6" s="6"/>
      <c r="BU6" s="19"/>
      <c r="BV6" s="19"/>
      <c r="BW6" s="36"/>
      <c r="BX6" s="36"/>
      <c r="BY6" s="36"/>
      <c r="CA6" s="84" t="s">
        <v>11701</v>
      </c>
      <c r="CB6" s="84" t="str">
        <f>IF(SUM(BF:BF)=0,"OK","errore su QUOTA")</f>
        <v>OK</v>
      </c>
    </row>
    <row r="7" spans="4:80">
      <c r="D7" s="50"/>
      <c r="E7" s="50"/>
      <c r="W7" s="171"/>
      <c r="AW7" s="180"/>
      <c r="AY7" s="181"/>
      <c r="BC7" s="55"/>
      <c r="BD7" s="55"/>
      <c r="BE7" s="55"/>
      <c r="BF7" s="6"/>
      <c r="BG7" s="4"/>
      <c r="BH7" s="4"/>
      <c r="BI7" s="4"/>
      <c r="BJ7" s="4"/>
      <c r="BK7" s="4"/>
      <c r="BL7" s="4"/>
      <c r="BM7" s="6"/>
      <c r="BN7" s="6"/>
      <c r="BO7" s="6"/>
      <c r="BP7" s="6"/>
      <c r="BQ7" s="4"/>
      <c r="BR7" s="4"/>
      <c r="BS7" s="4"/>
      <c r="BT7" s="6"/>
      <c r="BU7" s="19"/>
      <c r="BV7" s="19"/>
      <c r="BW7" s="36"/>
      <c r="BX7" s="36"/>
      <c r="BY7" s="36"/>
      <c r="CA7" s="84" t="s">
        <v>11702</v>
      </c>
      <c r="CB7" s="84" t="str">
        <f>IF(SUM(BG:BG)=0,"OK","errore su classe corso acqua")</f>
        <v>errore su classe corso acqua</v>
      </c>
    </row>
    <row r="8" customHeight="1" spans="4:80">
      <c r="D8" s="50"/>
      <c r="E8" s="50"/>
      <c r="W8" s="171"/>
      <c r="AW8" s="180"/>
      <c r="AY8" s="181"/>
      <c r="BC8" s="55"/>
      <c r="BD8" s="55"/>
      <c r="BE8" s="55"/>
      <c r="BF8" s="6"/>
      <c r="BG8" s="4"/>
      <c r="BH8" s="4"/>
      <c r="BI8" s="4"/>
      <c r="BJ8" s="4"/>
      <c r="BK8" s="4"/>
      <c r="BL8" s="4"/>
      <c r="BM8" s="6"/>
      <c r="BN8" s="6"/>
      <c r="BO8" s="6"/>
      <c r="BP8" s="6"/>
      <c r="BQ8" s="4"/>
      <c r="BR8" s="4"/>
      <c r="BS8" s="4"/>
      <c r="BT8" s="6"/>
      <c r="BU8" s="19"/>
      <c r="BV8" s="19"/>
      <c r="BW8" s="36"/>
      <c r="BX8" s="36"/>
      <c r="BY8" s="36"/>
      <c r="CA8" s="84" t="s">
        <v>11685</v>
      </c>
      <c r="CB8" s="84" t="str">
        <f>IF(SUM(BH:BH)=0,"OK","errore su portata concessa uso potabile")</f>
        <v>errore su portata concessa uso potabile</v>
      </c>
    </row>
    <row r="9" spans="4:80">
      <c r="D9" s="50"/>
      <c r="E9" s="50"/>
      <c r="W9" s="171"/>
      <c r="AW9" s="180"/>
      <c r="AY9" s="181"/>
      <c r="BC9" s="55"/>
      <c r="BD9" s="55"/>
      <c r="BE9" s="55"/>
      <c r="BF9" s="6"/>
      <c r="BG9" s="4"/>
      <c r="BH9" s="4"/>
      <c r="BI9" s="4"/>
      <c r="BJ9" s="4"/>
      <c r="BK9" s="4"/>
      <c r="BL9" s="4"/>
      <c r="BM9" s="6"/>
      <c r="BN9" s="6"/>
      <c r="BO9" s="6"/>
      <c r="BP9" s="6"/>
      <c r="BQ9" s="4"/>
      <c r="BR9" s="4"/>
      <c r="BS9" s="4"/>
      <c r="BT9" s="6"/>
      <c r="BU9" s="19"/>
      <c r="BV9" s="19"/>
      <c r="BW9" s="36"/>
      <c r="BX9" s="36"/>
      <c r="BY9" s="36"/>
      <c r="CA9" s="84" t="s">
        <v>11703</v>
      </c>
      <c r="CB9" s="84" t="str">
        <f>IF(SUM(BI:BI)=0,"OK","errore compilazione campo")</f>
        <v>OK</v>
      </c>
    </row>
    <row r="10" spans="4:80">
      <c r="D10" s="50"/>
      <c r="E10" s="50"/>
      <c r="W10" s="171"/>
      <c r="AW10" s="180"/>
      <c r="AY10" s="181"/>
      <c r="BC10" s="55"/>
      <c r="BK10" s="4"/>
      <c r="BL10" s="4"/>
      <c r="BM10" s="6"/>
      <c r="BN10" s="6"/>
      <c r="BO10" s="6"/>
      <c r="BP10" s="6"/>
      <c r="BQ10" s="4"/>
      <c r="BR10" s="4"/>
      <c r="BS10" s="4"/>
      <c r="BT10" s="6"/>
      <c r="BU10" s="19"/>
      <c r="BV10" s="19"/>
      <c r="BW10" s="36"/>
      <c r="BX10" s="36"/>
      <c r="BY10" s="36"/>
      <c r="CA10" s="84" t="s">
        <v>11522</v>
      </c>
      <c r="CB10" s="84" t="str">
        <f>IF(SUM(BJ:BJ)=0,"OK","errore su anno costruzione")</f>
        <v>OK</v>
      </c>
    </row>
    <row r="11" spans="4:80">
      <c r="D11" s="50"/>
      <c r="E11" s="50"/>
      <c r="W11" s="171"/>
      <c r="AW11" s="180"/>
      <c r="AY11" s="181"/>
      <c r="BC11" s="55"/>
      <c r="BD11" s="143"/>
      <c r="BE11" s="143"/>
      <c r="BF11" s="143"/>
      <c r="BG11" s="143"/>
      <c r="BH11" s="143"/>
      <c r="BI11" s="143"/>
      <c r="BJ11" s="143"/>
      <c r="BK11" s="4"/>
      <c r="BL11" s="4"/>
      <c r="BM11" s="6"/>
      <c r="BN11" s="6"/>
      <c r="BO11" s="6"/>
      <c r="BP11" s="6"/>
      <c r="BQ11" s="4"/>
      <c r="BR11" s="4"/>
      <c r="BS11" s="4"/>
      <c r="BT11" s="6"/>
      <c r="BU11" s="19"/>
      <c r="BV11" s="19"/>
      <c r="BW11" s="36"/>
      <c r="BX11" s="36"/>
      <c r="BY11" s="36"/>
      <c r="CA11" s="84" t="s">
        <v>11523</v>
      </c>
      <c r="CB11" s="84" t="str">
        <f>IF(SUM(BK:BK)=0,"OK","errore su anno ristrutturazione")</f>
        <v>OK</v>
      </c>
    </row>
    <row r="12" customHeight="1" spans="4:80">
      <c r="D12" s="50"/>
      <c r="E12" s="50"/>
      <c r="W12" s="171"/>
      <c r="AY12" s="181"/>
      <c r="BC12" s="55"/>
      <c r="BD12" s="55"/>
      <c r="BE12" s="55"/>
      <c r="BF12" s="6"/>
      <c r="BG12" s="4"/>
      <c r="BH12" s="4"/>
      <c r="BI12" s="4"/>
      <c r="BJ12" s="4"/>
      <c r="BK12" s="4"/>
      <c r="BL12" s="4"/>
      <c r="BM12" s="6"/>
      <c r="BN12" s="6"/>
      <c r="BO12" s="6"/>
      <c r="BP12" s="6"/>
      <c r="BQ12" s="4"/>
      <c r="BR12" s="4"/>
      <c r="BS12" s="4"/>
      <c r="BT12" s="6"/>
      <c r="BU12" s="19"/>
      <c r="BV12" s="19"/>
      <c r="BW12" s="36"/>
      <c r="BX12" s="36"/>
      <c r="BY12" s="36"/>
      <c r="CA12" s="84" t="s">
        <v>11686</v>
      </c>
      <c r="CB12" s="84" t="str">
        <f>IF(SUM(BL:BL)=0,"OK","errore congruenza su anno costruzione pari a 3")</f>
        <v>OK</v>
      </c>
    </row>
    <row r="13" spans="4:80">
      <c r="D13" s="50"/>
      <c r="E13" s="50"/>
      <c r="W13" s="171"/>
      <c r="AW13" s="180"/>
      <c r="AY13" s="181"/>
      <c r="BC13" s="55"/>
      <c r="BD13" s="55"/>
      <c r="BE13" s="55"/>
      <c r="BF13" s="6"/>
      <c r="BG13" s="4"/>
      <c r="BH13" s="4"/>
      <c r="BI13" s="4"/>
      <c r="BJ13" s="4"/>
      <c r="BK13" s="4"/>
      <c r="BL13" s="4"/>
      <c r="BM13" s="6"/>
      <c r="BN13" s="6"/>
      <c r="BO13" s="6"/>
      <c r="BP13" s="6"/>
      <c r="BQ13" s="4"/>
      <c r="BR13" s="4"/>
      <c r="BS13" s="4"/>
      <c r="BT13" s="6"/>
      <c r="BU13" s="19"/>
      <c r="BV13" s="19"/>
      <c r="BW13" s="36"/>
      <c r="BX13" s="36"/>
      <c r="BY13" s="36"/>
      <c r="CA13" s="84" t="s">
        <v>11704</v>
      </c>
      <c r="CB13" s="84" t="str">
        <f>IF(SUM(BM:BM)=0,"OK","anno costruzione non congruente con anno ristrutturazione")</f>
        <v>anno costruzione non congruente con anno ristrutturazione</v>
      </c>
    </row>
    <row r="14" ht="38.25" spans="4:80">
      <c r="D14" s="50"/>
      <c r="E14" s="50"/>
      <c r="W14" s="171"/>
      <c r="AW14" s="180"/>
      <c r="AY14" s="181"/>
      <c r="BC14" s="55"/>
      <c r="BD14" s="55"/>
      <c r="BE14" s="55"/>
      <c r="BF14" s="6"/>
      <c r="BG14" s="4"/>
      <c r="BH14" s="4"/>
      <c r="BI14" s="4"/>
      <c r="BJ14" s="4"/>
      <c r="BK14" s="4"/>
      <c r="BL14" s="4"/>
      <c r="BM14" s="6"/>
      <c r="BN14" s="6"/>
      <c r="BO14" s="6"/>
      <c r="BP14" s="6"/>
      <c r="BQ14" s="4"/>
      <c r="BR14" s="4"/>
      <c r="BS14" s="4"/>
      <c r="BT14" s="6"/>
      <c r="BU14" s="19"/>
      <c r="BV14" s="19"/>
      <c r="BW14" s="36"/>
      <c r="BX14" s="36"/>
      <c r="BY14" s="36"/>
      <c r="CA14" s="56" t="s">
        <v>11688</v>
      </c>
      <c r="CB14" s="84" t="str">
        <f>IF(SUM(BN:BN)=0,"OK","tipo utilizzo non congruente con %utilizzo")</f>
        <v>OK</v>
      </c>
    </row>
    <row r="15" customHeight="1" spans="4:80">
      <c r="D15" s="50"/>
      <c r="E15" s="50"/>
      <c r="W15" s="171"/>
      <c r="AW15" s="180"/>
      <c r="AY15" s="181"/>
      <c r="BC15" s="55"/>
      <c r="BD15" s="55"/>
      <c r="BE15" s="55"/>
      <c r="BF15" s="6"/>
      <c r="BG15" s="4"/>
      <c r="BH15" s="4"/>
      <c r="BI15" s="4"/>
      <c r="BJ15" s="4"/>
      <c r="BK15" s="4"/>
      <c r="BL15" s="4"/>
      <c r="BM15" s="6"/>
      <c r="BN15" s="6"/>
      <c r="BO15" s="6"/>
      <c r="BP15" s="6"/>
      <c r="BQ15" s="4"/>
      <c r="BR15" s="4"/>
      <c r="BS15" s="4"/>
      <c r="BT15" s="6"/>
      <c r="BU15" s="19"/>
      <c r="BV15" s="19"/>
      <c r="BW15" s="36"/>
      <c r="BX15" s="36"/>
      <c r="BY15" s="36"/>
      <c r="CA15" s="84" t="s">
        <v>11689</v>
      </c>
      <c r="CB15" s="84" t="str">
        <f>IF(SUM(BO:BO)=0,"OK","utilizzo non congruente con volumi")</f>
        <v>OK</v>
      </c>
    </row>
    <row r="16" customHeight="1" spans="4:80">
      <c r="D16" s="50"/>
      <c r="E16" s="50"/>
      <c r="W16" s="171"/>
      <c r="AW16" s="180"/>
      <c r="AY16" s="181"/>
      <c r="BC16" s="55"/>
      <c r="BD16" s="55"/>
      <c r="BE16" s="55"/>
      <c r="BF16" s="6"/>
      <c r="BG16" s="4"/>
      <c r="BH16" s="4"/>
      <c r="BI16" s="4"/>
      <c r="BJ16" s="4"/>
      <c r="BK16" s="4"/>
      <c r="BL16" s="4"/>
      <c r="BM16" s="6"/>
      <c r="BN16" s="6"/>
      <c r="BO16" s="6"/>
      <c r="BP16" s="6"/>
      <c r="BQ16" s="4"/>
      <c r="BR16" s="4"/>
      <c r="BS16" s="4"/>
      <c r="BT16" s="6"/>
      <c r="BU16" s="19"/>
      <c r="BV16" s="19"/>
      <c r="BW16" s="36"/>
      <c r="BX16" s="36"/>
      <c r="BY16" s="36"/>
      <c r="CA16" s="84" t="s">
        <v>11690</v>
      </c>
      <c r="CB16" s="84" t="str">
        <f>IF(SUM(BP:BP)=0,"OK","volumi non congruenti con stato opera")</f>
        <v>OK</v>
      </c>
    </row>
    <row r="17" customHeight="1" spans="4:80">
      <c r="D17" s="50"/>
      <c r="E17" s="50"/>
      <c r="W17" s="171"/>
      <c r="AW17" s="180"/>
      <c r="AY17" s="181"/>
      <c r="BC17" s="55"/>
      <c r="BD17" s="55"/>
      <c r="BE17" s="55"/>
      <c r="BF17" s="6"/>
      <c r="BG17" s="4"/>
      <c r="BH17" s="4"/>
      <c r="BI17" s="4"/>
      <c r="BJ17" s="4"/>
      <c r="BK17" s="4"/>
      <c r="BL17" s="4"/>
      <c r="BM17" s="6"/>
      <c r="BN17" s="6"/>
      <c r="BO17" s="6"/>
      <c r="BP17" s="6"/>
      <c r="BQ17" s="4"/>
      <c r="BR17" s="4"/>
      <c r="BS17" s="4"/>
      <c r="BT17" s="6"/>
      <c r="BU17" s="19"/>
      <c r="BV17" s="19"/>
      <c r="BW17" s="36"/>
      <c r="BX17" s="36"/>
      <c r="BY17" s="36"/>
      <c r="CA17" s="84" t="s">
        <v>11691</v>
      </c>
      <c r="CB17" s="84" t="str">
        <f>IF(SUM(BQ:BQ)=0,"OK","Volumi immessi in rete non congruenti con volumi prelevati")</f>
        <v>OK</v>
      </c>
    </row>
    <row r="18" customHeight="1" spans="4:80">
      <c r="D18" s="50"/>
      <c r="E18" s="50"/>
      <c r="W18" s="171"/>
      <c r="AY18" s="181"/>
      <c r="BC18" s="55"/>
      <c r="BD18" s="55"/>
      <c r="BE18" s="55"/>
      <c r="BF18" s="6"/>
      <c r="BG18" s="4"/>
      <c r="BH18" s="4"/>
      <c r="BI18" s="4"/>
      <c r="BJ18" s="4"/>
      <c r="BK18" s="4"/>
      <c r="BL18" s="4"/>
      <c r="BM18" s="6"/>
      <c r="BN18" s="6"/>
      <c r="BO18" s="6"/>
      <c r="BP18" s="6"/>
      <c r="BQ18" s="4"/>
      <c r="BR18" s="4"/>
      <c r="BS18" s="4"/>
      <c r="BT18" s="6"/>
      <c r="BU18" s="19"/>
      <c r="BV18" s="19"/>
      <c r="BW18" s="36"/>
      <c r="BX18" s="36"/>
      <c r="BY18" s="36"/>
      <c r="CA18" s="84" t="s">
        <v>11692</v>
      </c>
      <c r="CB18" s="84" t="str">
        <f>IF(SUM(BR:BR)=0,"OK","anno installaz cloratore non congruente con anno di ristrutt cloratore")</f>
        <v>anno installaz cloratore non congruente con anno di ristrutt cloratore</v>
      </c>
    </row>
    <row r="19" spans="4:80">
      <c r="D19" s="50"/>
      <c r="E19" s="50"/>
      <c r="W19" s="171"/>
      <c r="AW19" s="180"/>
      <c r="AY19" s="181"/>
      <c r="BC19" s="55"/>
      <c r="BD19" s="55"/>
      <c r="BE19" s="55"/>
      <c r="BF19" s="6"/>
      <c r="BG19" s="4"/>
      <c r="BH19" s="4"/>
      <c r="BI19" s="4"/>
      <c r="BJ19" s="4"/>
      <c r="BK19" s="4"/>
      <c r="BL19" s="4"/>
      <c r="BM19" s="6"/>
      <c r="BN19" s="6"/>
      <c r="BO19" s="6"/>
      <c r="BP19" s="6"/>
      <c r="BQ19" s="4"/>
      <c r="BR19" s="4"/>
      <c r="BS19" s="4"/>
      <c r="BT19" s="6"/>
      <c r="BU19" s="19"/>
      <c r="BV19" s="19"/>
      <c r="BW19" s="36"/>
      <c r="BX19" s="36"/>
      <c r="BY19" s="36"/>
      <c r="CA19" s="84" t="s">
        <v>11693</v>
      </c>
      <c r="CB19" s="84" t="str">
        <f>IF(SUM(BS:BS)=0,"OK","anno installaz cloratore non corretto")</f>
        <v>OK</v>
      </c>
    </row>
    <row r="20" customHeight="1" spans="3:80">
      <c r="C20" s="24"/>
      <c r="D20" s="50"/>
      <c r="E20" s="50"/>
      <c r="W20" s="171"/>
      <c r="AY20" s="181"/>
      <c r="BC20" s="55"/>
      <c r="BD20" s="55"/>
      <c r="BE20" s="55"/>
      <c r="BF20" s="6"/>
      <c r="BG20" s="4"/>
      <c r="BH20" s="4"/>
      <c r="BI20" s="4"/>
      <c r="BJ20" s="4"/>
      <c r="BK20" s="4"/>
      <c r="BL20" s="4"/>
      <c r="BM20" s="6"/>
      <c r="BN20" s="6"/>
      <c r="BO20" s="6"/>
      <c r="BP20" s="6"/>
      <c r="BQ20" s="4"/>
      <c r="BR20" s="4"/>
      <c r="BS20" s="4"/>
      <c r="BT20" s="6"/>
      <c r="BU20" s="19"/>
      <c r="BV20" s="19"/>
      <c r="BW20" s="36"/>
      <c r="BX20" s="36"/>
      <c r="BY20" s="36"/>
      <c r="CA20" s="84" t="s">
        <v>11694</v>
      </c>
      <c r="CB20" s="84" t="str">
        <f>IF(SUM(BT:BT)=0,"OK","anno ristruttur cloratore non corretto")</f>
        <v>OK</v>
      </c>
    </row>
    <row r="21" customHeight="1" spans="4:80">
      <c r="D21" s="50"/>
      <c r="E21" s="50"/>
      <c r="W21" s="171"/>
      <c r="AY21" s="181"/>
      <c r="BC21" s="55"/>
      <c r="BD21" s="55"/>
      <c r="BE21" s="55"/>
      <c r="BF21" s="6"/>
      <c r="BG21" s="4"/>
      <c r="BH21" s="4"/>
      <c r="BI21" s="4"/>
      <c r="BJ21" s="4"/>
      <c r="BK21" s="4"/>
      <c r="BL21" s="4"/>
      <c r="BM21" s="6"/>
      <c r="BN21" s="6"/>
      <c r="BO21" s="6"/>
      <c r="BP21" s="6"/>
      <c r="BQ21" s="4"/>
      <c r="BR21" s="4"/>
      <c r="BS21" s="4"/>
      <c r="BT21" s="6"/>
      <c r="BU21" s="19"/>
      <c r="BV21" s="19"/>
      <c r="BW21" s="36"/>
      <c r="BX21" s="36"/>
      <c r="BY21" s="36"/>
      <c r="CA21" s="56" t="s">
        <v>11695</v>
      </c>
      <c r="CB21" s="84" t="str">
        <f>IF(SUM(BU:BU)=0,"OK","indice di confidenza non congruente con anno di costruzione")</f>
        <v>OK</v>
      </c>
    </row>
    <row r="22" customHeight="1" spans="4:80">
      <c r="D22" s="50"/>
      <c r="E22" s="50"/>
      <c r="W22" s="171"/>
      <c r="AY22" s="181"/>
      <c r="BC22" s="55"/>
      <c r="BD22" s="55"/>
      <c r="BE22" s="55"/>
      <c r="BF22" s="6"/>
      <c r="BG22" s="4"/>
      <c r="BH22" s="4"/>
      <c r="BI22" s="4"/>
      <c r="BJ22" s="4"/>
      <c r="BK22" s="4"/>
      <c r="BL22" s="4"/>
      <c r="BM22" s="6"/>
      <c r="BN22" s="6"/>
      <c r="BO22" s="6"/>
      <c r="BP22" s="6"/>
      <c r="BQ22" s="4"/>
      <c r="BR22" s="4"/>
      <c r="BS22" s="4"/>
      <c r="BT22" s="6"/>
      <c r="BU22" s="19"/>
      <c r="BV22" s="19"/>
      <c r="BW22" s="36"/>
      <c r="BX22" s="36"/>
      <c r="BY22" s="36"/>
      <c r="CA22" s="56" t="s">
        <v>11696</v>
      </c>
      <c r="CB22" s="84" t="str">
        <f>IF(SUM(BV:BV)=0,"OK","indice di confidenza non congruente con anno di ristrutturazione")</f>
        <v>OK</v>
      </c>
    </row>
    <row r="23" spans="4:80">
      <c r="D23" s="50"/>
      <c r="E23" s="50"/>
      <c r="W23" s="171"/>
      <c r="AW23" s="180"/>
      <c r="AY23" s="181"/>
      <c r="BC23" s="55"/>
      <c r="BD23" s="55"/>
      <c r="BE23" s="55"/>
      <c r="BF23" s="6"/>
      <c r="BG23" s="4"/>
      <c r="BH23" s="4"/>
      <c r="BI23" s="4"/>
      <c r="BJ23" s="4"/>
      <c r="BK23" s="4"/>
      <c r="BL23" s="4"/>
      <c r="BM23" s="6"/>
      <c r="BN23" s="6"/>
      <c r="BO23" s="6"/>
      <c r="BP23" s="6"/>
      <c r="BQ23" s="4"/>
      <c r="BR23" s="4"/>
      <c r="BS23" s="4"/>
      <c r="BT23" s="6"/>
      <c r="BU23" s="19"/>
      <c r="BV23" s="19"/>
      <c r="BW23" s="36"/>
      <c r="BX23" s="36"/>
      <c r="BY23" s="36"/>
      <c r="CA23" s="126" t="s">
        <v>11705</v>
      </c>
      <c r="CB23" s="126" t="str">
        <f>IF(SUM(BW:BW)=0,"OK","conservazione non congruente con anno di ristrutturazione &gt;=2018")</f>
        <v>OK</v>
      </c>
    </row>
    <row r="24" customHeight="1" spans="4:80">
      <c r="D24" s="50"/>
      <c r="E24" s="50"/>
      <c r="W24" s="171"/>
      <c r="AY24" s="181"/>
      <c r="BC24" s="55"/>
      <c r="BD24" s="55"/>
      <c r="BE24" s="55"/>
      <c r="BF24" s="6"/>
      <c r="BG24" s="4"/>
      <c r="BH24" s="4"/>
      <c r="BI24" s="4"/>
      <c r="BJ24" s="4"/>
      <c r="BK24" s="4"/>
      <c r="BL24" s="4"/>
      <c r="BM24" s="6"/>
      <c r="BN24" s="6"/>
      <c r="BO24" s="6"/>
      <c r="BP24" s="6"/>
      <c r="BQ24" s="4"/>
      <c r="BR24" s="4"/>
      <c r="BS24" s="4"/>
      <c r="BT24" s="6"/>
      <c r="BU24" s="19"/>
      <c r="BV24" s="19"/>
      <c r="BW24" s="36"/>
      <c r="BX24" s="36"/>
      <c r="BY24" s="36"/>
      <c r="CA24" s="127" t="s">
        <v>11698</v>
      </c>
      <c r="CB24" s="126" t="str">
        <f>IF(SUM(BX:BX)=0,"OK","Anno ristrutt. e/o stato di conservazione non congruenti con anno di costruzione &gt;=2014")</f>
        <v>OK</v>
      </c>
    </row>
    <row r="25" spans="4:80">
      <c r="D25" s="50"/>
      <c r="E25" s="50"/>
      <c r="W25" s="171"/>
      <c r="AW25" s="180"/>
      <c r="AY25" s="181"/>
      <c r="BC25" s="55"/>
      <c r="BD25" s="55"/>
      <c r="BE25" s="55"/>
      <c r="BF25" s="6"/>
      <c r="BG25" s="4"/>
      <c r="BH25" s="4"/>
      <c r="BI25" s="4"/>
      <c r="BJ25" s="4"/>
      <c r="BK25" s="4"/>
      <c r="BL25" s="4"/>
      <c r="BM25" s="6"/>
      <c r="BN25" s="6"/>
      <c r="BO25" s="6"/>
      <c r="BP25" s="6"/>
      <c r="BQ25" s="4"/>
      <c r="BR25" s="4"/>
      <c r="BS25" s="4"/>
      <c r="BT25" s="6"/>
      <c r="BU25" s="19"/>
      <c r="BV25" s="19"/>
      <c r="BW25" s="36"/>
      <c r="BX25" s="36"/>
      <c r="BY25" s="36"/>
      <c r="CA25" s="127" t="s">
        <v>11699</v>
      </c>
      <c r="CB25" s="126" t="str">
        <f>IF(SUM(BY:BY)=0,"OK","Errore: celle vuote in corrispondenza di opera costruita in anno &gt;=2015")</f>
        <v>OK</v>
      </c>
    </row>
    <row r="26" spans="79:80">
      <c r="CA26" s="37" t="s">
        <v>11700</v>
      </c>
      <c r="CB26" s="41" t="str">
        <f>IF(SUM(BZ:BZ)=0,"OK","Errore: verifica completezza su nuove opere")</f>
        <v>OK</v>
      </c>
    </row>
  </sheetData>
  <pageMargins left="0.75" right="0.75" top="1" bottom="1"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E4" sqref="E4"/>
    </sheetView>
  </sheetViews>
  <sheetFormatPr defaultColWidth="10.5714285714286" defaultRowHeight="12.75" outlineLevelRow="3"/>
  <cols>
    <col min="1" max="1" width="16.7142857142857" style="3" customWidth="1"/>
    <col min="2" max="3" width="20.4285714285714" style="3" customWidth="1"/>
    <col min="4" max="4" width="5" customWidth="1"/>
    <col min="5" max="6" width="29" customWidth="1"/>
    <col min="7" max="7" width="19.5714285714286" customWidth="1"/>
    <col min="8" max="8" width="37" customWidth="1"/>
    <col min="9" max="9" width="15.2857142857143" customWidth="1"/>
  </cols>
  <sheetData>
    <row r="1" ht="56.25" customHeight="1" spans="1:4">
      <c r="A1" s="8" t="s">
        <v>11706</v>
      </c>
      <c r="B1" s="8" t="s">
        <v>11707</v>
      </c>
      <c r="C1" s="8" t="s">
        <v>11708</v>
      </c>
      <c r="D1" s="12" t="s">
        <v>11559</v>
      </c>
    </row>
    <row r="2" ht="45" spans="1:4">
      <c r="A2" s="9" t="s">
        <v>11709</v>
      </c>
      <c r="B2" s="9" t="s">
        <v>11710</v>
      </c>
      <c r="C2" s="9" t="s">
        <v>11711</v>
      </c>
      <c r="D2" s="14"/>
    </row>
    <row r="3" ht="24" spans="1:9">
      <c r="A3" s="10" t="s">
        <v>11712</v>
      </c>
      <c r="B3" s="10" t="s">
        <v>11713</v>
      </c>
      <c r="C3" s="10" t="s">
        <v>11714</v>
      </c>
      <c r="D3" s="15"/>
      <c r="E3" s="159" t="s">
        <v>11715</v>
      </c>
      <c r="F3" s="159" t="s">
        <v>11716</v>
      </c>
      <c r="H3" s="162" t="s">
        <v>11717</v>
      </c>
      <c r="I3" s="80" t="e">
        <f>+IF(SUM(E:E)=0,"OK","Dati volumi immessi in rete non congruenti")</f>
        <v>#N/A</v>
      </c>
    </row>
    <row r="4" ht="14.25" spans="1:9">
      <c r="A4" s="169"/>
      <c r="B4" s="144"/>
      <c r="E4" s="4" t="e">
        <f>IF(VLOOKUP(A4,Fiumi!B:Y,24,FALSE())=0,0,1)</f>
        <v>#N/A</v>
      </c>
      <c r="F4" s="6" t="e">
        <f>+IF(VLOOKUP(B4,Potabilizzatori!B:BC,54,FALSE())&lt;3,0,1)</f>
        <v>#N/A</v>
      </c>
      <c r="H4" s="162" t="s">
        <v>11718</v>
      </c>
      <c r="I4" s="80" t="e">
        <f>+IF(SUM(F:F)=0,"OK","Errore: associazione con potabilizzatore non conguente")</f>
        <v>#N/A</v>
      </c>
    </row>
  </sheetData>
  <pageMargins left="0.75" right="0.75" top="1" bottom="1" header="0.511811023622047" footer="0.511811023622047"/>
  <pageSetup paperSize="9" orientation="portrait"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Y27"/>
  <sheetViews>
    <sheetView topLeftCell="BO4" workbookViewId="0">
      <selection activeCell="BX27" sqref="BX27:BY27"/>
    </sheetView>
  </sheetViews>
  <sheetFormatPr defaultColWidth="10.7142857142857" defaultRowHeight="12.75"/>
  <cols>
    <col min="1" max="1" width="47.7142857142857" style="3" customWidth="1"/>
    <col min="2" max="2" width="32.5714285714286" style="3" customWidth="1"/>
    <col min="3" max="3" width="39.1428571428571" style="3" customWidth="1"/>
    <col min="4" max="4" width="14.2857142857143" style="3" customWidth="1"/>
    <col min="5" max="5" width="15" style="3" customWidth="1"/>
    <col min="6" max="18" width="10.7142857142857" style="3"/>
    <col min="19" max="19" width="14.2857142857143" style="3" customWidth="1"/>
    <col min="20" max="20" width="15.2857142857143" style="3" customWidth="1"/>
    <col min="21" max="21" width="10.7142857142857" style="3"/>
    <col min="22" max="22" width="15.2857142857143" style="3" customWidth="1"/>
    <col min="23" max="52" width="10.7142857142857" style="3"/>
    <col min="53" max="53" width="16.8571428571429" style="3" customWidth="1"/>
    <col min="54" max="54" width="21" style="3" customWidth="1"/>
    <col min="55" max="56" width="9.14285714285714" style="160" customWidth="1"/>
    <col min="57" max="57" width="12" style="160" customWidth="1"/>
    <col min="58" max="58" width="13.1428571428571" customWidth="1"/>
    <col min="59" max="59" width="15.2857142857143" style="160" customWidth="1"/>
    <col min="60" max="60" width="17" style="160" customWidth="1"/>
    <col min="61" max="61" width="13.4285714285714" style="160" customWidth="1"/>
    <col min="62" max="62" width="14.8571428571429" style="160" customWidth="1"/>
    <col min="63" max="63" width="11.4285714285714" style="160" customWidth="1"/>
    <col min="64" max="64" width="19" style="160" customWidth="1"/>
    <col min="65" max="65" width="18.5714285714286" style="160" customWidth="1"/>
    <col min="66" max="66" width="9.14285714285714" style="160" customWidth="1"/>
    <col min="67" max="67" width="17.1428571428571" style="87" customWidth="1"/>
    <col min="68" max="68" width="17.8571428571429" style="87" customWidth="1"/>
    <col min="69" max="69" width="19.4285714285714" style="87" customWidth="1"/>
    <col min="70" max="71" width="16.8571428571429" style="160" customWidth="1"/>
    <col min="72" max="72" width="15.4285714285714" style="23" customWidth="1"/>
    <col min="73" max="73" width="18.8571428571429" style="23" customWidth="1"/>
    <col min="74" max="74" width="15.4285714285714" style="23" customWidth="1"/>
    <col min="75" max="75" width="16.8571428571429" style="3" customWidth="1"/>
    <col min="76" max="76" width="55.4285714285714" style="87" customWidth="1"/>
    <col min="77" max="77" width="47.4285714285714" style="168" customWidth="1"/>
    <col min="78" max="78" width="164.142857142857" style="3" customWidth="1"/>
    <col min="79" max="1024" width="10.7142857142857" style="3"/>
  </cols>
  <sheetData>
    <row r="1" s="1" customFormat="1" ht="144" customHeight="1" spans="1:77">
      <c r="A1" s="8" t="s">
        <v>11505</v>
      </c>
      <c r="B1" s="8" t="s">
        <v>11506</v>
      </c>
      <c r="C1" s="8" t="s">
        <v>11507</v>
      </c>
      <c r="D1" s="8" t="s">
        <v>11508</v>
      </c>
      <c r="E1" s="8" t="s">
        <v>11509</v>
      </c>
      <c r="F1" s="8" t="s">
        <v>11510</v>
      </c>
      <c r="G1" s="27" t="s">
        <v>11511</v>
      </c>
      <c r="H1" s="27" t="s">
        <v>11512</v>
      </c>
      <c r="I1" s="8" t="s">
        <v>11513</v>
      </c>
      <c r="J1" s="8" t="s">
        <v>11514</v>
      </c>
      <c r="K1" s="8" t="s">
        <v>11515</v>
      </c>
      <c r="L1" s="8" t="s">
        <v>11516</v>
      </c>
      <c r="M1" s="8" t="s">
        <v>11517</v>
      </c>
      <c r="N1" s="8" t="s">
        <v>11518</v>
      </c>
      <c r="O1" s="8" t="s">
        <v>11519</v>
      </c>
      <c r="P1" s="8" t="s">
        <v>11520</v>
      </c>
      <c r="Q1" s="27" t="s">
        <v>11521</v>
      </c>
      <c r="R1" s="8" t="s">
        <v>11522</v>
      </c>
      <c r="S1" s="8" t="s">
        <v>11523</v>
      </c>
      <c r="T1" s="8" t="s">
        <v>11524</v>
      </c>
      <c r="U1" s="8" t="s">
        <v>11525</v>
      </c>
      <c r="V1" s="8" t="s">
        <v>11526</v>
      </c>
      <c r="W1" s="8" t="s">
        <v>11719</v>
      </c>
      <c r="X1" s="8" t="s">
        <v>11528</v>
      </c>
      <c r="Y1" s="8" t="s">
        <v>11529</v>
      </c>
      <c r="Z1" s="8" t="s">
        <v>11530</v>
      </c>
      <c r="AA1" s="8" t="s">
        <v>11531</v>
      </c>
      <c r="AB1" s="8" t="s">
        <v>11532</v>
      </c>
      <c r="AC1" s="8" t="s">
        <v>11533</v>
      </c>
      <c r="AD1" s="8" t="s">
        <v>11720</v>
      </c>
      <c r="AE1" s="8" t="s">
        <v>11721</v>
      </c>
      <c r="AF1" s="8" t="s">
        <v>11722</v>
      </c>
      <c r="AG1" s="8" t="s">
        <v>11540</v>
      </c>
      <c r="AH1" s="8" t="s">
        <v>11541</v>
      </c>
      <c r="AI1" s="8" t="s">
        <v>11542</v>
      </c>
      <c r="AJ1" s="8" t="s">
        <v>11723</v>
      </c>
      <c r="AK1" s="8" t="s">
        <v>11724</v>
      </c>
      <c r="AL1" s="8" t="s">
        <v>11545</v>
      </c>
      <c r="AM1" s="8" t="s">
        <v>11546</v>
      </c>
      <c r="AN1" s="8" t="s">
        <v>11547</v>
      </c>
      <c r="AO1" s="8" t="s">
        <v>11548</v>
      </c>
      <c r="AP1" s="8" t="s">
        <v>11725</v>
      </c>
      <c r="AQ1" s="8" t="s">
        <v>11550</v>
      </c>
      <c r="AR1" s="8" t="s">
        <v>11551</v>
      </c>
      <c r="AS1" s="8" t="s">
        <v>11552</v>
      </c>
      <c r="AT1" s="8" t="s">
        <v>11553</v>
      </c>
      <c r="AU1" s="8" t="s">
        <v>11554</v>
      </c>
      <c r="AV1" s="8" t="s">
        <v>11555</v>
      </c>
      <c r="AW1" s="8" t="s">
        <v>11556</v>
      </c>
      <c r="AX1" s="8" t="s">
        <v>11557</v>
      </c>
      <c r="AY1" s="8" t="s">
        <v>11558</v>
      </c>
      <c r="AZ1" s="12" t="s">
        <v>11559</v>
      </c>
      <c r="BA1" s="13" t="s">
        <v>11560</v>
      </c>
      <c r="BB1" s="13" t="s">
        <v>11561</v>
      </c>
      <c r="BC1" s="13" t="s">
        <v>11562</v>
      </c>
      <c r="BD1" s="13" t="s">
        <v>11563</v>
      </c>
      <c r="BE1" s="13" t="s">
        <v>11726</v>
      </c>
      <c r="BF1" s="13" t="s">
        <v>11565</v>
      </c>
      <c r="BG1" s="13" t="s">
        <v>11566</v>
      </c>
      <c r="BH1" s="13" t="s">
        <v>11567</v>
      </c>
      <c r="BI1" s="13" t="s">
        <v>11568</v>
      </c>
      <c r="BJ1" s="13"/>
      <c r="BK1" s="13"/>
      <c r="BL1" s="13" t="s">
        <v>11569</v>
      </c>
      <c r="BM1" s="13" t="s">
        <v>11570</v>
      </c>
      <c r="BN1" s="13" t="s">
        <v>11571</v>
      </c>
      <c r="BO1" s="13"/>
      <c r="BP1" s="13" t="s">
        <v>11572</v>
      </c>
      <c r="BQ1" s="13" t="s">
        <v>11572</v>
      </c>
      <c r="BR1" s="13" t="s">
        <v>11573</v>
      </c>
      <c r="BS1" s="13" t="s">
        <v>11574</v>
      </c>
      <c r="BT1" s="33" t="s">
        <v>11575</v>
      </c>
      <c r="BU1" s="34" t="s">
        <v>11576</v>
      </c>
      <c r="BV1" s="34" t="s">
        <v>11577</v>
      </c>
      <c r="BX1" s="165"/>
      <c r="BY1" s="165"/>
    </row>
    <row r="2" s="2" customFormat="1" ht="67.5" spans="1:77">
      <c r="A2" s="9" t="s">
        <v>11727</v>
      </c>
      <c r="B2" s="9" t="s">
        <v>11579</v>
      </c>
      <c r="C2" s="9" t="s">
        <v>11580</v>
      </c>
      <c r="D2" s="9" t="s">
        <v>11581</v>
      </c>
      <c r="E2" s="9" t="s">
        <v>11582</v>
      </c>
      <c r="F2" s="9" t="s">
        <v>11583</v>
      </c>
      <c r="G2" s="29" t="s">
        <v>11584</v>
      </c>
      <c r="H2" s="29" t="s">
        <v>11585</v>
      </c>
      <c r="I2" s="9" t="s">
        <v>11586</v>
      </c>
      <c r="J2" s="9" t="s">
        <v>11587</v>
      </c>
      <c r="K2" s="9" t="s">
        <v>11588</v>
      </c>
      <c r="L2" s="9" t="s">
        <v>11589</v>
      </c>
      <c r="M2" s="9" t="s">
        <v>11590</v>
      </c>
      <c r="N2" s="9" t="s">
        <v>11591</v>
      </c>
      <c r="O2" s="9" t="s">
        <v>11592</v>
      </c>
      <c r="P2" s="9" t="s">
        <v>11593</v>
      </c>
      <c r="Q2" s="29" t="s">
        <v>11594</v>
      </c>
      <c r="R2" s="9" t="s">
        <v>11595</v>
      </c>
      <c r="S2" s="9" t="s">
        <v>11596</v>
      </c>
      <c r="T2" s="9" t="s">
        <v>11597</v>
      </c>
      <c r="U2" s="9" t="s">
        <v>11598</v>
      </c>
      <c r="V2" s="9" t="s">
        <v>11599</v>
      </c>
      <c r="W2" s="9" t="s">
        <v>11728</v>
      </c>
      <c r="X2" s="9" t="s">
        <v>11601</v>
      </c>
      <c r="Y2" s="9" t="s">
        <v>11602</v>
      </c>
      <c r="Z2" s="9" t="s">
        <v>11603</v>
      </c>
      <c r="AA2" s="9" t="s">
        <v>11604</v>
      </c>
      <c r="AB2" s="9" t="s">
        <v>11605</v>
      </c>
      <c r="AC2" s="9" t="s">
        <v>11606</v>
      </c>
      <c r="AD2" s="9" t="s">
        <v>11729</v>
      </c>
      <c r="AE2" s="9" t="s">
        <v>11730</v>
      </c>
      <c r="AF2" s="9" t="s">
        <v>11731</v>
      </c>
      <c r="AG2" s="9" t="s">
        <v>11613</v>
      </c>
      <c r="AH2" s="9" t="s">
        <v>11614</v>
      </c>
      <c r="AI2" s="9" t="s">
        <v>11615</v>
      </c>
      <c r="AJ2" s="9" t="s">
        <v>11616</v>
      </c>
      <c r="AK2" s="9" t="s">
        <v>11617</v>
      </c>
      <c r="AL2" s="9" t="s">
        <v>11618</v>
      </c>
      <c r="AM2" s="9" t="s">
        <v>11619</v>
      </c>
      <c r="AN2" s="9" t="s">
        <v>11620</v>
      </c>
      <c r="AO2" s="9" t="s">
        <v>11621</v>
      </c>
      <c r="AP2" s="9" t="s">
        <v>11732</v>
      </c>
      <c r="AQ2" s="9" t="s">
        <v>11623</v>
      </c>
      <c r="AR2" s="9" t="s">
        <v>11624</v>
      </c>
      <c r="AS2" s="9" t="s">
        <v>11625</v>
      </c>
      <c r="AT2" s="9" t="s">
        <v>11626</v>
      </c>
      <c r="AU2" s="9" t="s">
        <v>11627</v>
      </c>
      <c r="AV2" s="9" t="s">
        <v>11628</v>
      </c>
      <c r="AW2" s="9" t="s">
        <v>11629</v>
      </c>
      <c r="AX2" s="9" t="s">
        <v>11630</v>
      </c>
      <c r="AY2" s="9" t="s">
        <v>11631</v>
      </c>
      <c r="AZ2" s="14"/>
      <c r="BA2" s="13"/>
      <c r="BB2" s="13"/>
      <c r="BC2" s="13"/>
      <c r="BD2" s="13"/>
      <c r="BE2" s="13"/>
      <c r="BF2" s="18"/>
      <c r="BG2" s="13"/>
      <c r="BH2" s="13"/>
      <c r="BI2" s="13"/>
      <c r="BJ2" s="13"/>
      <c r="BK2" s="13"/>
      <c r="BL2" s="13"/>
      <c r="BM2" s="13"/>
      <c r="BN2" s="13"/>
      <c r="BO2" s="13"/>
      <c r="BP2" s="13"/>
      <c r="BQ2" s="13"/>
      <c r="BR2" s="116"/>
      <c r="BS2" s="17"/>
      <c r="BT2" s="34"/>
      <c r="BU2" s="34"/>
      <c r="BV2" s="34"/>
      <c r="BX2" s="166"/>
      <c r="BY2" s="166"/>
    </row>
    <row r="3" s="1" customFormat="1" ht="67.5" customHeight="1" spans="1:75">
      <c r="A3" s="10" t="s">
        <v>11733</v>
      </c>
      <c r="B3" s="10" t="s">
        <v>11734</v>
      </c>
      <c r="C3" s="10" t="s">
        <v>11735</v>
      </c>
      <c r="D3" s="10" t="s">
        <v>11736</v>
      </c>
      <c r="E3" s="10" t="s">
        <v>11737</v>
      </c>
      <c r="F3" s="10" t="s">
        <v>11738</v>
      </c>
      <c r="G3" s="10">
        <v>111000</v>
      </c>
      <c r="H3" s="10">
        <v>111100</v>
      </c>
      <c r="I3" s="10" t="s">
        <v>11739</v>
      </c>
      <c r="J3" s="10" t="s">
        <v>11740</v>
      </c>
      <c r="K3" s="10" t="s">
        <v>11741</v>
      </c>
      <c r="L3" s="10" t="s">
        <v>11742</v>
      </c>
      <c r="M3" s="10" t="s">
        <v>11743</v>
      </c>
      <c r="N3" s="10" t="s">
        <v>11744</v>
      </c>
      <c r="O3" s="10" t="s">
        <v>11745</v>
      </c>
      <c r="P3" s="10" t="s">
        <v>11746</v>
      </c>
      <c r="Q3" s="10">
        <v>111200</v>
      </c>
      <c r="R3" s="10" t="s">
        <v>11747</v>
      </c>
      <c r="S3" s="10" t="s">
        <v>11748</v>
      </c>
      <c r="T3" s="10" t="s">
        <v>11749</v>
      </c>
      <c r="U3" s="10" t="s">
        <v>11750</v>
      </c>
      <c r="V3" s="10" t="s">
        <v>11751</v>
      </c>
      <c r="W3" s="10" t="s">
        <v>11752</v>
      </c>
      <c r="X3" s="10" t="s">
        <v>11753</v>
      </c>
      <c r="Y3" s="10" t="s">
        <v>11754</v>
      </c>
      <c r="Z3" s="10" t="s">
        <v>11755</v>
      </c>
      <c r="AA3" s="10" t="s">
        <v>11756</v>
      </c>
      <c r="AB3" s="10" t="s">
        <v>11757</v>
      </c>
      <c r="AC3" s="10" t="s">
        <v>11758</v>
      </c>
      <c r="AD3" s="10" t="s">
        <v>11759</v>
      </c>
      <c r="AE3" s="10" t="s">
        <v>11760</v>
      </c>
      <c r="AF3" s="10" t="s">
        <v>11761</v>
      </c>
      <c r="AG3" s="10" t="s">
        <v>11762</v>
      </c>
      <c r="AH3" s="10" t="s">
        <v>11763</v>
      </c>
      <c r="AI3" s="10" t="s">
        <v>11764</v>
      </c>
      <c r="AJ3" s="10" t="s">
        <v>11765</v>
      </c>
      <c r="AK3" s="10" t="s">
        <v>11766</v>
      </c>
      <c r="AL3" s="10" t="s">
        <v>11767</v>
      </c>
      <c r="AM3" s="10" t="s">
        <v>11768</v>
      </c>
      <c r="AN3" s="10" t="s">
        <v>11769</v>
      </c>
      <c r="AO3" s="10" t="s">
        <v>11770</v>
      </c>
      <c r="AP3" s="10" t="s">
        <v>11771</v>
      </c>
      <c r="AQ3" s="10" t="s">
        <v>11772</v>
      </c>
      <c r="AR3" s="10" t="s">
        <v>11773</v>
      </c>
      <c r="AS3" s="10" t="s">
        <v>11774</v>
      </c>
      <c r="AT3" s="10" t="s">
        <v>11775</v>
      </c>
      <c r="AU3" s="10" t="s">
        <v>11776</v>
      </c>
      <c r="AV3" s="10" t="s">
        <v>11777</v>
      </c>
      <c r="AW3" s="10" t="s">
        <v>11778</v>
      </c>
      <c r="AX3" s="10" t="s">
        <v>11779</v>
      </c>
      <c r="AY3" s="10" t="s">
        <v>11780</v>
      </c>
      <c r="AZ3" s="15"/>
      <c r="BA3" s="16"/>
      <c r="BB3" s="16"/>
      <c r="BC3" s="16" t="s">
        <v>11683</v>
      </c>
      <c r="BD3" s="16" t="s">
        <v>11684</v>
      </c>
      <c r="BE3" s="16" t="s">
        <v>11685</v>
      </c>
      <c r="BF3" s="16" t="s">
        <v>124</v>
      </c>
      <c r="BG3" s="16" t="s">
        <v>11522</v>
      </c>
      <c r="BH3" s="16" t="s">
        <v>11523</v>
      </c>
      <c r="BI3" s="16" t="s">
        <v>11686</v>
      </c>
      <c r="BJ3" s="122" t="s">
        <v>11687</v>
      </c>
      <c r="BK3" s="16" t="s">
        <v>11688</v>
      </c>
      <c r="BL3" s="16" t="s">
        <v>11689</v>
      </c>
      <c r="BM3" s="16" t="s">
        <v>11690</v>
      </c>
      <c r="BN3" s="16" t="s">
        <v>11691</v>
      </c>
      <c r="BO3" s="16" t="s">
        <v>11692</v>
      </c>
      <c r="BP3" s="16" t="s">
        <v>11693</v>
      </c>
      <c r="BQ3" s="16" t="s">
        <v>11694</v>
      </c>
      <c r="BR3" s="16" t="s">
        <v>11695</v>
      </c>
      <c r="BS3" s="16" t="s">
        <v>11696</v>
      </c>
      <c r="BT3" s="35" t="s">
        <v>11697</v>
      </c>
      <c r="BU3" s="35" t="s">
        <v>11698</v>
      </c>
      <c r="BV3" s="35" t="s">
        <v>11699</v>
      </c>
      <c r="BW3" s="37" t="s">
        <v>11700</v>
      </c>
    </row>
    <row r="4" ht="14.25" spans="2:75">
      <c r="B4" s="169"/>
      <c r="D4" s="50"/>
      <c r="E4" s="50"/>
      <c r="W4" s="171"/>
      <c r="AZ4" s="55"/>
      <c r="BA4" s="6">
        <f>IF(AND(D4&gt;4678396.48217382,D4&lt;4924789.13601513),0,1)</f>
        <v>1</v>
      </c>
      <c r="BB4" s="6">
        <f>IF(AND(E4&gt;1554744.35667513,E4&lt;1771650.40247209),0,1)</f>
        <v>1</v>
      </c>
      <c r="BC4" s="142">
        <f>+IF(AO4&lt;3,IF(I4="",0,IF(I4&gt;0,0,1)),0)</f>
        <v>0</v>
      </c>
      <c r="BD4" s="42">
        <f>IF(AO4&lt;3,IF(AND(N4&gt;0,N4&lt;6),0,1),0)</f>
        <v>1</v>
      </c>
      <c r="BE4" s="42">
        <f>IF(AO4&lt;3,IF(AND(P4&gt;0,P4&lt;1000),0,1),0)</f>
        <v>1</v>
      </c>
      <c r="BF4" s="4">
        <f>IF(AO4&lt;3,IF(OR(Q4="S",Q4="N",Q4=0,Q4=1),0,1),0)</f>
        <v>0</v>
      </c>
      <c r="BG4" s="42">
        <f>IF(AO4&lt;3,IF(OR(R4=9999,R4&lt;=('[2]Input anno'!$A$1)),0,1),0)</f>
        <v>0</v>
      </c>
      <c r="BH4" s="42">
        <f>IF(AO4&lt;3,IF(OR(S4=9800,S4=9999,S4&lt;=('[2]Input anno'!$A$1)),0,1),0)</f>
        <v>0</v>
      </c>
      <c r="BI4" s="42">
        <f>+IF(AO4=3,IF(R4='[2]Input anno'!$A$1,0,1),0)</f>
        <v>0</v>
      </c>
      <c r="BJ4" s="6">
        <f>+IF(AO4&lt;3,IF(AND(R4&lt;&gt;9999,R4&lt;&gt;9800),IF(R4&lt;S4,0,1),0),0)</f>
        <v>1</v>
      </c>
      <c r="BK4" s="142">
        <f>+IF(AO4&lt;3,IF(V4=100,IF(U4="CONTINUO",0,1),IF(U4="CONTINUO",1,0)),0)</f>
        <v>0</v>
      </c>
      <c r="BL4" s="142">
        <f>+IF(AO4&lt;3,IF(V4=0,IF(X4=0,0,1),IF(X4&gt;0,0,1)),0)</f>
        <v>0</v>
      </c>
      <c r="BM4" s="6">
        <f>IF(AO4&gt;2,IF(X4=0,0,1),IF(X4&gt;0,IF(V4&gt;0,0,1),IF(V4=0,0,1)))</f>
        <v>0</v>
      </c>
      <c r="BN4" s="4">
        <f>+IF(AO4&lt;3,IF(Y4&lt;=X4,0,1),0)</f>
        <v>0</v>
      </c>
      <c r="BO4" s="4">
        <f>+IF(AO4&lt;3,IF(AM4&lt;&gt;9800,IF(AM4&lt;AN4,0,1),0),0)</f>
        <v>1</v>
      </c>
      <c r="BP4" s="4">
        <f>+IF(AO4&lt;3,IF(AND(AM4&lt;&gt;9800,AM4&lt;&gt;9999),IF(AM4&lt;='[2]Input anno'!$A$1,0,1),0),0)</f>
        <v>0</v>
      </c>
      <c r="BQ4" s="6">
        <f>+IF(AO4&lt;3,IF(AN4&lt;&gt;9800,IF(AN4&lt;='[2]Input anno'!$A$1,0,1),0),0)</f>
        <v>0</v>
      </c>
      <c r="BR4" s="6">
        <f>+IF(AO4&lt;3,IF(R4&lt;&gt;9999,IF(R4&gt;=2014,IF(AQ4="A",0,1),0),IF(AQ4="X",0,1)),0)</f>
        <v>0</v>
      </c>
      <c r="BS4" s="6">
        <f>+IF(AO4&lt;3,IF(S4&lt;9800,IF(S4&gt;=2014,IF(AR4="A",0,1),0),IF(S4=9999,IF(AR4="X",0,1),IF(AR4="A",0,1))),0)</f>
        <v>0</v>
      </c>
      <c r="BT4" s="36">
        <f>+IF(AO4&lt;3,IF(AND(S4&lt;&gt;9999,S4&lt;&gt;9800),IF(AND(S4&gt;=2019,T4&lt;4),1,0),0),0)</f>
        <v>0</v>
      </c>
      <c r="BU4" s="36">
        <f>IF(AO4&lt;3,IF(R4=9999,0,IF(R4&gt;=2014,IF(AND(S4&gt;R4,S4&lt;&gt;9999,T4&gt;=4),0,1),0)),0)</f>
        <v>0</v>
      </c>
      <c r="BV4" s="36">
        <f>+IF(AO4&lt;3,IF(R4=9999,0,IF(R4&gt;=2015,IF(COUNTBLANK(B4:AY4)=0,0,1),0)),0)</f>
        <v>0</v>
      </c>
      <c r="BW4" s="38">
        <f>+IF(AND(R4='[2]Input anno'!$A$1,AO4=1),COUNTBLANK(B4:AY4),0)</f>
        <v>0</v>
      </c>
    </row>
    <row r="5" spans="4:77">
      <c r="D5" s="50"/>
      <c r="E5" s="50"/>
      <c r="W5" s="171"/>
      <c r="AZ5" s="55"/>
      <c r="BA5" s="55"/>
      <c r="BB5" s="55"/>
      <c r="BC5" s="142"/>
      <c r="BD5" s="42"/>
      <c r="BE5" s="42"/>
      <c r="BF5" s="4"/>
      <c r="BG5" s="42"/>
      <c r="BH5" s="42"/>
      <c r="BI5" s="42"/>
      <c r="BJ5" s="142"/>
      <c r="BK5" s="142"/>
      <c r="BL5" s="142"/>
      <c r="BM5" s="6"/>
      <c r="BN5" s="42"/>
      <c r="BO5" s="42"/>
      <c r="BP5" s="42"/>
      <c r="BQ5" s="142"/>
      <c r="BR5" s="19"/>
      <c r="BS5" s="19"/>
      <c r="BT5" s="36"/>
      <c r="BU5" s="36"/>
      <c r="BV5" s="36"/>
      <c r="BX5" s="84" t="s">
        <v>11560</v>
      </c>
      <c r="BY5" s="56" t="str">
        <f>IF(SUM(BA:BA)=0,"OK","errore su QUOTA")</f>
        <v>errore su QUOTA</v>
      </c>
    </row>
    <row r="6" spans="4:77">
      <c r="D6" s="50"/>
      <c r="E6" s="50"/>
      <c r="W6" s="171"/>
      <c r="AZ6" s="55"/>
      <c r="BA6" s="55"/>
      <c r="BB6" s="55"/>
      <c r="BC6" s="142"/>
      <c r="BD6" s="42"/>
      <c r="BE6" s="42"/>
      <c r="BF6" s="4"/>
      <c r="BG6" s="42"/>
      <c r="BH6" s="42"/>
      <c r="BI6" s="42"/>
      <c r="BJ6" s="142"/>
      <c r="BK6" s="142"/>
      <c r="BL6" s="142"/>
      <c r="BM6" s="6"/>
      <c r="BN6" s="42"/>
      <c r="BO6" s="42"/>
      <c r="BP6" s="42"/>
      <c r="BQ6" s="142"/>
      <c r="BR6" s="19"/>
      <c r="BS6" s="19"/>
      <c r="BT6" s="36"/>
      <c r="BU6" s="36"/>
      <c r="BV6" s="36"/>
      <c r="BX6" s="84" t="s">
        <v>11561</v>
      </c>
      <c r="BY6" s="56" t="str">
        <f>IF(SUM(BB:BB)=0,"OK","errore su QUOTA")</f>
        <v>errore su QUOTA</v>
      </c>
    </row>
    <row r="7" spans="4:77">
      <c r="D7" s="50"/>
      <c r="E7" s="50"/>
      <c r="W7" s="171"/>
      <c r="AZ7" s="55"/>
      <c r="BA7" s="55"/>
      <c r="BB7" s="55"/>
      <c r="BC7" s="142"/>
      <c r="BD7" s="42"/>
      <c r="BE7" s="42"/>
      <c r="BF7" s="4"/>
      <c r="BG7" s="42"/>
      <c r="BH7" s="42"/>
      <c r="BI7" s="42"/>
      <c r="BJ7" s="142"/>
      <c r="BK7" s="142"/>
      <c r="BL7" s="142"/>
      <c r="BM7" s="6"/>
      <c r="BN7" s="42"/>
      <c r="BO7" s="42"/>
      <c r="BP7" s="42"/>
      <c r="BQ7" s="142"/>
      <c r="BR7" s="19"/>
      <c r="BS7" s="19"/>
      <c r="BT7" s="36"/>
      <c r="BU7" s="36"/>
      <c r="BV7" s="36"/>
      <c r="BX7" s="84" t="s">
        <v>11701</v>
      </c>
      <c r="BY7" s="56" t="str">
        <f>IF(SUM(BC:BC)=0,"OK","errore su QUOTA")</f>
        <v>OK</v>
      </c>
    </row>
    <row r="8" spans="4:77">
      <c r="D8" s="50"/>
      <c r="E8" s="50"/>
      <c r="W8" s="171"/>
      <c r="AZ8" s="55"/>
      <c r="BA8" s="55"/>
      <c r="BB8" s="55"/>
      <c r="BC8" s="142"/>
      <c r="BD8" s="42"/>
      <c r="BE8" s="42"/>
      <c r="BF8" s="4"/>
      <c r="BG8" s="42"/>
      <c r="BH8" s="42"/>
      <c r="BI8" s="42"/>
      <c r="BJ8" s="142"/>
      <c r="BK8" s="142"/>
      <c r="BL8" s="142"/>
      <c r="BM8" s="6"/>
      <c r="BN8" s="42"/>
      <c r="BO8" s="42"/>
      <c r="BP8" s="42"/>
      <c r="BQ8" s="142"/>
      <c r="BR8" s="19"/>
      <c r="BS8" s="19"/>
      <c r="BT8" s="36"/>
      <c r="BU8" s="36"/>
      <c r="BV8" s="36"/>
      <c r="BX8" s="84" t="s">
        <v>11702</v>
      </c>
      <c r="BY8" s="56" t="str">
        <f>IF(SUM(BD:BD)=0,"OK","errore su classe corso acqua")</f>
        <v>errore su classe corso acqua</v>
      </c>
    </row>
    <row r="9" spans="4:77">
      <c r="D9" s="50"/>
      <c r="E9" s="50"/>
      <c r="W9" s="171"/>
      <c r="AZ9" s="55"/>
      <c r="BC9" s="142"/>
      <c r="BD9" s="42"/>
      <c r="BE9" s="42"/>
      <c r="BF9" s="4"/>
      <c r="BG9" s="42"/>
      <c r="BH9" s="42"/>
      <c r="BI9" s="42"/>
      <c r="BJ9" s="142"/>
      <c r="BK9" s="142"/>
      <c r="BL9" s="142"/>
      <c r="BM9" s="6"/>
      <c r="BN9" s="42"/>
      <c r="BO9" s="42"/>
      <c r="BP9" s="42"/>
      <c r="BQ9" s="142"/>
      <c r="BR9" s="19"/>
      <c r="BS9" s="19"/>
      <c r="BT9" s="36"/>
      <c r="BU9" s="36"/>
      <c r="BV9" s="36"/>
      <c r="BX9" s="84" t="s">
        <v>11685</v>
      </c>
      <c r="BY9" s="56" t="str">
        <f>IF(SUM(BE:BE)=0,"OK","errore su portata concessa uso potabile")</f>
        <v>errore su portata concessa uso potabile</v>
      </c>
    </row>
    <row r="10" spans="4:77">
      <c r="D10" s="50"/>
      <c r="E10" s="50"/>
      <c r="W10" s="171"/>
      <c r="AZ10" s="55"/>
      <c r="BC10" s="142"/>
      <c r="BD10" s="42"/>
      <c r="BE10" s="42"/>
      <c r="BF10" s="4"/>
      <c r="BG10" s="42"/>
      <c r="BH10" s="42"/>
      <c r="BI10" s="42"/>
      <c r="BJ10" s="142"/>
      <c r="BK10" s="142"/>
      <c r="BL10" s="142"/>
      <c r="BM10" s="6"/>
      <c r="BN10" s="42"/>
      <c r="BO10" s="42"/>
      <c r="BP10" s="42"/>
      <c r="BQ10" s="142"/>
      <c r="BR10" s="19"/>
      <c r="BS10" s="19"/>
      <c r="BT10" s="36"/>
      <c r="BU10" s="36"/>
      <c r="BV10" s="36"/>
      <c r="BX10" s="84" t="s">
        <v>11703</v>
      </c>
      <c r="BY10" s="56" t="str">
        <f>IF(SUM(BF:BF)=0,"OK","errore compilazione campo")</f>
        <v>OK</v>
      </c>
    </row>
    <row r="11" spans="4:77">
      <c r="D11" s="50"/>
      <c r="E11" s="50"/>
      <c r="W11" s="171"/>
      <c r="AZ11" s="55"/>
      <c r="BA11" s="143"/>
      <c r="BB11" s="143"/>
      <c r="BC11" s="142"/>
      <c r="BD11" s="42"/>
      <c r="BE11" s="42"/>
      <c r="BG11" s="42"/>
      <c r="BH11" s="42"/>
      <c r="BI11" s="42"/>
      <c r="BJ11" s="142"/>
      <c r="BK11" s="142"/>
      <c r="BL11" s="142"/>
      <c r="BM11" s="6"/>
      <c r="BN11" s="42"/>
      <c r="BO11" s="42"/>
      <c r="BP11" s="42"/>
      <c r="BQ11" s="142"/>
      <c r="BR11" s="19"/>
      <c r="BS11" s="19"/>
      <c r="BT11" s="36"/>
      <c r="BU11" s="36"/>
      <c r="BV11" s="36"/>
      <c r="BX11" s="84" t="s">
        <v>11522</v>
      </c>
      <c r="BY11" s="56" t="str">
        <f>IF(SUM(BG:BG)=0,"OK","errore su anno costruzione")</f>
        <v>OK</v>
      </c>
    </row>
    <row r="12" spans="4:77">
      <c r="D12" s="50"/>
      <c r="E12" s="50"/>
      <c r="W12" s="171"/>
      <c r="AZ12" s="55"/>
      <c r="BA12" s="55"/>
      <c r="BB12" s="55"/>
      <c r="BC12" s="142"/>
      <c r="BD12" s="42"/>
      <c r="BE12" s="42"/>
      <c r="BF12" s="143"/>
      <c r="BG12" s="42"/>
      <c r="BH12" s="42"/>
      <c r="BI12" s="42"/>
      <c r="BJ12" s="142"/>
      <c r="BK12" s="142"/>
      <c r="BL12" s="142"/>
      <c r="BM12" s="6"/>
      <c r="BN12" s="42"/>
      <c r="BO12" s="42"/>
      <c r="BP12" s="42"/>
      <c r="BQ12" s="142"/>
      <c r="BR12" s="19"/>
      <c r="BS12" s="19"/>
      <c r="BT12" s="36"/>
      <c r="BU12" s="36"/>
      <c r="BV12" s="36"/>
      <c r="BX12" s="84" t="s">
        <v>11523</v>
      </c>
      <c r="BY12" s="56" t="str">
        <f>IF(SUM(BH:BH)=0,"OK","errore su anno ristrutturazione")</f>
        <v>OK</v>
      </c>
    </row>
    <row r="13" spans="4:77">
      <c r="D13" s="50"/>
      <c r="E13" s="50"/>
      <c r="W13" s="171"/>
      <c r="AZ13" s="55"/>
      <c r="BA13" s="55"/>
      <c r="BB13" s="55"/>
      <c r="BC13" s="142"/>
      <c r="BD13" s="42"/>
      <c r="BE13" s="42"/>
      <c r="BF13" s="4"/>
      <c r="BG13" s="42"/>
      <c r="BH13" s="42"/>
      <c r="BI13" s="42"/>
      <c r="BJ13" s="142"/>
      <c r="BK13" s="142"/>
      <c r="BL13" s="142"/>
      <c r="BM13" s="6"/>
      <c r="BN13" s="42"/>
      <c r="BO13" s="42"/>
      <c r="BP13" s="42"/>
      <c r="BQ13" s="142"/>
      <c r="BR13" s="19"/>
      <c r="BS13" s="19"/>
      <c r="BT13" s="36"/>
      <c r="BU13" s="36"/>
      <c r="BV13" s="36"/>
      <c r="BX13" s="84" t="s">
        <v>11686</v>
      </c>
      <c r="BY13" s="56" t="str">
        <f>IF(SUM(BI:BI)=0,"OK","errore congruenza su anno costruzione pari a 3")</f>
        <v>OK</v>
      </c>
    </row>
    <row r="14" ht="25.5" spans="4:77">
      <c r="D14" s="50"/>
      <c r="E14" s="50"/>
      <c r="W14" s="171"/>
      <c r="AZ14" s="55"/>
      <c r="BA14" s="55"/>
      <c r="BB14" s="55"/>
      <c r="BC14" s="142"/>
      <c r="BD14" s="42"/>
      <c r="BE14" s="42"/>
      <c r="BF14" s="4"/>
      <c r="BG14" s="42"/>
      <c r="BH14" s="42"/>
      <c r="BI14" s="42"/>
      <c r="BJ14" s="142"/>
      <c r="BK14" s="142"/>
      <c r="BL14" s="142"/>
      <c r="BM14" s="6"/>
      <c r="BN14" s="42"/>
      <c r="BO14" s="42"/>
      <c r="BP14" s="42"/>
      <c r="BQ14" s="142"/>
      <c r="BR14" s="19"/>
      <c r="BS14" s="19"/>
      <c r="BT14" s="36"/>
      <c r="BU14" s="36"/>
      <c r="BV14" s="36"/>
      <c r="BX14" s="84" t="s">
        <v>11704</v>
      </c>
      <c r="BY14" s="56" t="str">
        <f>IF(SUM(BJ:BJ)=0,"OK","anno costruzione non congruente con anno ristrutturazione")</f>
        <v>anno costruzione non congruente con anno ristrutturazione</v>
      </c>
    </row>
    <row r="15" ht="38.25" spans="4:77">
      <c r="D15" s="50"/>
      <c r="E15" s="50"/>
      <c r="W15" s="171"/>
      <c r="AZ15" s="55"/>
      <c r="BA15" s="55"/>
      <c r="BB15" s="55"/>
      <c r="BC15" s="142"/>
      <c r="BD15" s="42"/>
      <c r="BE15" s="42"/>
      <c r="BF15" s="4"/>
      <c r="BG15" s="42"/>
      <c r="BH15" s="42"/>
      <c r="BI15" s="42"/>
      <c r="BJ15" s="142"/>
      <c r="BK15" s="142"/>
      <c r="BL15" s="142"/>
      <c r="BM15" s="6"/>
      <c r="BN15" s="42"/>
      <c r="BO15" s="42"/>
      <c r="BP15" s="42"/>
      <c r="BQ15" s="142"/>
      <c r="BR15" s="19"/>
      <c r="BS15" s="19"/>
      <c r="BT15" s="36"/>
      <c r="BU15" s="36"/>
      <c r="BV15" s="36"/>
      <c r="BX15" s="56" t="s">
        <v>11688</v>
      </c>
      <c r="BY15" s="56" t="str">
        <f>IF(SUM(BK:BK)=0,"OK","tipo utilizzo non congruente con %utilizzo")</f>
        <v>OK</v>
      </c>
    </row>
    <row r="16" ht="45.75" customHeight="1" spans="4:77">
      <c r="D16" s="50"/>
      <c r="E16" s="50"/>
      <c r="W16" s="171"/>
      <c r="AZ16" s="55"/>
      <c r="BA16" s="55"/>
      <c r="BB16" s="55"/>
      <c r="BC16" s="142"/>
      <c r="BD16" s="42"/>
      <c r="BE16" s="42"/>
      <c r="BF16" s="4"/>
      <c r="BG16" s="42"/>
      <c r="BH16" s="42"/>
      <c r="BI16" s="42"/>
      <c r="BJ16" s="142"/>
      <c r="BK16" s="142"/>
      <c r="BL16" s="142"/>
      <c r="BM16" s="6"/>
      <c r="BN16" s="42"/>
      <c r="BO16" s="42"/>
      <c r="BP16" s="42"/>
      <c r="BQ16" s="142"/>
      <c r="BR16" s="19"/>
      <c r="BS16" s="19"/>
      <c r="BT16" s="36"/>
      <c r="BU16" s="36"/>
      <c r="BV16" s="36"/>
      <c r="BX16" s="84" t="s">
        <v>11689</v>
      </c>
      <c r="BY16" s="56" t="str">
        <f>IF(SUM(BL:BL)=0,"OK","utilizzo non congruente con volumi")</f>
        <v>OK</v>
      </c>
    </row>
    <row r="17" spans="4:77">
      <c r="D17" s="50"/>
      <c r="E17" s="50"/>
      <c r="W17" s="171"/>
      <c r="AZ17" s="55"/>
      <c r="BA17" s="55"/>
      <c r="BB17" s="55"/>
      <c r="BC17" s="142"/>
      <c r="BD17" s="42"/>
      <c r="BE17" s="42"/>
      <c r="BF17" s="4"/>
      <c r="BG17" s="42"/>
      <c r="BH17" s="42"/>
      <c r="BI17" s="42"/>
      <c r="BJ17" s="142"/>
      <c r="BK17" s="142"/>
      <c r="BL17" s="142"/>
      <c r="BM17" s="6"/>
      <c r="BN17" s="42"/>
      <c r="BO17" s="42"/>
      <c r="BP17" s="42"/>
      <c r="BQ17" s="142"/>
      <c r="BR17" s="19"/>
      <c r="BS17" s="19"/>
      <c r="BT17" s="36"/>
      <c r="BU17" s="36"/>
      <c r="BV17" s="36"/>
      <c r="BX17" s="84" t="s">
        <v>11690</v>
      </c>
      <c r="BY17" s="56" t="str">
        <f>IF(SUM(BM:BM)=0,"OK","volumi non congruenti con stato opera")</f>
        <v>OK</v>
      </c>
    </row>
    <row r="18" spans="4:77">
      <c r="D18" s="50"/>
      <c r="E18" s="50"/>
      <c r="W18" s="171"/>
      <c r="AS18" s="24"/>
      <c r="AZ18" s="55"/>
      <c r="BA18" s="55"/>
      <c r="BB18" s="55"/>
      <c r="BC18" s="142"/>
      <c r="BD18" s="42"/>
      <c r="BE18" s="42"/>
      <c r="BF18" s="4"/>
      <c r="BG18" s="42"/>
      <c r="BH18" s="42"/>
      <c r="BI18" s="42"/>
      <c r="BJ18" s="142"/>
      <c r="BK18" s="142"/>
      <c r="BL18" s="142"/>
      <c r="BM18" s="6"/>
      <c r="BN18" s="42"/>
      <c r="BO18" s="42"/>
      <c r="BP18" s="42"/>
      <c r="BQ18" s="142"/>
      <c r="BR18" s="19"/>
      <c r="BS18" s="19"/>
      <c r="BT18" s="36"/>
      <c r="BU18" s="36"/>
      <c r="BV18" s="36"/>
      <c r="BX18" s="84" t="s">
        <v>11691</v>
      </c>
      <c r="BY18" s="56" t="str">
        <f>IF(SUM(BN:BN)=0,"OK","Volumi immessi in rete non congruenti con volumi prelevati")</f>
        <v>OK</v>
      </c>
    </row>
    <row r="19" ht="25.5" spans="4:77">
      <c r="D19" s="50"/>
      <c r="E19" s="50"/>
      <c r="W19" s="171"/>
      <c r="AZ19" s="55"/>
      <c r="BA19" s="55"/>
      <c r="BB19" s="55"/>
      <c r="BC19" s="142"/>
      <c r="BD19" s="42"/>
      <c r="BE19" s="42"/>
      <c r="BF19" s="4"/>
      <c r="BG19" s="42"/>
      <c r="BH19" s="42"/>
      <c r="BI19" s="42"/>
      <c r="BJ19" s="142"/>
      <c r="BK19" s="142"/>
      <c r="BL19" s="142"/>
      <c r="BM19" s="6"/>
      <c r="BN19" s="42"/>
      <c r="BO19" s="42"/>
      <c r="BP19" s="42"/>
      <c r="BQ19" s="142"/>
      <c r="BR19" s="19"/>
      <c r="BS19" s="19"/>
      <c r="BT19" s="36"/>
      <c r="BU19" s="36"/>
      <c r="BV19" s="36"/>
      <c r="BX19" s="84" t="s">
        <v>11692</v>
      </c>
      <c r="BY19" s="56" t="str">
        <f>IF(SUM(BO:BO)=0,"OK","anno installaz cloratore non congruente con anno di ristrutt cloratore")</f>
        <v>anno installaz cloratore non congruente con anno di ristrutt cloratore</v>
      </c>
    </row>
    <row r="20" ht="23.25" customHeight="1" spans="4:77">
      <c r="D20" s="50"/>
      <c r="E20" s="50"/>
      <c r="W20" s="171"/>
      <c r="AZ20" s="55"/>
      <c r="BA20" s="55"/>
      <c r="BB20" s="55"/>
      <c r="BC20" s="142"/>
      <c r="BD20" s="42"/>
      <c r="BE20" s="42"/>
      <c r="BF20" s="4"/>
      <c r="BG20" s="42"/>
      <c r="BH20" s="42"/>
      <c r="BI20" s="42"/>
      <c r="BJ20" s="142"/>
      <c r="BK20" s="142"/>
      <c r="BL20" s="142"/>
      <c r="BM20" s="6"/>
      <c r="BN20" s="42"/>
      <c r="BO20" s="42"/>
      <c r="BP20" s="42"/>
      <c r="BQ20" s="142"/>
      <c r="BR20" s="19"/>
      <c r="BS20" s="19"/>
      <c r="BT20" s="36"/>
      <c r="BU20" s="36"/>
      <c r="BV20" s="36"/>
      <c r="BX20" s="84" t="s">
        <v>11693</v>
      </c>
      <c r="BY20" s="56" t="str">
        <f>IF(SUM(BP:BP)=0,"OK","anno installaz cloratore non corretto")</f>
        <v>OK</v>
      </c>
    </row>
    <row r="21" ht="35.25" customHeight="1" spans="4:77">
      <c r="D21" s="50"/>
      <c r="E21" s="50"/>
      <c r="W21" s="171"/>
      <c r="AZ21" s="55"/>
      <c r="BA21" s="55"/>
      <c r="BB21" s="55"/>
      <c r="BC21" s="142"/>
      <c r="BD21" s="42"/>
      <c r="BE21" s="42"/>
      <c r="BF21" s="4"/>
      <c r="BG21" s="42"/>
      <c r="BH21" s="42"/>
      <c r="BI21" s="42"/>
      <c r="BJ21" s="142"/>
      <c r="BK21" s="142"/>
      <c r="BL21" s="142"/>
      <c r="BM21" s="6"/>
      <c r="BN21" s="42"/>
      <c r="BO21" s="42"/>
      <c r="BP21" s="42"/>
      <c r="BQ21" s="142"/>
      <c r="BR21" s="19"/>
      <c r="BS21" s="19"/>
      <c r="BT21" s="36"/>
      <c r="BU21" s="36"/>
      <c r="BV21" s="36"/>
      <c r="BX21" s="84" t="s">
        <v>11694</v>
      </c>
      <c r="BY21" s="56" t="str">
        <f>IF(SUM(BQ:BQ)=0,"OK","anno ristruttur cloratore non corretto")</f>
        <v>OK</v>
      </c>
    </row>
    <row r="22" ht="35.25" customHeight="1" spans="4:77">
      <c r="D22" s="50"/>
      <c r="E22" s="50"/>
      <c r="W22" s="171"/>
      <c r="AZ22" s="55"/>
      <c r="BA22" s="55"/>
      <c r="BB22" s="55"/>
      <c r="BC22" s="142"/>
      <c r="BD22" s="42"/>
      <c r="BE22" s="42"/>
      <c r="BF22" s="4"/>
      <c r="BG22" s="42"/>
      <c r="BH22" s="42"/>
      <c r="BI22" s="42"/>
      <c r="BJ22" s="142"/>
      <c r="BK22" s="142"/>
      <c r="BL22" s="142"/>
      <c r="BM22" s="6"/>
      <c r="BN22" s="42"/>
      <c r="BO22" s="42"/>
      <c r="BP22" s="42"/>
      <c r="BQ22" s="142"/>
      <c r="BR22" s="19"/>
      <c r="BS22" s="19"/>
      <c r="BT22" s="36"/>
      <c r="BU22" s="36"/>
      <c r="BV22" s="36"/>
      <c r="BX22" s="56" t="s">
        <v>11695</v>
      </c>
      <c r="BY22" s="56" t="str">
        <f>IF(SUM(BR:BR)=0,"OK","indice di confidenza non congruente con anno di costruzione")</f>
        <v>OK</v>
      </c>
    </row>
    <row r="23" ht="35.25" customHeight="1" spans="4:77">
      <c r="D23" s="50"/>
      <c r="E23" s="50"/>
      <c r="W23" s="171"/>
      <c r="AZ23" s="55"/>
      <c r="BA23" s="55"/>
      <c r="BB23" s="55"/>
      <c r="BC23" s="142"/>
      <c r="BD23" s="42"/>
      <c r="BE23" s="42"/>
      <c r="BF23" s="4"/>
      <c r="BG23" s="42"/>
      <c r="BH23" s="42"/>
      <c r="BI23" s="42"/>
      <c r="BJ23" s="142"/>
      <c r="BK23" s="142"/>
      <c r="BL23" s="142"/>
      <c r="BM23" s="6"/>
      <c r="BN23" s="42"/>
      <c r="BO23" s="42"/>
      <c r="BP23" s="42"/>
      <c r="BQ23" s="142"/>
      <c r="BR23" s="19"/>
      <c r="BS23" s="19"/>
      <c r="BT23" s="36"/>
      <c r="BU23" s="36"/>
      <c r="BV23" s="36"/>
      <c r="BX23" s="56" t="s">
        <v>11696</v>
      </c>
      <c r="BY23" s="56" t="str">
        <f>IF(SUM(BS:BS)=0,"OK","indice di confidenza non congruente con anno di ristrutturazione")</f>
        <v>OK</v>
      </c>
    </row>
    <row r="24" spans="4:77">
      <c r="D24" s="50"/>
      <c r="E24" s="50"/>
      <c r="W24" s="171"/>
      <c r="AZ24" s="55"/>
      <c r="BA24" s="55"/>
      <c r="BB24" s="55"/>
      <c r="BC24" s="142"/>
      <c r="BD24" s="42"/>
      <c r="BE24" s="42"/>
      <c r="BF24" s="4"/>
      <c r="BG24" s="42"/>
      <c r="BH24" s="42"/>
      <c r="BI24" s="42"/>
      <c r="BJ24" s="142"/>
      <c r="BK24" s="142"/>
      <c r="BL24" s="142"/>
      <c r="BM24" s="6"/>
      <c r="BN24" s="42"/>
      <c r="BO24" s="42"/>
      <c r="BP24" s="42"/>
      <c r="BQ24" s="142"/>
      <c r="BR24" s="19"/>
      <c r="BS24" s="19"/>
      <c r="BT24" s="36"/>
      <c r="BU24" s="36"/>
      <c r="BV24" s="36"/>
      <c r="BX24" s="126" t="s">
        <v>11705</v>
      </c>
      <c r="BY24" s="41" t="str">
        <f>IF(SUM(BT:BT)=0,"OK","conservazione non congruente con anno di ristrutturazione &gt;=2018")</f>
        <v>OK</v>
      </c>
    </row>
    <row r="25" spans="4:77">
      <c r="D25" s="50"/>
      <c r="E25" s="50"/>
      <c r="W25" s="171"/>
      <c r="AZ25" s="55"/>
      <c r="BA25" s="55"/>
      <c r="BB25" s="55"/>
      <c r="BC25" s="142"/>
      <c r="BD25" s="42"/>
      <c r="BE25" s="42"/>
      <c r="BF25" s="4"/>
      <c r="BG25" s="42"/>
      <c r="BH25" s="42"/>
      <c r="BI25" s="42"/>
      <c r="BJ25" s="142"/>
      <c r="BK25" s="142"/>
      <c r="BL25" s="142"/>
      <c r="BM25" s="6"/>
      <c r="BN25" s="42"/>
      <c r="BO25" s="42"/>
      <c r="BP25" s="42"/>
      <c r="BQ25" s="142"/>
      <c r="BR25" s="19"/>
      <c r="BS25" s="19"/>
      <c r="BT25" s="36"/>
      <c r="BU25" s="36"/>
      <c r="BV25" s="36"/>
      <c r="BX25" s="127" t="s">
        <v>11698</v>
      </c>
      <c r="BY25" s="41" t="str">
        <f>IF(SUM(BU:BU)=0,"OK","Anno ristrutt. e/o stato di conservazione non congruenti con anno di costruzione &gt;=2014")</f>
        <v>OK</v>
      </c>
    </row>
    <row r="26" spans="4:77">
      <c r="D26" s="50"/>
      <c r="E26" s="50"/>
      <c r="W26" s="171"/>
      <c r="AZ26" s="55"/>
      <c r="BA26" s="55"/>
      <c r="BB26" s="55"/>
      <c r="BC26" s="142"/>
      <c r="BD26" s="42"/>
      <c r="BE26" s="42"/>
      <c r="BF26" s="4"/>
      <c r="BG26" s="42"/>
      <c r="BH26" s="42"/>
      <c r="BI26" s="42"/>
      <c r="BJ26" s="142"/>
      <c r="BK26" s="142"/>
      <c r="BL26" s="142"/>
      <c r="BM26" s="6"/>
      <c r="BN26" s="42"/>
      <c r="BO26" s="42"/>
      <c r="BP26" s="42"/>
      <c r="BQ26" s="142"/>
      <c r="BR26" s="19"/>
      <c r="BS26" s="19"/>
      <c r="BT26" s="36"/>
      <c r="BU26" s="36"/>
      <c r="BV26" s="36"/>
      <c r="BX26" s="127" t="s">
        <v>11699</v>
      </c>
      <c r="BY26" s="41" t="str">
        <f>IF(SUM(BV:BV)=0,"OK","Errore: celle vuote in corrispondenza di opera costruita in anno &gt;=2015")</f>
        <v>OK</v>
      </c>
    </row>
    <row r="27" spans="76:77">
      <c r="BX27" s="37" t="s">
        <v>11700</v>
      </c>
      <c r="BY27" s="41" t="str">
        <f>IF(SUM(BW:BW)=0,"OK","Errore: verifica completezza su nuove opere")</f>
        <v>OK</v>
      </c>
    </row>
  </sheetData>
  <pageMargins left="0.75" right="0.75" top="1" bottom="1" header="0.511811023622047" footer="0.511811023622047"/>
  <pageSetup paperSize="9" orientation="portrait"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topLeftCell="B1" workbookViewId="0">
      <selection activeCell="E4" sqref="E4"/>
    </sheetView>
  </sheetViews>
  <sheetFormatPr defaultColWidth="8.71428571428571" defaultRowHeight="12.75" outlineLevelRow="3"/>
  <cols>
    <col min="1" max="1" width="19.1428571428571" style="3" customWidth="1"/>
    <col min="2" max="3" width="15.1428571428571" style="3" customWidth="1"/>
    <col min="5" max="5" width="17.8571428571429" customWidth="1"/>
    <col min="6" max="7" width="29.1428571428571" customWidth="1"/>
    <col min="8" max="8" width="52.5714285714286" customWidth="1"/>
    <col min="9" max="9" width="24.7142857142857" customWidth="1"/>
  </cols>
  <sheetData>
    <row r="1" ht="45" spans="1:4">
      <c r="A1" s="8" t="s">
        <v>11706</v>
      </c>
      <c r="B1" s="8" t="s">
        <v>11707</v>
      </c>
      <c r="C1" s="8" t="s">
        <v>11781</v>
      </c>
      <c r="D1" s="43" t="s">
        <v>11559</v>
      </c>
    </row>
    <row r="2" ht="45" spans="1:4">
      <c r="A2" s="8" t="s">
        <v>11706</v>
      </c>
      <c r="B2" s="9" t="s">
        <v>11710</v>
      </c>
      <c r="C2" s="9" t="s">
        <v>11711</v>
      </c>
      <c r="D2" s="44"/>
    </row>
    <row r="3" ht="31.5" spans="1:9">
      <c r="A3" s="10" t="s">
        <v>11782</v>
      </c>
      <c r="B3" s="10" t="s">
        <v>11783</v>
      </c>
      <c r="C3" s="10" t="s">
        <v>11784</v>
      </c>
      <c r="D3" s="45"/>
      <c r="E3" s="159" t="s">
        <v>11715</v>
      </c>
      <c r="F3" s="159" t="s">
        <v>11716</v>
      </c>
      <c r="G3" s="159"/>
      <c r="H3" s="162" t="s">
        <v>11785</v>
      </c>
      <c r="I3" s="80" t="e">
        <f>+IF(SUM(E:E)=0,"OK","Dati volumi immessi in rete non congruenti")</f>
        <v>#N/A</v>
      </c>
    </row>
    <row r="4" ht="14.25" spans="1:9">
      <c r="A4" s="169"/>
      <c r="B4" s="152"/>
      <c r="E4" s="4" t="e">
        <f>IF(VLOOKUP(A4,Laghi!B:Y,24,FALSE())=0,0,1)</f>
        <v>#N/A</v>
      </c>
      <c r="F4" s="6" t="e">
        <f>+IF(VLOOKUP(B4,Potabilizzatori!B:BC,54,FALSE())&lt;3,0,1)</f>
        <v>#N/A</v>
      </c>
      <c r="G4" s="6"/>
      <c r="H4" s="162" t="s">
        <v>11718</v>
      </c>
      <c r="I4" s="80" t="e">
        <f>+IF(SUM(F:F)=0,"OK","Errore: associazione con potabilizzatore non conguente")</f>
        <v>#N/A</v>
      </c>
    </row>
  </sheetData>
  <pageMargins left="0.75" right="0.75" top="1" bottom="1" header="0.511811023622047" footer="0.511811023622047"/>
  <pageSetup paperSize="9" orientation="portrait"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A29"/>
  <sheetViews>
    <sheetView zoomScale="98" zoomScaleNormal="98" topLeftCell="BR2" workbookViewId="0">
      <selection activeCell="CA29" sqref="CA29"/>
    </sheetView>
  </sheetViews>
  <sheetFormatPr defaultColWidth="9.14285714285714" defaultRowHeight="12.75"/>
  <cols>
    <col min="1" max="1" width="10.1428571428571" style="3" customWidth="1"/>
    <col min="2" max="2" width="13.2857142857143" style="3" customWidth="1"/>
    <col min="3" max="3" width="36.5714285714286" style="3" customWidth="1"/>
    <col min="4" max="4" width="17.7142857142857" style="3" customWidth="1"/>
    <col min="5" max="5" width="17.5714285714286" style="3" customWidth="1"/>
    <col min="6" max="7" width="10.7142857142857" style="3" customWidth="1"/>
    <col min="8" max="8" width="17.5714285714286" style="3" customWidth="1"/>
    <col min="9" max="9" width="10.7142857142857" style="3" customWidth="1"/>
    <col min="10" max="10" width="65.8571428571429" style="3" customWidth="1"/>
    <col min="11" max="11" width="23.4285714285714" style="3" customWidth="1"/>
    <col min="12" max="18" width="10.7142857142857" style="3" customWidth="1"/>
    <col min="19" max="19" width="17.1428571428571" style="3" customWidth="1"/>
    <col min="20" max="20" width="10.7142857142857" style="3" customWidth="1"/>
    <col min="21" max="21" width="13" style="3" customWidth="1"/>
    <col min="22" max="22" width="12.7142857142857" style="3" customWidth="1"/>
    <col min="23" max="24" width="10.7142857142857" style="3" customWidth="1"/>
    <col min="25" max="25" width="17" style="3" customWidth="1"/>
    <col min="26" max="26" width="15.1428571428571" style="3" customWidth="1"/>
    <col min="27" max="46" width="10.7142857142857" style="3" customWidth="1"/>
    <col min="47" max="47" width="11.4285714285714" customWidth="1"/>
    <col min="49" max="49" width="29.7142857142857" customWidth="1"/>
    <col min="54" max="54" width="14.7142857142857" style="3" customWidth="1"/>
    <col min="55" max="55" width="19.7142857142857" customWidth="1"/>
    <col min="56" max="56" width="14.1428571428571" customWidth="1"/>
    <col min="57" max="57" width="12.1428571428571" customWidth="1"/>
    <col min="58" max="59" width="12.5714285714286" customWidth="1"/>
    <col min="60" max="60" width="13.1428571428571" customWidth="1"/>
    <col min="61" max="61" width="13.7142857142857" style="160" customWidth="1"/>
    <col min="62" max="62" width="13.2857142857143" style="160" customWidth="1"/>
    <col min="63" max="63" width="17.5714285714286" style="160" customWidth="1"/>
    <col min="64" max="64" width="17.8571428571429" style="160" customWidth="1"/>
    <col min="65" max="65" width="17.8571428571429" style="87" customWidth="1"/>
    <col min="66" max="66" width="22.4285714285714" style="87" customWidth="1"/>
    <col min="67" max="67" width="27.8571428571429" style="87" customWidth="1"/>
    <col min="68" max="68" width="20.2857142857143" style="87" customWidth="1"/>
    <col min="69" max="69" width="20.5714285714286" style="160" customWidth="1"/>
    <col min="70" max="70" width="19.2857142857143" style="160" customWidth="1"/>
    <col min="71" max="71" width="17" style="160" customWidth="1"/>
    <col min="72" max="73" width="16.8571428571429" style="160" customWidth="1"/>
    <col min="74" max="74" width="22.1428571428571" style="23" customWidth="1"/>
    <col min="75" max="75" width="24" style="23" customWidth="1"/>
    <col min="76" max="76" width="22" style="23" customWidth="1"/>
    <col min="77" max="77" width="11.4285714285714" style="23" customWidth="1"/>
    <col min="78" max="78" width="53.1428571428571" style="25" customWidth="1"/>
    <col min="79" max="79" width="45.2857142857143" style="175" customWidth="1"/>
    <col min="80" max="80" width="16" style="160" customWidth="1"/>
    <col min="81" max="83" width="9.14285714285714" style="160"/>
    <col min="85" max="1024" width="9.14285714285714" style="3"/>
  </cols>
  <sheetData>
    <row r="1" s="173" customFormat="1" ht="108" spans="1:79">
      <c r="A1" s="8" t="s">
        <v>11505</v>
      </c>
      <c r="B1" s="8" t="s">
        <v>11506</v>
      </c>
      <c r="C1" s="8" t="s">
        <v>11507</v>
      </c>
      <c r="D1" s="8" t="s">
        <v>11508</v>
      </c>
      <c r="E1" s="8" t="s">
        <v>11509</v>
      </c>
      <c r="F1" s="8" t="s">
        <v>11510</v>
      </c>
      <c r="G1" s="27" t="s">
        <v>11786</v>
      </c>
      <c r="H1" s="27" t="s">
        <v>11787</v>
      </c>
      <c r="I1" s="27" t="s">
        <v>11511</v>
      </c>
      <c r="J1" s="27" t="s">
        <v>11512</v>
      </c>
      <c r="K1" s="8" t="s">
        <v>11513</v>
      </c>
      <c r="L1" s="8" t="s">
        <v>11514</v>
      </c>
      <c r="M1" s="8" t="s">
        <v>11515</v>
      </c>
      <c r="N1" s="8" t="s">
        <v>11519</v>
      </c>
      <c r="O1" s="8" t="s">
        <v>11520</v>
      </c>
      <c r="P1" s="27" t="s">
        <v>11521</v>
      </c>
      <c r="Q1" s="8" t="s">
        <v>11788</v>
      </c>
      <c r="R1" s="8" t="s">
        <v>11523</v>
      </c>
      <c r="S1" s="8" t="s">
        <v>11524</v>
      </c>
      <c r="T1" s="8" t="s">
        <v>11525</v>
      </c>
      <c r="U1" s="8" t="s">
        <v>11789</v>
      </c>
      <c r="V1" s="8" t="s">
        <v>11790</v>
      </c>
      <c r="W1" s="8" t="s">
        <v>11791</v>
      </c>
      <c r="X1" s="8" t="s">
        <v>11792</v>
      </c>
      <c r="Y1" s="8" t="s">
        <v>11793</v>
      </c>
      <c r="Z1" s="8" t="s">
        <v>11528</v>
      </c>
      <c r="AA1" s="8" t="s">
        <v>11529</v>
      </c>
      <c r="AB1" s="8" t="s">
        <v>11530</v>
      </c>
      <c r="AC1" s="8" t="s">
        <v>11794</v>
      </c>
      <c r="AD1" s="8" t="s">
        <v>11795</v>
      </c>
      <c r="AE1" s="8" t="s">
        <v>11540</v>
      </c>
      <c r="AF1" s="8" t="s">
        <v>11541</v>
      </c>
      <c r="AG1" s="8" t="s">
        <v>11796</v>
      </c>
      <c r="AH1" s="8" t="s">
        <v>11542</v>
      </c>
      <c r="AI1" s="8" t="s">
        <v>11723</v>
      </c>
      <c r="AJ1" s="8" t="s">
        <v>11724</v>
      </c>
      <c r="AK1" s="8" t="s">
        <v>11545</v>
      </c>
      <c r="AL1" s="8" t="s">
        <v>11546</v>
      </c>
      <c r="AM1" s="8" t="s">
        <v>11547</v>
      </c>
      <c r="AN1" s="8" t="s">
        <v>11797</v>
      </c>
      <c r="AO1" s="8" t="s">
        <v>11548</v>
      </c>
      <c r="AP1" s="8" t="s">
        <v>11798</v>
      </c>
      <c r="AQ1" s="8" t="s">
        <v>11551</v>
      </c>
      <c r="AR1" s="8" t="s">
        <v>11799</v>
      </c>
      <c r="AS1" s="8" t="s">
        <v>11552</v>
      </c>
      <c r="AT1" s="8" t="s">
        <v>11553</v>
      </c>
      <c r="AU1" s="8" t="s">
        <v>11554</v>
      </c>
      <c r="AV1" s="8" t="s">
        <v>11800</v>
      </c>
      <c r="AW1" s="8" t="s">
        <v>11801</v>
      </c>
      <c r="AX1" s="8" t="s">
        <v>11558</v>
      </c>
      <c r="AY1" s="12" t="s">
        <v>11559</v>
      </c>
      <c r="AZ1" s="13" t="s">
        <v>11560</v>
      </c>
      <c r="BA1" s="13" t="s">
        <v>11561</v>
      </c>
      <c r="BB1" s="13" t="s">
        <v>11562</v>
      </c>
      <c r="BC1" s="13" t="s">
        <v>11726</v>
      </c>
      <c r="BD1" s="13" t="s">
        <v>11802</v>
      </c>
      <c r="BE1" s="13" t="s">
        <v>11802</v>
      </c>
      <c r="BF1" s="13" t="s">
        <v>11803</v>
      </c>
      <c r="BG1" s="13" t="s">
        <v>11804</v>
      </c>
      <c r="BH1" s="13" t="s">
        <v>11565</v>
      </c>
      <c r="BI1" s="13" t="s">
        <v>11805</v>
      </c>
      <c r="BJ1" s="13" t="s">
        <v>11806</v>
      </c>
      <c r="BK1" s="13" t="s">
        <v>11807</v>
      </c>
      <c r="BL1" s="13"/>
      <c r="BM1" s="13"/>
      <c r="BN1" s="13" t="s">
        <v>11569</v>
      </c>
      <c r="BO1" s="13" t="s">
        <v>11570</v>
      </c>
      <c r="BP1" s="13" t="s">
        <v>11571</v>
      </c>
      <c r="BQ1" s="13"/>
      <c r="BR1" s="13" t="s">
        <v>11572</v>
      </c>
      <c r="BS1" s="13" t="s">
        <v>11572</v>
      </c>
      <c r="BT1" s="13" t="s">
        <v>11808</v>
      </c>
      <c r="BU1" s="13" t="s">
        <v>11574</v>
      </c>
      <c r="BV1" s="33" t="s">
        <v>11575</v>
      </c>
      <c r="BW1" s="34" t="s">
        <v>11576</v>
      </c>
      <c r="BX1" s="34" t="s">
        <v>11577</v>
      </c>
      <c r="BY1" s="178"/>
      <c r="BZ1" s="130"/>
      <c r="CA1" s="130"/>
    </row>
    <row r="2" s="173" customFormat="1" ht="30" customHeight="1" spans="1:79">
      <c r="A2" s="9" t="s">
        <v>11809</v>
      </c>
      <c r="B2" s="9" t="s">
        <v>11579</v>
      </c>
      <c r="C2" s="9" t="s">
        <v>11580</v>
      </c>
      <c r="D2" s="9" t="s">
        <v>11581</v>
      </c>
      <c r="E2" s="9" t="s">
        <v>11582</v>
      </c>
      <c r="F2" s="9" t="s">
        <v>11583</v>
      </c>
      <c r="G2" s="29" t="s">
        <v>11810</v>
      </c>
      <c r="H2" s="29" t="s">
        <v>11811</v>
      </c>
      <c r="I2" s="29" t="s">
        <v>11584</v>
      </c>
      <c r="J2" s="29" t="s">
        <v>11585</v>
      </c>
      <c r="K2" s="9" t="s">
        <v>11586</v>
      </c>
      <c r="L2" s="9" t="s">
        <v>11587</v>
      </c>
      <c r="M2" s="9" t="s">
        <v>11588</v>
      </c>
      <c r="N2" s="9" t="s">
        <v>11592</v>
      </c>
      <c r="O2" s="9" t="s">
        <v>11593</v>
      </c>
      <c r="P2" s="29" t="s">
        <v>11594</v>
      </c>
      <c r="Q2" s="9" t="s">
        <v>11812</v>
      </c>
      <c r="R2" s="9" t="s">
        <v>11596</v>
      </c>
      <c r="S2" s="9" t="s">
        <v>11597</v>
      </c>
      <c r="T2" s="9" t="s">
        <v>11598</v>
      </c>
      <c r="U2" s="9" t="s">
        <v>11599</v>
      </c>
      <c r="V2" s="9" t="s">
        <v>11813</v>
      </c>
      <c r="W2" s="9" t="s">
        <v>11814</v>
      </c>
      <c r="X2" s="9" t="s">
        <v>11815</v>
      </c>
      <c r="Y2" s="9" t="s">
        <v>11816</v>
      </c>
      <c r="Z2" s="9" t="s">
        <v>11601</v>
      </c>
      <c r="AA2" s="9" t="s">
        <v>11602</v>
      </c>
      <c r="AB2" s="9" t="s">
        <v>11603</v>
      </c>
      <c r="AC2" s="9" t="s">
        <v>11817</v>
      </c>
      <c r="AD2" s="9" t="s">
        <v>11818</v>
      </c>
      <c r="AE2" s="9" t="s">
        <v>11613</v>
      </c>
      <c r="AF2" s="9" t="s">
        <v>11614</v>
      </c>
      <c r="AG2" s="9" t="s">
        <v>11819</v>
      </c>
      <c r="AH2" s="9" t="s">
        <v>11615</v>
      </c>
      <c r="AI2" s="9" t="s">
        <v>11616</v>
      </c>
      <c r="AJ2" s="9" t="s">
        <v>11617</v>
      </c>
      <c r="AK2" s="9" t="s">
        <v>11618</v>
      </c>
      <c r="AL2" s="9" t="s">
        <v>11619</v>
      </c>
      <c r="AM2" s="9" t="s">
        <v>11620</v>
      </c>
      <c r="AN2" s="9" t="s">
        <v>11820</v>
      </c>
      <c r="AO2" s="9" t="s">
        <v>11621</v>
      </c>
      <c r="AP2" s="9" t="s">
        <v>11821</v>
      </c>
      <c r="AQ2" s="9" t="s">
        <v>11624</v>
      </c>
      <c r="AR2" s="9" t="s">
        <v>11822</v>
      </c>
      <c r="AS2" s="9" t="s">
        <v>11625</v>
      </c>
      <c r="AT2" s="9" t="s">
        <v>11626</v>
      </c>
      <c r="AU2" s="9" t="s">
        <v>11627</v>
      </c>
      <c r="AV2" s="9" t="s">
        <v>11823</v>
      </c>
      <c r="AW2" s="9" t="s">
        <v>11824</v>
      </c>
      <c r="AX2" s="9" t="s">
        <v>11631</v>
      </c>
      <c r="AY2" s="14"/>
      <c r="AZ2" s="13"/>
      <c r="BA2" s="13"/>
      <c r="BB2" s="121"/>
      <c r="BC2" s="121"/>
      <c r="BD2" s="176"/>
      <c r="BE2" s="121"/>
      <c r="BF2" s="121"/>
      <c r="BG2" s="121"/>
      <c r="BH2" s="18"/>
      <c r="BI2" s="13"/>
      <c r="BJ2" s="13"/>
      <c r="BK2" s="13"/>
      <c r="BL2" s="13"/>
      <c r="BM2" s="13"/>
      <c r="BN2" s="13"/>
      <c r="BO2" s="13"/>
      <c r="BP2" s="13"/>
      <c r="BQ2" s="13"/>
      <c r="BR2" s="13"/>
      <c r="BS2" s="13"/>
      <c r="BT2" s="17"/>
      <c r="BU2" s="17"/>
      <c r="BV2" s="34"/>
      <c r="BW2" s="34"/>
      <c r="BX2" s="34"/>
      <c r="BY2" s="34"/>
      <c r="BZ2" s="130"/>
      <c r="CA2" s="130"/>
    </row>
    <row r="3" s="174" customFormat="1" ht="48" spans="1:79">
      <c r="A3" s="10" t="s">
        <v>11825</v>
      </c>
      <c r="B3" s="10" t="s">
        <v>11826</v>
      </c>
      <c r="C3" s="10" t="s">
        <v>11827</v>
      </c>
      <c r="D3" s="10" t="s">
        <v>11828</v>
      </c>
      <c r="E3" s="10" t="s">
        <v>11829</v>
      </c>
      <c r="F3" s="10" t="s">
        <v>11830</v>
      </c>
      <c r="G3" s="10">
        <v>111300</v>
      </c>
      <c r="H3" s="10">
        <v>111400</v>
      </c>
      <c r="I3" s="10">
        <v>111500</v>
      </c>
      <c r="J3" s="10">
        <v>111600</v>
      </c>
      <c r="K3" s="10" t="s">
        <v>11831</v>
      </c>
      <c r="L3" s="10" t="s">
        <v>11832</v>
      </c>
      <c r="M3" s="10" t="s">
        <v>11833</v>
      </c>
      <c r="N3" s="10" t="s">
        <v>11834</v>
      </c>
      <c r="O3" s="10" t="s">
        <v>11835</v>
      </c>
      <c r="P3" s="10">
        <v>111700</v>
      </c>
      <c r="Q3" s="10" t="s">
        <v>11836</v>
      </c>
      <c r="R3" s="10" t="s">
        <v>11837</v>
      </c>
      <c r="S3" s="10" t="s">
        <v>11838</v>
      </c>
      <c r="T3" s="10" t="s">
        <v>11839</v>
      </c>
      <c r="U3" s="10" t="s">
        <v>11840</v>
      </c>
      <c r="V3" s="10" t="s">
        <v>11841</v>
      </c>
      <c r="W3" s="10" t="s">
        <v>11842</v>
      </c>
      <c r="X3" s="10" t="s">
        <v>11843</v>
      </c>
      <c r="Y3" s="10" t="s">
        <v>11844</v>
      </c>
      <c r="Z3" s="10" t="s">
        <v>11845</v>
      </c>
      <c r="AA3" s="10" t="s">
        <v>11846</v>
      </c>
      <c r="AB3" s="10" t="s">
        <v>11847</v>
      </c>
      <c r="AC3" s="10" t="s">
        <v>11848</v>
      </c>
      <c r="AD3" s="10" t="s">
        <v>11849</v>
      </c>
      <c r="AE3" s="10" t="s">
        <v>11850</v>
      </c>
      <c r="AF3" s="10" t="s">
        <v>11851</v>
      </c>
      <c r="AG3" s="10" t="s">
        <v>11852</v>
      </c>
      <c r="AH3" s="10" t="s">
        <v>11853</v>
      </c>
      <c r="AI3" s="10" t="s">
        <v>11854</v>
      </c>
      <c r="AJ3" s="10" t="s">
        <v>11855</v>
      </c>
      <c r="AK3" s="10" t="s">
        <v>11856</v>
      </c>
      <c r="AL3" s="10" t="s">
        <v>11857</v>
      </c>
      <c r="AM3" s="10" t="s">
        <v>11858</v>
      </c>
      <c r="AN3" s="10" t="s">
        <v>11859</v>
      </c>
      <c r="AO3" s="10" t="s">
        <v>11860</v>
      </c>
      <c r="AP3" s="10" t="s">
        <v>11861</v>
      </c>
      <c r="AQ3" s="10" t="s">
        <v>11862</v>
      </c>
      <c r="AR3" s="10" t="s">
        <v>11863</v>
      </c>
      <c r="AS3" s="10" t="s">
        <v>11864</v>
      </c>
      <c r="AT3" s="10" t="s">
        <v>11865</v>
      </c>
      <c r="AU3" s="10" t="s">
        <v>11866</v>
      </c>
      <c r="AV3" s="10" t="s">
        <v>11867</v>
      </c>
      <c r="AW3" s="10" t="s">
        <v>11868</v>
      </c>
      <c r="AX3" s="10" t="s">
        <v>11869</v>
      </c>
      <c r="AY3" s="15"/>
      <c r="AZ3" s="16"/>
      <c r="BA3" s="16"/>
      <c r="BB3" s="16" t="s">
        <v>11683</v>
      </c>
      <c r="BC3" s="16" t="s">
        <v>11685</v>
      </c>
      <c r="BD3" s="16" t="s">
        <v>11870</v>
      </c>
      <c r="BE3" s="16" t="str">
        <f>+W1</f>
        <v>diametro perforazione [mm]</v>
      </c>
      <c r="BF3" s="16" t="str">
        <f>+X1</f>
        <v>potenza installata [Kw]</v>
      </c>
      <c r="BG3" s="16" t="s">
        <v>11871</v>
      </c>
      <c r="BH3" s="16" t="s">
        <v>124</v>
      </c>
      <c r="BI3" s="17" t="s">
        <v>11788</v>
      </c>
      <c r="BJ3" s="17" t="s">
        <v>11523</v>
      </c>
      <c r="BK3" s="17" t="s">
        <v>11872</v>
      </c>
      <c r="BL3" s="17" t="s">
        <v>11873</v>
      </c>
      <c r="BM3" s="17" t="s">
        <v>11688</v>
      </c>
      <c r="BN3" s="17" t="s">
        <v>11689</v>
      </c>
      <c r="BO3" s="17" t="s">
        <v>11690</v>
      </c>
      <c r="BP3" s="17" t="s">
        <v>11691</v>
      </c>
      <c r="BQ3" s="17" t="s">
        <v>11692</v>
      </c>
      <c r="BR3" s="17" t="s">
        <v>11693</v>
      </c>
      <c r="BS3" s="17" t="s">
        <v>11694</v>
      </c>
      <c r="BT3" s="17" t="s">
        <v>11695</v>
      </c>
      <c r="BU3" s="17" t="s">
        <v>11696</v>
      </c>
      <c r="BV3" s="178" t="s">
        <v>11697</v>
      </c>
      <c r="BW3" s="178" t="s">
        <v>11698</v>
      </c>
      <c r="BX3" s="178" t="s">
        <v>11699</v>
      </c>
      <c r="BY3" s="37" t="s">
        <v>11700</v>
      </c>
      <c r="BZ3" s="2"/>
      <c r="CA3" s="2"/>
    </row>
    <row r="4" ht="14.25" spans="1:79">
      <c r="A4" s="24"/>
      <c r="B4" s="169"/>
      <c r="C4" s="24"/>
      <c r="D4" s="145"/>
      <c r="E4" s="145"/>
      <c r="F4" s="24"/>
      <c r="G4" s="24"/>
      <c r="H4" s="24"/>
      <c r="I4" s="24"/>
      <c r="J4" s="24"/>
      <c r="K4" s="24"/>
      <c r="L4" s="24"/>
      <c r="M4" s="24"/>
      <c r="N4" s="24"/>
      <c r="O4" s="24"/>
      <c r="P4" s="24"/>
      <c r="Q4" s="24"/>
      <c r="R4" s="24"/>
      <c r="S4" s="24"/>
      <c r="T4" s="171"/>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148"/>
      <c r="AX4" s="25"/>
      <c r="AY4" s="25"/>
      <c r="AZ4" s="6">
        <f>IF(AND(D4&gt;4678396.48217382,D4&lt;4924789.13601513),0,1)</f>
        <v>1</v>
      </c>
      <c r="BA4" s="6">
        <f>IF(AND(E4&gt;1554744.35667513,E4&lt;1771650.40247209),0,1)</f>
        <v>1</v>
      </c>
      <c r="BB4" s="177">
        <f>+IF(AO4&lt;3,IF(K4="",0,IF(K4&gt;0,0,1)),0)</f>
        <v>0</v>
      </c>
      <c r="BC4" s="93">
        <f>IF(AO4&lt;3,IF(AND(O4&gt;0,O4&lt;1000),0,1),0)</f>
        <v>1</v>
      </c>
      <c r="BD4" s="93">
        <f>IF(AO4&lt;3,IF(OR(V4&gt;0,V4=""),0,1),0)</f>
        <v>0</v>
      </c>
      <c r="BE4" s="93">
        <f>IF(AO4&lt;3,IF(W4&gt;0,0,IF(AO4&gt;2,0,1)),0)</f>
        <v>1</v>
      </c>
      <c r="BF4" s="93">
        <f>IF(AO4&lt;3,IF(X4&gt;0,0,IF(AO4&gt;2,0,1)),0)</f>
        <v>1</v>
      </c>
      <c r="BG4" s="93">
        <f>IF(AO4&lt;3,IF(Z4&gt;0,IF(Y4&gt;0,0,1),IF(Y4=0,0,1)),0)</f>
        <v>0</v>
      </c>
      <c r="BH4" s="4">
        <f>IF(AO4&lt;3,IF(OR(P4="S",P4="N",P4=0,P4=1),0,1),0)</f>
        <v>0</v>
      </c>
      <c r="BI4" s="42">
        <f>IF(AO4&lt;3,IF(OR(Q4=9999,Q4&lt;('[2]Input anno'!$A$1+1)),0,1),0)</f>
        <v>0</v>
      </c>
      <c r="BJ4" s="42">
        <f>IF(AO4&lt;3,IF(OR(R4=9800,R4=9999,R4&lt;='[2]Input anno'!$A$1),0,1),0)</f>
        <v>0</v>
      </c>
      <c r="BK4" s="42">
        <f>+IF(AO4=3,IF(Q4='[2]Input anno'!$A$1,0,1),0)</f>
        <v>0</v>
      </c>
      <c r="BL4" s="42">
        <f>+IF(AO4&lt;3,IF(Q4&lt;&gt;9999,IF(Q4&lt;R4,0,1),0),0)</f>
        <v>1</v>
      </c>
      <c r="BM4" s="142">
        <f>+IF(AO4&lt;3,IF(U4=100,IF(T4="CONTINUO",0,1),IF(T4="CONTINUO",1,0)),0)</f>
        <v>0</v>
      </c>
      <c r="BN4" s="142">
        <f>+IF(AO4&lt;3,IF(U4=0,IF(Z4=0,0,1),IF(Z4&gt;0,0,1)),0)</f>
        <v>0</v>
      </c>
      <c r="BO4" s="6">
        <f>IF(AO4&gt;2,IF(Z4=0,0,1),IF(Z4&gt;0,IF(U4&gt;0,0,1),IF(U4=0,0,1)))</f>
        <v>0</v>
      </c>
      <c r="BP4" s="177">
        <f>+IF(AO4&lt;3,IF(AA4&lt;=Z4,0,1),0)</f>
        <v>0</v>
      </c>
      <c r="BQ4" s="93">
        <f>+IF(AO4&lt;3,IF(AND(AL4&lt;&gt;9800,AL4&lt;&gt;9999),IF(AL4&lt;AM4,0,1),0),0)</f>
        <v>1</v>
      </c>
      <c r="BR4" s="93">
        <f>+IF(AO4&lt;3,IF(AND(AL4&lt;&gt;9999,AL4&lt;&gt;9800),IF(AL4&lt;='[2]Input anno'!$A$1,0,1),0),0)</f>
        <v>0</v>
      </c>
      <c r="BS4" s="93">
        <f>+IF(AO4&lt;3,IF(AND(AM4&lt;&gt;9800,AM4&lt;&gt;9999),IF(AM4&lt;='[2]Input anno'!$A$1,0,1),0),0)</f>
        <v>0</v>
      </c>
      <c r="BT4" s="177">
        <f>+IF(AO4&lt;3,IF(Q4&lt;9800,IF(Q4&gt;=2014,IF(AP4="A",0,1),0),IF(Q4=9999,IF(AP4="X",0,1),IF(AP4="A",0,1))),0)</f>
        <v>0</v>
      </c>
      <c r="BU4" s="177">
        <f>+IF(AO4&lt;3,IF(R4&lt;9800,IF(R4&gt;=2014,IF(AQ4="A",0,1),0),IF(R4=9999,IF(AQ4="X",0,1),IF(AQ4="A",0,1))),0)</f>
        <v>0</v>
      </c>
      <c r="BV4" s="36">
        <f>+IF(AO4&lt;3,IF(AND(R4&lt;&gt;9999,R4&lt;&gt;9800),IF(AND(R4&gt;=2019,S4&lt;4),1,0),0),0)</f>
        <v>0</v>
      </c>
      <c r="BW4" s="36">
        <f>IF(AO4&lt;3,IF(Q4=9999,0,IF(Q4&gt;=2014,IF(AND(R4&gt;Q4,R4&lt;&gt;9999,S4&gt;=4),0,1),0)),0)</f>
        <v>0</v>
      </c>
      <c r="BX4" s="36">
        <f>+IF(AO4&lt;3,IF(Q4=9999,0,IF(Q4&gt;=2015,IF(COUNTBLANK(B4:AX4)=0,0,1),0)),0)</f>
        <v>0</v>
      </c>
      <c r="BY4" s="38">
        <f>+IF(AND(Q4='[2]Input anno'!$A$1,AO4=1),COUNTBLANK(B4:AX4),0)</f>
        <v>0</v>
      </c>
      <c r="BZ4" s="84" t="s">
        <v>11560</v>
      </c>
      <c r="CA4" s="56" t="str">
        <f>IF(SUM(AZ:AZ)=0,"OK","errore su coordinata nord")</f>
        <v>errore su coordinata nord</v>
      </c>
    </row>
    <row r="5" spans="1:79">
      <c r="A5" s="24"/>
      <c r="B5" s="24"/>
      <c r="C5" s="24"/>
      <c r="D5" s="145"/>
      <c r="E5" s="145"/>
      <c r="F5" s="24"/>
      <c r="G5" s="24"/>
      <c r="H5" s="24"/>
      <c r="I5" s="24"/>
      <c r="J5" s="24"/>
      <c r="K5" s="24"/>
      <c r="L5" s="24"/>
      <c r="M5" s="24"/>
      <c r="N5" s="24"/>
      <c r="O5" s="24"/>
      <c r="P5" s="24"/>
      <c r="Q5" s="24"/>
      <c r="R5" s="24"/>
      <c r="S5" s="24"/>
      <c r="T5" s="171"/>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148"/>
      <c r="AX5" s="25"/>
      <c r="AY5" s="25"/>
      <c r="AZ5" s="25"/>
      <c r="BA5" s="25"/>
      <c r="BB5" s="177"/>
      <c r="BC5" s="93"/>
      <c r="BD5" s="93"/>
      <c r="BE5" s="93"/>
      <c r="BF5" s="93"/>
      <c r="BG5" s="93"/>
      <c r="BH5" s="4"/>
      <c r="BI5" s="42"/>
      <c r="BJ5" s="42"/>
      <c r="BK5" s="42"/>
      <c r="BL5" s="42"/>
      <c r="BM5" s="142"/>
      <c r="BN5" s="142"/>
      <c r="BO5" s="6"/>
      <c r="BP5" s="142"/>
      <c r="BQ5" s="42"/>
      <c r="BR5" s="42"/>
      <c r="BS5" s="42"/>
      <c r="BT5" s="19"/>
      <c r="BU5" s="19"/>
      <c r="BV5" s="36"/>
      <c r="BW5" s="36"/>
      <c r="BX5" s="36"/>
      <c r="BY5" s="36"/>
      <c r="BZ5" s="84" t="s">
        <v>11561</v>
      </c>
      <c r="CA5" s="56" t="str">
        <f>IF(SUM(BA:BA)=0,"OK","errore su coordinata est")</f>
        <v>errore su coordinata est</v>
      </c>
    </row>
    <row r="6" spans="1:79">
      <c r="A6" s="24"/>
      <c r="B6" s="24"/>
      <c r="C6" s="24"/>
      <c r="D6" s="145"/>
      <c r="E6" s="145"/>
      <c r="F6" s="24"/>
      <c r="G6" s="24"/>
      <c r="H6" s="24"/>
      <c r="I6" s="24"/>
      <c r="J6" s="24"/>
      <c r="K6" s="24"/>
      <c r="L6" s="24"/>
      <c r="M6" s="24"/>
      <c r="N6" s="24"/>
      <c r="O6" s="24"/>
      <c r="P6" s="24"/>
      <c r="Q6" s="24"/>
      <c r="R6" s="24"/>
      <c r="S6" s="24"/>
      <c r="T6" s="171"/>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148"/>
      <c r="AX6" s="25"/>
      <c r="AY6" s="25"/>
      <c r="AZ6" s="25"/>
      <c r="BA6" s="25"/>
      <c r="BB6" s="177"/>
      <c r="BC6" s="93"/>
      <c r="BD6" s="93"/>
      <c r="BE6" s="93"/>
      <c r="BF6" s="93"/>
      <c r="BG6" s="93"/>
      <c r="BH6" s="4"/>
      <c r="BI6" s="42"/>
      <c r="BJ6" s="42"/>
      <c r="BK6" s="42"/>
      <c r="BL6" s="42"/>
      <c r="BM6" s="142"/>
      <c r="BN6" s="142"/>
      <c r="BO6" s="6"/>
      <c r="BP6" s="142"/>
      <c r="BQ6" s="42"/>
      <c r="BR6" s="42"/>
      <c r="BS6" s="42"/>
      <c r="BT6" s="19"/>
      <c r="BU6" s="19"/>
      <c r="BV6" s="36"/>
      <c r="BW6" s="36"/>
      <c r="BX6" s="36"/>
      <c r="BY6" s="36"/>
      <c r="BZ6" s="89" t="s">
        <v>11701</v>
      </c>
      <c r="CA6" s="109" t="str">
        <f>IF(SUM(BB:BB)=0,"OK","errore su QUOTA")</f>
        <v>OK</v>
      </c>
    </row>
    <row r="7" spans="1:79">
      <c r="A7" s="24"/>
      <c r="B7" s="24"/>
      <c r="C7" s="24"/>
      <c r="D7" s="145"/>
      <c r="E7" s="145"/>
      <c r="F7" s="24"/>
      <c r="G7" s="24"/>
      <c r="H7" s="24"/>
      <c r="I7" s="24"/>
      <c r="J7" s="24"/>
      <c r="K7" s="24"/>
      <c r="L7" s="24"/>
      <c r="M7" s="24"/>
      <c r="N7" s="24"/>
      <c r="O7" s="24"/>
      <c r="P7" s="24"/>
      <c r="Q7" s="24"/>
      <c r="R7" s="24"/>
      <c r="S7" s="24"/>
      <c r="T7" s="171"/>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148"/>
      <c r="AX7" s="25"/>
      <c r="AY7" s="25"/>
      <c r="AZ7" s="25"/>
      <c r="BA7" s="25"/>
      <c r="BB7" s="177"/>
      <c r="BC7" s="93"/>
      <c r="BD7" s="93"/>
      <c r="BE7" s="93"/>
      <c r="BF7" s="93"/>
      <c r="BG7" s="93"/>
      <c r="BH7" s="4"/>
      <c r="BI7" s="42"/>
      <c r="BJ7" s="42"/>
      <c r="BK7" s="42"/>
      <c r="BL7" s="42"/>
      <c r="BM7" s="142"/>
      <c r="BN7" s="142"/>
      <c r="BO7" s="6"/>
      <c r="BP7" s="142"/>
      <c r="BQ7" s="42"/>
      <c r="BR7" s="42"/>
      <c r="BS7" s="42"/>
      <c r="BT7" s="19"/>
      <c r="BU7" s="19"/>
      <c r="BV7" s="36"/>
      <c r="BW7" s="36"/>
      <c r="BX7" s="36"/>
      <c r="BY7" s="36"/>
      <c r="BZ7" s="89" t="s">
        <v>11685</v>
      </c>
      <c r="CA7" s="109" t="str">
        <f>IF(SUM(BC:BC)=0,"OK","errore su portata concessa uso potabile")</f>
        <v>errore su portata concessa uso potabile</v>
      </c>
    </row>
    <row r="8" spans="1:79">
      <c r="A8" s="24"/>
      <c r="B8" s="24"/>
      <c r="C8" s="24"/>
      <c r="D8" s="145"/>
      <c r="E8" s="145"/>
      <c r="F8" s="24"/>
      <c r="G8" s="24"/>
      <c r="H8" s="24"/>
      <c r="I8" s="24"/>
      <c r="J8" s="24"/>
      <c r="K8" s="24"/>
      <c r="L8" s="24"/>
      <c r="M8" s="24"/>
      <c r="N8" s="24"/>
      <c r="O8" s="24"/>
      <c r="P8" s="24"/>
      <c r="Q8" s="24"/>
      <c r="R8" s="24"/>
      <c r="S8" s="24"/>
      <c r="T8" s="171"/>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148"/>
      <c r="AX8" s="25"/>
      <c r="AY8" s="25"/>
      <c r="AZ8" s="25"/>
      <c r="BA8" s="25"/>
      <c r="BB8" s="177"/>
      <c r="BC8" s="93"/>
      <c r="BD8" s="93"/>
      <c r="BE8" s="93"/>
      <c r="BF8" s="93"/>
      <c r="BG8" s="93"/>
      <c r="BH8" s="4"/>
      <c r="BI8" s="42"/>
      <c r="BJ8" s="42"/>
      <c r="BK8" s="42"/>
      <c r="BL8" s="42"/>
      <c r="BM8" s="142"/>
      <c r="BN8" s="142"/>
      <c r="BO8" s="6"/>
      <c r="BP8" s="142"/>
      <c r="BQ8" s="42"/>
      <c r="BR8" s="42"/>
      <c r="BS8" s="42"/>
      <c r="BT8" s="19"/>
      <c r="BU8" s="19"/>
      <c r="BV8" s="36"/>
      <c r="BW8" s="36"/>
      <c r="BX8" s="36"/>
      <c r="BY8" s="36"/>
      <c r="BZ8" s="89" t="s">
        <v>11870</v>
      </c>
      <c r="CA8" s="109" t="str">
        <f>IF(SUM(BD:BD)=0,"OK","errore su profondità di perforazione")</f>
        <v>OK</v>
      </c>
    </row>
    <row r="9" spans="1:79">
      <c r="A9" s="24"/>
      <c r="B9" s="24"/>
      <c r="C9" s="24"/>
      <c r="D9" s="145"/>
      <c r="E9" s="145"/>
      <c r="F9" s="24"/>
      <c r="G9" s="24"/>
      <c r="H9" s="24"/>
      <c r="I9" s="24"/>
      <c r="J9" s="24"/>
      <c r="K9" s="24"/>
      <c r="L9" s="24"/>
      <c r="M9" s="24"/>
      <c r="N9" s="24"/>
      <c r="O9" s="24"/>
      <c r="P9" s="24"/>
      <c r="Q9" s="24"/>
      <c r="R9" s="24"/>
      <c r="S9" s="24"/>
      <c r="T9" s="171"/>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148"/>
      <c r="AX9" s="25"/>
      <c r="AY9" s="25"/>
      <c r="AZ9" s="25"/>
      <c r="BA9" s="25"/>
      <c r="BB9" s="177"/>
      <c r="BC9" s="93"/>
      <c r="BD9" s="93"/>
      <c r="BE9" s="93"/>
      <c r="BF9" s="93"/>
      <c r="BG9" s="93"/>
      <c r="BH9" s="4"/>
      <c r="BI9" s="42"/>
      <c r="BJ9" s="42"/>
      <c r="BK9" s="42"/>
      <c r="BL9" s="42"/>
      <c r="BM9" s="142"/>
      <c r="BN9" s="142"/>
      <c r="BO9" s="6"/>
      <c r="BP9" s="142"/>
      <c r="BQ9" s="42"/>
      <c r="BR9" s="42"/>
      <c r="BS9" s="42"/>
      <c r="BT9" s="19"/>
      <c r="BU9" s="19"/>
      <c r="BV9" s="36"/>
      <c r="BW9" s="36"/>
      <c r="BX9" s="36"/>
      <c r="BY9" s="36"/>
      <c r="BZ9" s="89" t="s">
        <v>11791</v>
      </c>
      <c r="CA9" s="109" t="str">
        <f>IF(SUM(BE:BE)=0,"OK","errore su diametro perforazione")</f>
        <v>errore su diametro perforazione</v>
      </c>
    </row>
    <row r="10" spans="1:79">
      <c r="A10" s="24"/>
      <c r="B10" s="24"/>
      <c r="C10" s="24"/>
      <c r="D10" s="145"/>
      <c r="E10" s="145"/>
      <c r="F10" s="24"/>
      <c r="G10" s="24"/>
      <c r="H10" s="24"/>
      <c r="I10" s="24"/>
      <c r="J10" s="24"/>
      <c r="K10" s="24"/>
      <c r="L10" s="24"/>
      <c r="M10" s="24"/>
      <c r="N10" s="24"/>
      <c r="O10" s="24"/>
      <c r="P10" s="24"/>
      <c r="Q10" s="24"/>
      <c r="R10" s="24"/>
      <c r="S10" s="24"/>
      <c r="T10" s="171"/>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148"/>
      <c r="AX10" s="25"/>
      <c r="AY10" s="25"/>
      <c r="AZ10" s="25"/>
      <c r="BA10" s="25"/>
      <c r="BB10" s="177"/>
      <c r="BC10" s="93"/>
      <c r="BD10" s="93"/>
      <c r="BE10" s="93"/>
      <c r="BF10" s="93"/>
      <c r="BG10" s="93"/>
      <c r="BH10" s="4"/>
      <c r="BI10" s="42"/>
      <c r="BJ10" s="42"/>
      <c r="BK10" s="42"/>
      <c r="BL10" s="42"/>
      <c r="BM10" s="142"/>
      <c r="BN10" s="142"/>
      <c r="BO10" s="6"/>
      <c r="BP10" s="142"/>
      <c r="BQ10" s="42"/>
      <c r="BR10" s="42"/>
      <c r="BS10" s="42"/>
      <c r="BT10" s="19"/>
      <c r="BU10" s="19"/>
      <c r="BV10" s="36"/>
      <c r="BW10" s="36"/>
      <c r="BX10" s="36"/>
      <c r="BY10" s="36"/>
      <c r="BZ10" s="89" t="s">
        <v>11792</v>
      </c>
      <c r="CA10" s="109" t="str">
        <f>IF(SUM(BF:BF)=0,"OK","errore su potenza installata")</f>
        <v>errore su potenza installata</v>
      </c>
    </row>
    <row r="11" spans="1:79">
      <c r="A11" s="24"/>
      <c r="B11" s="24"/>
      <c r="C11" s="24"/>
      <c r="D11" s="145"/>
      <c r="E11" s="145"/>
      <c r="F11" s="24"/>
      <c r="G11" s="24"/>
      <c r="H11" s="24"/>
      <c r="I11" s="24"/>
      <c r="J11" s="24"/>
      <c r="K11" s="24"/>
      <c r="L11" s="24"/>
      <c r="M11" s="24"/>
      <c r="N11" s="24"/>
      <c r="O11" s="24"/>
      <c r="P11" s="24"/>
      <c r="Q11" s="24"/>
      <c r="R11" s="24"/>
      <c r="S11" s="24"/>
      <c r="T11" s="171"/>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148"/>
      <c r="AX11" s="25"/>
      <c r="AY11" s="25"/>
      <c r="AZ11" s="25"/>
      <c r="BA11" s="25"/>
      <c r="BB11" s="177"/>
      <c r="BC11" s="93"/>
      <c r="BD11" s="93"/>
      <c r="BE11" s="93"/>
      <c r="BF11" s="93"/>
      <c r="BG11" s="93"/>
      <c r="BI11" s="42"/>
      <c r="BJ11" s="42"/>
      <c r="BK11" s="42"/>
      <c r="BL11" s="42"/>
      <c r="BM11" s="142"/>
      <c r="BN11" s="142"/>
      <c r="BO11" s="6"/>
      <c r="BP11" s="142"/>
      <c r="BQ11" s="42"/>
      <c r="BR11" s="42"/>
      <c r="BS11" s="42"/>
      <c r="BT11" s="19"/>
      <c r="BU11" s="19"/>
      <c r="BV11" s="36"/>
      <c r="BW11" s="36"/>
      <c r="BX11" s="36"/>
      <c r="BY11" s="36"/>
      <c r="BZ11" s="89" t="s">
        <v>11871</v>
      </c>
      <c r="CA11" s="109" t="str">
        <f>IF(SUM(BG:BG)=0,"OK","errore su consumo energia")</f>
        <v>OK</v>
      </c>
    </row>
    <row r="12" spans="1:79">
      <c r="A12" s="24"/>
      <c r="B12" s="24"/>
      <c r="C12" s="24"/>
      <c r="D12" s="145"/>
      <c r="E12" s="145"/>
      <c r="F12" s="24"/>
      <c r="G12" s="24"/>
      <c r="H12" s="24"/>
      <c r="I12" s="24"/>
      <c r="J12" s="24"/>
      <c r="K12" s="24"/>
      <c r="L12" s="24"/>
      <c r="M12" s="24"/>
      <c r="N12" s="24"/>
      <c r="O12" s="24"/>
      <c r="P12" s="24"/>
      <c r="Q12" s="24"/>
      <c r="R12" s="24"/>
      <c r="S12" s="24"/>
      <c r="T12" s="171"/>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148"/>
      <c r="AX12" s="25"/>
      <c r="AY12" s="25"/>
      <c r="AZ12" s="25"/>
      <c r="BA12" s="25"/>
      <c r="BB12" s="177"/>
      <c r="BC12" s="93"/>
      <c r="BD12" s="93"/>
      <c r="BE12" s="93"/>
      <c r="BF12" s="93"/>
      <c r="BG12" s="93"/>
      <c r="BI12" s="42"/>
      <c r="BJ12" s="42"/>
      <c r="BK12" s="42"/>
      <c r="BL12" s="42"/>
      <c r="BM12" s="142"/>
      <c r="BN12" s="142"/>
      <c r="BO12" s="6"/>
      <c r="BP12" s="142"/>
      <c r="BQ12" s="42"/>
      <c r="BR12" s="42"/>
      <c r="BS12" s="42"/>
      <c r="BT12" s="19"/>
      <c r="BU12" s="19"/>
      <c r="BV12" s="36"/>
      <c r="BW12" s="36"/>
      <c r="BX12" s="36"/>
      <c r="BY12" s="36"/>
      <c r="BZ12" s="89" t="s">
        <v>11703</v>
      </c>
      <c r="CA12" s="109" t="str">
        <f>IF(SUM(BH:BH)=0,"OK","errore compilazione campo")</f>
        <v>OK</v>
      </c>
    </row>
    <row r="13" spans="1:79">
      <c r="A13" s="24"/>
      <c r="B13" s="24"/>
      <c r="C13" s="24"/>
      <c r="D13" s="145"/>
      <c r="E13" s="145"/>
      <c r="F13" s="24"/>
      <c r="G13" s="24"/>
      <c r="H13" s="24"/>
      <c r="I13" s="24"/>
      <c r="J13" s="24"/>
      <c r="K13" s="24"/>
      <c r="L13" s="24"/>
      <c r="M13" s="24"/>
      <c r="N13" s="24"/>
      <c r="O13" s="24"/>
      <c r="P13" s="24"/>
      <c r="Q13" s="24"/>
      <c r="R13" s="24"/>
      <c r="S13" s="24"/>
      <c r="T13" s="171"/>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148"/>
      <c r="AX13" s="25"/>
      <c r="AY13" s="25"/>
      <c r="AZ13" s="25"/>
      <c r="BA13" s="25"/>
      <c r="BB13" s="177"/>
      <c r="BC13" s="93"/>
      <c r="BD13" s="93"/>
      <c r="BE13" s="93"/>
      <c r="BF13" s="93"/>
      <c r="BG13" s="93"/>
      <c r="BH13" s="143"/>
      <c r="BI13" s="42"/>
      <c r="BJ13" s="42"/>
      <c r="BK13" s="42"/>
      <c r="BL13" s="42"/>
      <c r="BM13" s="142"/>
      <c r="BN13" s="142"/>
      <c r="BO13" s="6"/>
      <c r="BP13" s="142"/>
      <c r="BQ13" s="42"/>
      <c r="BR13" s="42"/>
      <c r="BS13" s="42"/>
      <c r="BT13" s="19"/>
      <c r="BU13" s="19"/>
      <c r="BV13" s="36"/>
      <c r="BW13" s="36"/>
      <c r="BX13" s="36"/>
      <c r="BY13" s="36"/>
      <c r="BZ13" s="89" t="s">
        <v>11788</v>
      </c>
      <c r="CA13" s="109" t="str">
        <f>IF(SUM(BI:BI)=0,"OK","errore su anno perforazione")</f>
        <v>OK</v>
      </c>
    </row>
    <row r="14" spans="1:79">
      <c r="A14" s="24"/>
      <c r="B14" s="24"/>
      <c r="C14" s="24"/>
      <c r="D14" s="145"/>
      <c r="E14" s="145"/>
      <c r="F14" s="24"/>
      <c r="G14" s="24"/>
      <c r="H14" s="24"/>
      <c r="I14" s="24"/>
      <c r="J14" s="24"/>
      <c r="K14" s="24"/>
      <c r="L14" s="24"/>
      <c r="M14" s="24"/>
      <c r="N14" s="24"/>
      <c r="O14" s="24"/>
      <c r="P14" s="24"/>
      <c r="Q14" s="24"/>
      <c r="R14" s="24"/>
      <c r="S14" s="24"/>
      <c r="T14" s="171"/>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148"/>
      <c r="AX14" s="25"/>
      <c r="AY14" s="25"/>
      <c r="AZ14" s="25"/>
      <c r="BA14" s="25"/>
      <c r="BB14" s="177"/>
      <c r="BC14" s="93"/>
      <c r="BD14" s="93"/>
      <c r="BE14" s="93"/>
      <c r="BF14" s="93"/>
      <c r="BG14" s="93"/>
      <c r="BH14" s="4"/>
      <c r="BI14" s="42"/>
      <c r="BJ14" s="42"/>
      <c r="BK14" s="42"/>
      <c r="BL14" s="42"/>
      <c r="BM14" s="142"/>
      <c r="BN14" s="142"/>
      <c r="BO14" s="6"/>
      <c r="BP14" s="142"/>
      <c r="BQ14" s="42"/>
      <c r="BR14" s="42"/>
      <c r="BS14" s="42"/>
      <c r="BT14" s="19"/>
      <c r="BU14" s="19"/>
      <c r="BV14" s="36"/>
      <c r="BW14" s="36"/>
      <c r="BX14" s="36"/>
      <c r="BY14" s="36"/>
      <c r="BZ14" s="89" t="s">
        <v>11523</v>
      </c>
      <c r="CA14" s="109" t="str">
        <f>IF(SUM(BJ:BJ)=0,"OK","errore su anno ristrutturazione")</f>
        <v>OK</v>
      </c>
    </row>
    <row r="15" spans="1:79">
      <c r="A15" s="24"/>
      <c r="B15" s="24"/>
      <c r="C15" s="24"/>
      <c r="D15" s="145"/>
      <c r="E15" s="145"/>
      <c r="F15" s="24"/>
      <c r="G15" s="24"/>
      <c r="H15" s="24"/>
      <c r="I15" s="24"/>
      <c r="J15" s="24"/>
      <c r="K15" s="24"/>
      <c r="L15" s="24"/>
      <c r="M15" s="24"/>
      <c r="N15" s="24"/>
      <c r="O15" s="24"/>
      <c r="P15" s="24"/>
      <c r="Q15" s="24"/>
      <c r="R15" s="24"/>
      <c r="S15" s="24"/>
      <c r="T15" s="171"/>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148"/>
      <c r="AX15" s="25"/>
      <c r="AY15" s="25"/>
      <c r="AZ15" s="25"/>
      <c r="BA15" s="25"/>
      <c r="BB15" s="177"/>
      <c r="BC15" s="93"/>
      <c r="BD15" s="93"/>
      <c r="BE15" s="93"/>
      <c r="BF15" s="93"/>
      <c r="BG15" s="93"/>
      <c r="BH15" s="4"/>
      <c r="BI15" s="42"/>
      <c r="BJ15" s="42"/>
      <c r="BK15" s="42"/>
      <c r="BL15" s="42"/>
      <c r="BM15" s="142"/>
      <c r="BN15" s="142"/>
      <c r="BO15" s="6"/>
      <c r="BP15" s="142"/>
      <c r="BQ15" s="42"/>
      <c r="BR15" s="42"/>
      <c r="BS15" s="42"/>
      <c r="BT15" s="19"/>
      <c r="BU15" s="19"/>
      <c r="BV15" s="36"/>
      <c r="BW15" s="36"/>
      <c r="BX15" s="36"/>
      <c r="BY15" s="36"/>
      <c r="BZ15" s="89" t="s">
        <v>11872</v>
      </c>
      <c r="CA15" s="109" t="str">
        <f>IF(SUM(BK:BK)=0,"OK","errore congruenza su anno perforazione pari a 3")</f>
        <v>OK</v>
      </c>
    </row>
    <row r="16" ht="25.5" spans="1:79">
      <c r="A16" s="24"/>
      <c r="B16" s="24"/>
      <c r="C16" s="24"/>
      <c r="D16" s="145"/>
      <c r="E16" s="145"/>
      <c r="F16" s="24"/>
      <c r="G16" s="24"/>
      <c r="H16" s="24"/>
      <c r="I16" s="24"/>
      <c r="J16" s="24"/>
      <c r="K16" s="24"/>
      <c r="L16" s="24"/>
      <c r="M16" s="24"/>
      <c r="N16" s="24"/>
      <c r="O16" s="24"/>
      <c r="P16" s="24"/>
      <c r="Q16" s="24"/>
      <c r="R16" s="24"/>
      <c r="S16" s="24"/>
      <c r="T16" s="171"/>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148"/>
      <c r="AX16" s="25"/>
      <c r="AY16" s="25"/>
      <c r="AZ16" s="25"/>
      <c r="BA16" s="25"/>
      <c r="BB16" s="177"/>
      <c r="BC16" s="93"/>
      <c r="BD16" s="93"/>
      <c r="BE16" s="93"/>
      <c r="BF16" s="93"/>
      <c r="BG16" s="93"/>
      <c r="BH16" s="4"/>
      <c r="BI16" s="42"/>
      <c r="BJ16" s="42"/>
      <c r="BK16" s="42"/>
      <c r="BL16" s="42"/>
      <c r="BM16" s="142"/>
      <c r="BN16" s="142"/>
      <c r="BO16" s="6"/>
      <c r="BP16" s="142"/>
      <c r="BQ16" s="42"/>
      <c r="BR16" s="42"/>
      <c r="BS16" s="42"/>
      <c r="BT16" s="19"/>
      <c r="BU16" s="19"/>
      <c r="BV16" s="36"/>
      <c r="BW16" s="36"/>
      <c r="BX16" s="36"/>
      <c r="BY16" s="36"/>
      <c r="BZ16" s="89" t="s">
        <v>11873</v>
      </c>
      <c r="CA16" s="109" t="str">
        <f>IF(SUM(BL:BL)=0,"OK","anno perforazione non congruente con anno ristrutturazione")</f>
        <v>anno perforazione non congruente con anno ristrutturazione</v>
      </c>
    </row>
    <row r="17" ht="38.25" spans="1:79">
      <c r="A17" s="24"/>
      <c r="B17" s="24"/>
      <c r="C17" s="24"/>
      <c r="D17" s="145"/>
      <c r="E17" s="145"/>
      <c r="F17" s="24"/>
      <c r="G17" s="24"/>
      <c r="H17" s="24"/>
      <c r="I17" s="24"/>
      <c r="J17" s="24"/>
      <c r="K17" s="24"/>
      <c r="L17" s="24"/>
      <c r="M17" s="24"/>
      <c r="N17" s="24"/>
      <c r="O17" s="24"/>
      <c r="P17" s="24"/>
      <c r="Q17" s="24"/>
      <c r="R17" s="24"/>
      <c r="S17" s="24"/>
      <c r="T17" s="171"/>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148"/>
      <c r="AX17" s="25"/>
      <c r="AY17" s="25"/>
      <c r="AZ17" s="25"/>
      <c r="BA17" s="25"/>
      <c r="BB17" s="177"/>
      <c r="BC17" s="93"/>
      <c r="BD17" s="93"/>
      <c r="BE17" s="93"/>
      <c r="BF17" s="93"/>
      <c r="BG17" s="93"/>
      <c r="BH17" s="4"/>
      <c r="BI17" s="42"/>
      <c r="BJ17" s="42"/>
      <c r="BK17" s="42"/>
      <c r="BL17" s="42"/>
      <c r="BM17" s="142"/>
      <c r="BN17" s="142"/>
      <c r="BO17" s="6"/>
      <c r="BP17" s="142"/>
      <c r="BQ17" s="42"/>
      <c r="BR17" s="42"/>
      <c r="BS17" s="42"/>
      <c r="BT17" s="19"/>
      <c r="BU17" s="19"/>
      <c r="BV17" s="36"/>
      <c r="BW17" s="36"/>
      <c r="BX17" s="36"/>
      <c r="BY17" s="36"/>
      <c r="BZ17" s="109" t="s">
        <v>11688</v>
      </c>
      <c r="CA17" s="109" t="str">
        <f>IF(SUM(BM:BM)=0,"OK","tipo utilizzo non congruente con %utilizzo")</f>
        <v>OK</v>
      </c>
    </row>
    <row r="18" spans="1:79">
      <c r="A18" s="24"/>
      <c r="B18" s="24"/>
      <c r="C18" s="24"/>
      <c r="D18" s="145"/>
      <c r="E18" s="145"/>
      <c r="F18" s="24"/>
      <c r="G18" s="24"/>
      <c r="H18" s="24"/>
      <c r="I18" s="24"/>
      <c r="J18" s="24"/>
      <c r="K18" s="24"/>
      <c r="L18" s="24"/>
      <c r="M18" s="24"/>
      <c r="N18" s="24"/>
      <c r="O18" s="24"/>
      <c r="P18" s="24"/>
      <c r="Q18" s="24"/>
      <c r="R18" s="24"/>
      <c r="S18" s="24"/>
      <c r="T18" s="171"/>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148"/>
      <c r="AX18" s="25"/>
      <c r="AY18" s="25"/>
      <c r="AZ18" s="25"/>
      <c r="BA18" s="25"/>
      <c r="BB18" s="177"/>
      <c r="BC18" s="93"/>
      <c r="BD18" s="93"/>
      <c r="BE18" s="93"/>
      <c r="BF18" s="93"/>
      <c r="BG18" s="93"/>
      <c r="BH18" s="4"/>
      <c r="BI18" s="42"/>
      <c r="BJ18" s="42"/>
      <c r="BK18" s="42"/>
      <c r="BL18" s="42"/>
      <c r="BM18" s="142"/>
      <c r="BN18" s="142"/>
      <c r="BO18" s="6"/>
      <c r="BP18" s="142"/>
      <c r="BQ18" s="42"/>
      <c r="BR18" s="42"/>
      <c r="BS18" s="42"/>
      <c r="BT18" s="19"/>
      <c r="BU18" s="19"/>
      <c r="BV18" s="36"/>
      <c r="BW18" s="36"/>
      <c r="BX18" s="36"/>
      <c r="BY18" s="36"/>
      <c r="BZ18" s="89" t="s">
        <v>11689</v>
      </c>
      <c r="CA18" s="109" t="str">
        <f>IF(SUM(BN:BN)=0,"OK","utilizzo non congruente con volumi")</f>
        <v>OK</v>
      </c>
    </row>
    <row r="19" spans="1:79">
      <c r="A19" s="24"/>
      <c r="B19" s="24"/>
      <c r="C19" s="24"/>
      <c r="D19" s="145"/>
      <c r="E19" s="145"/>
      <c r="F19" s="24"/>
      <c r="G19" s="24"/>
      <c r="H19" s="24"/>
      <c r="I19" s="24"/>
      <c r="J19" s="24"/>
      <c r="K19" s="24"/>
      <c r="L19" s="24"/>
      <c r="M19" s="24"/>
      <c r="N19" s="24"/>
      <c r="O19" s="24"/>
      <c r="P19" s="24"/>
      <c r="Q19" s="24"/>
      <c r="R19" s="24"/>
      <c r="S19" s="24"/>
      <c r="T19" s="171"/>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148"/>
      <c r="AX19" s="25"/>
      <c r="AY19" s="25"/>
      <c r="AZ19" s="25"/>
      <c r="BA19" s="25"/>
      <c r="BB19" s="177"/>
      <c r="BC19" s="93"/>
      <c r="BD19" s="93"/>
      <c r="BE19" s="93"/>
      <c r="BF19" s="93"/>
      <c r="BG19" s="93"/>
      <c r="BH19" s="4"/>
      <c r="BI19" s="42"/>
      <c r="BJ19" s="42"/>
      <c r="BK19" s="42"/>
      <c r="BL19" s="42"/>
      <c r="BM19" s="142"/>
      <c r="BN19" s="142"/>
      <c r="BO19" s="6"/>
      <c r="BP19" s="142"/>
      <c r="BQ19" s="42"/>
      <c r="BR19" s="42"/>
      <c r="BS19" s="42"/>
      <c r="BT19" s="19"/>
      <c r="BU19" s="19"/>
      <c r="BV19" s="36"/>
      <c r="BW19" s="36"/>
      <c r="BX19" s="36"/>
      <c r="BY19" s="36"/>
      <c r="BZ19" s="89" t="s">
        <v>11690</v>
      </c>
      <c r="CA19" s="109" t="str">
        <f>IF(SUM(BO:BO)=0,"OK","volumi non congruenti con stato opera")</f>
        <v>OK</v>
      </c>
    </row>
    <row r="20" spans="1:79">
      <c r="A20" s="24"/>
      <c r="B20" s="24"/>
      <c r="C20" s="24"/>
      <c r="D20" s="145"/>
      <c r="E20" s="145"/>
      <c r="F20" s="24"/>
      <c r="G20" s="24"/>
      <c r="H20" s="24"/>
      <c r="I20" s="24"/>
      <c r="J20" s="24"/>
      <c r="K20" s="24"/>
      <c r="L20" s="24"/>
      <c r="M20" s="24"/>
      <c r="N20" s="24"/>
      <c r="O20" s="24"/>
      <c r="P20" s="24"/>
      <c r="Q20" s="24"/>
      <c r="R20" s="24"/>
      <c r="S20" s="24"/>
      <c r="T20" s="171"/>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148"/>
      <c r="AX20" s="25"/>
      <c r="AY20" s="25"/>
      <c r="AZ20" s="25"/>
      <c r="BA20" s="25"/>
      <c r="BB20" s="177"/>
      <c r="BC20" s="93"/>
      <c r="BD20" s="93"/>
      <c r="BE20" s="93"/>
      <c r="BF20" s="93"/>
      <c r="BG20" s="93"/>
      <c r="BH20" s="4"/>
      <c r="BI20" s="42"/>
      <c r="BJ20" s="42"/>
      <c r="BK20" s="42"/>
      <c r="BL20" s="42"/>
      <c r="BM20" s="142"/>
      <c r="BN20" s="142"/>
      <c r="BO20" s="6"/>
      <c r="BP20" s="142"/>
      <c r="BQ20" s="42"/>
      <c r="BR20" s="42"/>
      <c r="BS20" s="42"/>
      <c r="BT20" s="19"/>
      <c r="BU20" s="19"/>
      <c r="BV20" s="36"/>
      <c r="BW20" s="36"/>
      <c r="BX20" s="36"/>
      <c r="BY20" s="36"/>
      <c r="BZ20" s="89" t="s">
        <v>11691</v>
      </c>
      <c r="CA20" s="109" t="str">
        <f>IF(SUM(BP:BP)=0,"OK","Volumi immessi in rete non congruenti con volumi prelevati")</f>
        <v>OK</v>
      </c>
    </row>
    <row r="21" ht="25.5" spans="1:79">
      <c r="A21" s="24"/>
      <c r="B21" s="24"/>
      <c r="C21" s="24"/>
      <c r="D21" s="145"/>
      <c r="E21" s="145"/>
      <c r="F21" s="24"/>
      <c r="G21" s="24"/>
      <c r="H21" s="24"/>
      <c r="I21" s="24"/>
      <c r="J21" s="24"/>
      <c r="K21" s="24"/>
      <c r="L21" s="24"/>
      <c r="M21" s="24"/>
      <c r="N21" s="24"/>
      <c r="O21" s="24"/>
      <c r="P21" s="24"/>
      <c r="Q21" s="24"/>
      <c r="R21" s="24"/>
      <c r="S21" s="24"/>
      <c r="T21" s="171"/>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148"/>
      <c r="AX21" s="25"/>
      <c r="AY21" s="25"/>
      <c r="AZ21" s="25"/>
      <c r="BA21" s="25"/>
      <c r="BB21" s="177"/>
      <c r="BC21" s="93"/>
      <c r="BD21" s="93"/>
      <c r="BE21" s="93"/>
      <c r="BF21" s="93"/>
      <c r="BG21" s="93"/>
      <c r="BH21" s="4"/>
      <c r="BI21" s="42"/>
      <c r="BJ21" s="42"/>
      <c r="BK21" s="42"/>
      <c r="BL21" s="42"/>
      <c r="BM21" s="142"/>
      <c r="BN21" s="142"/>
      <c r="BO21" s="6"/>
      <c r="BP21" s="142"/>
      <c r="BQ21" s="42"/>
      <c r="BR21" s="42"/>
      <c r="BS21" s="42"/>
      <c r="BT21" s="19"/>
      <c r="BU21" s="19"/>
      <c r="BV21" s="36"/>
      <c r="BW21" s="36"/>
      <c r="BX21" s="36"/>
      <c r="BY21" s="36"/>
      <c r="BZ21" s="89" t="s">
        <v>11692</v>
      </c>
      <c r="CA21" s="109" t="str">
        <f>IF(SUM(BQ:BQ)=0,"OK","anno installaz cloratore non congruente con anno di ristrutt cloratore")</f>
        <v>anno installaz cloratore non congruente con anno di ristrutt cloratore</v>
      </c>
    </row>
    <row r="22" spans="1:79">
      <c r="A22" s="24"/>
      <c r="B22" s="24"/>
      <c r="C22" s="24"/>
      <c r="D22" s="145"/>
      <c r="E22" s="145"/>
      <c r="F22" s="24"/>
      <c r="G22" s="24"/>
      <c r="H22" s="24"/>
      <c r="I22" s="24"/>
      <c r="J22" s="24"/>
      <c r="K22" s="24"/>
      <c r="L22" s="24"/>
      <c r="M22" s="24"/>
      <c r="N22" s="24"/>
      <c r="O22" s="24"/>
      <c r="P22" s="24"/>
      <c r="Q22" s="24"/>
      <c r="R22" s="24"/>
      <c r="S22" s="24"/>
      <c r="T22" s="171"/>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148"/>
      <c r="AX22" s="25"/>
      <c r="AY22" s="25"/>
      <c r="AZ22" s="25"/>
      <c r="BA22" s="25"/>
      <c r="BB22" s="177"/>
      <c r="BC22" s="93"/>
      <c r="BD22" s="93"/>
      <c r="BE22" s="93"/>
      <c r="BF22" s="93"/>
      <c r="BG22" s="93"/>
      <c r="BH22" s="4"/>
      <c r="BI22" s="42"/>
      <c r="BJ22" s="42"/>
      <c r="BK22" s="42"/>
      <c r="BL22" s="42"/>
      <c r="BM22" s="142"/>
      <c r="BN22" s="142"/>
      <c r="BO22" s="6"/>
      <c r="BP22" s="142"/>
      <c r="BQ22" s="42"/>
      <c r="BR22" s="42"/>
      <c r="BS22" s="42"/>
      <c r="BT22" s="19"/>
      <c r="BU22" s="19"/>
      <c r="BV22" s="36"/>
      <c r="BW22" s="36"/>
      <c r="BX22" s="36"/>
      <c r="BY22" s="36"/>
      <c r="BZ22" s="89" t="s">
        <v>11693</v>
      </c>
      <c r="CA22" s="109" t="str">
        <f>IF(SUM(BR:BR)=0,"OK","anno installaz cloratore non corretto")</f>
        <v>OK</v>
      </c>
    </row>
    <row r="23" spans="1:79">
      <c r="A23" s="24"/>
      <c r="B23" s="24"/>
      <c r="C23" s="24"/>
      <c r="D23" s="145"/>
      <c r="E23" s="145"/>
      <c r="F23" s="24"/>
      <c r="G23" s="24"/>
      <c r="H23" s="24"/>
      <c r="I23" s="24"/>
      <c r="J23" s="24"/>
      <c r="K23" s="24"/>
      <c r="L23" s="24"/>
      <c r="M23" s="24"/>
      <c r="N23" s="24"/>
      <c r="O23" s="24"/>
      <c r="P23" s="24"/>
      <c r="Q23" s="24"/>
      <c r="R23" s="24"/>
      <c r="S23" s="24"/>
      <c r="T23" s="171"/>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148"/>
      <c r="AX23" s="25"/>
      <c r="AY23" s="25"/>
      <c r="AZ23" s="25"/>
      <c r="BA23" s="25"/>
      <c r="BB23" s="177"/>
      <c r="BC23" s="93"/>
      <c r="BD23" s="93"/>
      <c r="BE23" s="93"/>
      <c r="BF23" s="93"/>
      <c r="BG23" s="93"/>
      <c r="BH23" s="4"/>
      <c r="BI23" s="42"/>
      <c r="BJ23" s="42"/>
      <c r="BK23" s="42"/>
      <c r="BL23" s="42"/>
      <c r="BM23" s="142"/>
      <c r="BN23" s="142"/>
      <c r="BO23" s="6"/>
      <c r="BP23" s="142"/>
      <c r="BQ23" s="42"/>
      <c r="BR23" s="42"/>
      <c r="BS23" s="42"/>
      <c r="BT23" s="19"/>
      <c r="BU23" s="19"/>
      <c r="BV23" s="36"/>
      <c r="BW23" s="36"/>
      <c r="BX23" s="36"/>
      <c r="BY23" s="36"/>
      <c r="BZ23" s="89" t="s">
        <v>11694</v>
      </c>
      <c r="CA23" s="109" t="str">
        <f>IF(SUM(BS:BS)=0,"OK","anno ristruttur cloratore non corretto")</f>
        <v>OK</v>
      </c>
    </row>
    <row r="24" spans="1:79">
      <c r="A24" s="24"/>
      <c r="B24" s="24"/>
      <c r="C24" s="24"/>
      <c r="D24" s="145"/>
      <c r="E24" s="145"/>
      <c r="F24" s="24"/>
      <c r="G24" s="24"/>
      <c r="H24" s="24"/>
      <c r="I24" s="24"/>
      <c r="J24" s="24"/>
      <c r="K24" s="24"/>
      <c r="L24" s="24"/>
      <c r="M24" s="24"/>
      <c r="N24" s="24"/>
      <c r="O24" s="24"/>
      <c r="P24" s="24"/>
      <c r="Q24" s="24"/>
      <c r="R24" s="24"/>
      <c r="S24" s="24"/>
      <c r="T24" s="171"/>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148"/>
      <c r="AX24" s="25"/>
      <c r="AY24" s="25"/>
      <c r="AZ24" s="25"/>
      <c r="BA24" s="25"/>
      <c r="BB24" s="177"/>
      <c r="BC24" s="93"/>
      <c r="BD24" s="93"/>
      <c r="BE24" s="93"/>
      <c r="BF24" s="93"/>
      <c r="BG24" s="93"/>
      <c r="BH24" s="4"/>
      <c r="BI24" s="42"/>
      <c r="BJ24" s="42"/>
      <c r="BK24" s="42"/>
      <c r="BL24" s="42"/>
      <c r="BM24" s="142"/>
      <c r="BN24" s="142"/>
      <c r="BO24" s="6"/>
      <c r="BP24" s="142"/>
      <c r="BQ24" s="42"/>
      <c r="BR24" s="42"/>
      <c r="BS24" s="42"/>
      <c r="BT24" s="19"/>
      <c r="BU24" s="19"/>
      <c r="BV24" s="36"/>
      <c r="BW24" s="36"/>
      <c r="BX24" s="36"/>
      <c r="BY24" s="36"/>
      <c r="BZ24" s="56" t="s">
        <v>11695</v>
      </c>
      <c r="CA24" s="56" t="str">
        <f>IF(SUM(BT:BT)=0,"OK","indice di confidenza non congruente con anno di costruzione")</f>
        <v>OK</v>
      </c>
    </row>
    <row r="25" spans="1:79">
      <c r="A25" s="24"/>
      <c r="B25" s="24"/>
      <c r="C25" s="24"/>
      <c r="D25" s="145"/>
      <c r="E25" s="145"/>
      <c r="F25" s="24"/>
      <c r="G25" s="24"/>
      <c r="H25" s="24"/>
      <c r="I25" s="24"/>
      <c r="J25" s="24"/>
      <c r="K25" s="24"/>
      <c r="L25" s="24"/>
      <c r="M25" s="24"/>
      <c r="N25" s="24"/>
      <c r="O25" s="24"/>
      <c r="P25" s="24"/>
      <c r="Q25" s="24"/>
      <c r="R25" s="24"/>
      <c r="S25" s="24"/>
      <c r="T25" s="171"/>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148"/>
      <c r="AX25" s="25"/>
      <c r="AY25" s="25"/>
      <c r="AZ25" s="25"/>
      <c r="BA25" s="25"/>
      <c r="BB25" s="177"/>
      <c r="BC25" s="93"/>
      <c r="BD25" s="93"/>
      <c r="BE25" s="93"/>
      <c r="BF25" s="93"/>
      <c r="BG25" s="93"/>
      <c r="BH25" s="4"/>
      <c r="BI25" s="42"/>
      <c r="BJ25" s="42"/>
      <c r="BK25" s="42"/>
      <c r="BL25" s="42"/>
      <c r="BM25" s="142"/>
      <c r="BN25" s="142"/>
      <c r="BO25" s="6"/>
      <c r="BP25" s="142"/>
      <c r="BQ25" s="42"/>
      <c r="BR25" s="42"/>
      <c r="BS25" s="42"/>
      <c r="BT25" s="19"/>
      <c r="BU25" s="19"/>
      <c r="BV25" s="36"/>
      <c r="BW25" s="36"/>
      <c r="BX25" s="36"/>
      <c r="BY25" s="36"/>
      <c r="BZ25" s="56" t="s">
        <v>11696</v>
      </c>
      <c r="CA25" s="56" t="str">
        <f>IF(SUM(BU:BU)=0,"OK","indice di confidenza non congruente con anno di ristrutturazione")</f>
        <v>OK</v>
      </c>
    </row>
    <row r="26" spans="1:79">
      <c r="A26" s="24"/>
      <c r="B26" s="24"/>
      <c r="C26" s="24"/>
      <c r="D26" s="145"/>
      <c r="E26" s="145"/>
      <c r="F26" s="24"/>
      <c r="G26" s="24"/>
      <c r="H26" s="24"/>
      <c r="I26" s="24"/>
      <c r="J26" s="24"/>
      <c r="K26" s="24"/>
      <c r="L26" s="24"/>
      <c r="M26" s="24"/>
      <c r="N26" s="24"/>
      <c r="O26" s="24"/>
      <c r="P26" s="24"/>
      <c r="Q26" s="24"/>
      <c r="R26" s="24"/>
      <c r="S26" s="24"/>
      <c r="T26" s="171"/>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148"/>
      <c r="AX26" s="25"/>
      <c r="AY26" s="25"/>
      <c r="AZ26" s="25"/>
      <c r="BA26" s="25"/>
      <c r="BB26" s="177"/>
      <c r="BC26" s="93"/>
      <c r="BD26" s="93"/>
      <c r="BE26" s="93"/>
      <c r="BF26" s="93"/>
      <c r="BG26" s="93"/>
      <c r="BH26" s="4"/>
      <c r="BI26" s="42"/>
      <c r="BJ26" s="42"/>
      <c r="BK26" s="42"/>
      <c r="BL26" s="42"/>
      <c r="BM26" s="142"/>
      <c r="BN26" s="142"/>
      <c r="BO26" s="6"/>
      <c r="BP26" s="142"/>
      <c r="BQ26" s="42"/>
      <c r="BR26" s="42"/>
      <c r="BS26" s="42"/>
      <c r="BT26" s="19"/>
      <c r="BU26" s="19"/>
      <c r="BV26" s="36"/>
      <c r="BW26" s="36"/>
      <c r="BX26" s="36"/>
      <c r="BY26" s="36"/>
      <c r="BZ26" s="126" t="s">
        <v>11705</v>
      </c>
      <c r="CA26" s="41" t="str">
        <f>IF(SUM(BV:BV)=0,"OK","conservazione non congruente con anno di ristrutturazione &gt;=2018")</f>
        <v>OK</v>
      </c>
    </row>
    <row r="27" spans="1:79">
      <c r="A27" s="24"/>
      <c r="B27" s="24"/>
      <c r="C27" s="24"/>
      <c r="D27" s="145"/>
      <c r="E27" s="145"/>
      <c r="F27" s="24"/>
      <c r="G27" s="24"/>
      <c r="H27" s="24"/>
      <c r="I27" s="24"/>
      <c r="J27" s="24"/>
      <c r="K27" s="24"/>
      <c r="L27" s="24"/>
      <c r="M27" s="24"/>
      <c r="N27" s="24"/>
      <c r="O27" s="24"/>
      <c r="P27" s="24"/>
      <c r="Q27" s="24"/>
      <c r="R27" s="24"/>
      <c r="S27" s="24"/>
      <c r="T27" s="171"/>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148"/>
      <c r="AX27" s="25"/>
      <c r="AY27" s="25"/>
      <c r="AZ27" s="25"/>
      <c r="BA27" s="25"/>
      <c r="BB27" s="177"/>
      <c r="BC27" s="93"/>
      <c r="BD27" s="93"/>
      <c r="BE27" s="93"/>
      <c r="BF27" s="93"/>
      <c r="BG27" s="93"/>
      <c r="BH27" s="4"/>
      <c r="BI27" s="42"/>
      <c r="BJ27" s="42"/>
      <c r="BK27" s="42"/>
      <c r="BL27" s="42"/>
      <c r="BM27" s="142"/>
      <c r="BN27" s="142"/>
      <c r="BO27" s="6"/>
      <c r="BP27" s="142"/>
      <c r="BQ27" s="42"/>
      <c r="BR27" s="42"/>
      <c r="BS27" s="42"/>
      <c r="BT27" s="19"/>
      <c r="BU27" s="19"/>
      <c r="BV27" s="36"/>
      <c r="BW27" s="36"/>
      <c r="BX27" s="36"/>
      <c r="BY27" s="36"/>
      <c r="BZ27" s="127" t="s">
        <v>11698</v>
      </c>
      <c r="CA27" s="41" t="str">
        <f>IF(SUM(BW:BW)=0,"OK","Anno ristrutt. e/o stato di conservazione non congruenti con anno di costruzione &gt;=2014")</f>
        <v>OK</v>
      </c>
    </row>
    <row r="28" spans="1:79">
      <c r="A28" s="24"/>
      <c r="B28" s="24"/>
      <c r="C28" s="24"/>
      <c r="D28" s="145"/>
      <c r="E28" s="145"/>
      <c r="F28" s="24"/>
      <c r="G28" s="24"/>
      <c r="H28" s="24"/>
      <c r="I28" s="24"/>
      <c r="J28" s="24"/>
      <c r="K28" s="24"/>
      <c r="L28" s="24"/>
      <c r="M28" s="24"/>
      <c r="N28" s="24"/>
      <c r="O28" s="24"/>
      <c r="P28" s="24"/>
      <c r="Q28" s="24"/>
      <c r="R28" s="24"/>
      <c r="S28" s="24"/>
      <c r="T28" s="171"/>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148"/>
      <c r="AX28" s="25"/>
      <c r="AY28" s="25"/>
      <c r="AZ28" s="25"/>
      <c r="BA28" s="25"/>
      <c r="BB28" s="177"/>
      <c r="BC28" s="93"/>
      <c r="BD28" s="93"/>
      <c r="BE28" s="93"/>
      <c r="BF28" s="93"/>
      <c r="BG28" s="93"/>
      <c r="BH28" s="4"/>
      <c r="BI28" s="42"/>
      <c r="BJ28" s="42"/>
      <c r="BK28" s="42"/>
      <c r="BL28" s="42"/>
      <c r="BM28" s="142"/>
      <c r="BN28" s="142"/>
      <c r="BO28" s="6"/>
      <c r="BP28" s="142"/>
      <c r="BQ28" s="42"/>
      <c r="BR28" s="42"/>
      <c r="BS28" s="42"/>
      <c r="BT28" s="19"/>
      <c r="BU28" s="19"/>
      <c r="BV28" s="36"/>
      <c r="BW28" s="36"/>
      <c r="BX28" s="36"/>
      <c r="BY28" s="36"/>
      <c r="BZ28" s="127" t="s">
        <v>11699</v>
      </c>
      <c r="CA28" s="41" t="str">
        <f>IF(SUM(BX:BX)=0,"OK","Errore: celle vuote in corrispondenza di opera costruita in anno &gt;=2015")</f>
        <v>OK</v>
      </c>
    </row>
    <row r="29" spans="78:79">
      <c r="BZ29" s="37" t="s">
        <v>11700</v>
      </c>
      <c r="CA29" s="41" t="str">
        <f>IF(SUM(BY:BY)=0,"OK","Errore: verifica completezza su nuove opere")</f>
        <v>OK</v>
      </c>
    </row>
  </sheetData>
  <pageMargins left="0.75" right="0.75" top="1" bottom="1" header="0.511811023622047" footer="0.511811023622047"/>
  <pageSetup paperSize="9" orientation="portrait" horizontalDpi="3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4"/>
  <sheetViews>
    <sheetView zoomScale="98" zoomScaleNormal="98" topLeftCell="Q1" workbookViewId="0">
      <selection activeCell="AA4" sqref="AA4"/>
    </sheetView>
  </sheetViews>
  <sheetFormatPr defaultColWidth="8.71428571428571" defaultRowHeight="12.75"/>
  <cols>
    <col min="1" max="1" width="24.2857142857143" style="3" customWidth="1"/>
    <col min="2" max="2" width="16.7142857142857" style="3" customWidth="1"/>
    <col min="3" max="13" width="14" style="3" customWidth="1"/>
    <col min="15" max="15" width="31.5714285714286" style="42" customWidth="1"/>
    <col min="16" max="16" width="24" style="42" customWidth="1"/>
    <col min="17" max="17" width="15.1428571428571" style="42" customWidth="1"/>
    <col min="18" max="18" width="17.4285714285714" style="42" customWidth="1"/>
    <col min="19" max="19" width="22" style="160" customWidth="1"/>
    <col min="20" max="20" width="24.4285714285714" style="160" customWidth="1"/>
    <col min="21" max="21" width="19.2857142857143" style="160" customWidth="1"/>
    <col min="22" max="22" width="13.8571428571429" customWidth="1"/>
    <col min="23" max="23" width="14.8571428571429" customWidth="1"/>
    <col min="24" max="24" width="13" customWidth="1"/>
    <col min="25" max="25" width="16.1428571428571" customWidth="1"/>
    <col min="27" max="27" width="40.5714285714286" customWidth="1"/>
    <col min="28" max="28" width="51.5714285714286" customWidth="1"/>
    <col min="29" max="29" width="59.2857142857143" customWidth="1"/>
  </cols>
  <sheetData>
    <row r="1" ht="48" spans="1:28">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12" t="s">
        <v>11559</v>
      </c>
      <c r="O1" s="13" t="s">
        <v>11883</v>
      </c>
      <c r="P1" s="13" t="s">
        <v>11566</v>
      </c>
      <c r="Q1" s="13" t="s">
        <v>11884</v>
      </c>
      <c r="R1" s="13" t="s">
        <v>11885</v>
      </c>
      <c r="S1" s="13" t="s">
        <v>11886</v>
      </c>
      <c r="T1" s="47" t="s">
        <v>11887</v>
      </c>
      <c r="U1" s="13" t="s">
        <v>11888</v>
      </c>
      <c r="V1" s="13" t="s">
        <v>11889</v>
      </c>
      <c r="W1" s="13" t="s">
        <v>11890</v>
      </c>
      <c r="X1" s="13" t="s">
        <v>11891</v>
      </c>
      <c r="Y1" s="13" t="s">
        <v>11892</v>
      </c>
      <c r="AA1" s="113"/>
      <c r="AB1" s="113"/>
    </row>
    <row r="2" ht="45" spans="1:28">
      <c r="A2" s="9" t="s">
        <v>11709</v>
      </c>
      <c r="B2" s="9" t="s">
        <v>11597</v>
      </c>
      <c r="C2" s="9" t="s">
        <v>11893</v>
      </c>
      <c r="D2" s="9" t="s">
        <v>11596</v>
      </c>
      <c r="E2" s="9" t="s">
        <v>11894</v>
      </c>
      <c r="F2" s="9" t="s">
        <v>11895</v>
      </c>
      <c r="G2" s="9" t="s">
        <v>11896</v>
      </c>
      <c r="H2" s="9" t="s">
        <v>11897</v>
      </c>
      <c r="I2" s="9" t="s">
        <v>11898</v>
      </c>
      <c r="J2" s="9" t="s">
        <v>11624</v>
      </c>
      <c r="K2" s="9" t="s">
        <v>11899</v>
      </c>
      <c r="L2" s="9" t="s">
        <v>11900</v>
      </c>
      <c r="M2" s="9" t="s">
        <v>11901</v>
      </c>
      <c r="N2" s="14"/>
      <c r="O2" s="17"/>
      <c r="P2" s="17"/>
      <c r="Q2" s="17"/>
      <c r="R2" s="17"/>
      <c r="S2" s="17"/>
      <c r="T2" s="17"/>
      <c r="U2" s="17"/>
      <c r="V2" s="32"/>
      <c r="W2" s="32"/>
      <c r="X2" s="32"/>
      <c r="Y2" s="32"/>
      <c r="AA2" s="113"/>
      <c r="AB2" s="113"/>
    </row>
    <row r="3" ht="36" spans="1:28">
      <c r="A3" s="10" t="s">
        <v>11902</v>
      </c>
      <c r="B3" s="10" t="s">
        <v>11903</v>
      </c>
      <c r="C3" s="10" t="s">
        <v>11904</v>
      </c>
      <c r="D3" s="10" t="s">
        <v>11905</v>
      </c>
      <c r="E3" s="10" t="s">
        <v>11906</v>
      </c>
      <c r="F3" s="10" t="s">
        <v>11907</v>
      </c>
      <c r="G3" s="10" t="s">
        <v>11908</v>
      </c>
      <c r="H3" s="10" t="s">
        <v>11909</v>
      </c>
      <c r="I3" s="10" t="s">
        <v>11910</v>
      </c>
      <c r="J3" s="10" t="s">
        <v>11911</v>
      </c>
      <c r="K3" s="10" t="s">
        <v>11912</v>
      </c>
      <c r="L3" s="10" t="s">
        <v>11913</v>
      </c>
      <c r="M3" s="10" t="s">
        <v>11914</v>
      </c>
      <c r="N3" s="15"/>
      <c r="O3" s="46" t="s">
        <v>11915</v>
      </c>
      <c r="P3" s="16" t="s">
        <v>11916</v>
      </c>
      <c r="Q3" s="16" t="s">
        <v>11523</v>
      </c>
      <c r="R3" s="16" t="s">
        <v>11917</v>
      </c>
      <c r="S3" s="16" t="s">
        <v>11696</v>
      </c>
      <c r="T3" s="16" t="s">
        <v>11697</v>
      </c>
      <c r="U3" s="16" t="s">
        <v>11918</v>
      </c>
      <c r="V3" s="16" t="s">
        <v>11919</v>
      </c>
      <c r="W3" s="16" t="s">
        <v>11920</v>
      </c>
      <c r="X3" s="16" t="s">
        <v>11877</v>
      </c>
      <c r="Y3" s="16" t="s">
        <v>11921</v>
      </c>
      <c r="AA3" s="113"/>
      <c r="AB3" s="113"/>
    </row>
    <row r="4" spans="15:28">
      <c r="O4" s="32">
        <f>+IF(AND(B4&gt;0,B4&lt;6),0,1)</f>
        <v>1</v>
      </c>
      <c r="P4" s="32">
        <f>IF(OR(C4=9999,C4&lt;=('[2]Input anno'!$A$1)),0,1)</f>
        <v>0</v>
      </c>
      <c r="Q4" s="32">
        <f>IF(OR(D4=9800,D4=9999,D4&lt;='[2]Input anno'!$A$1),0,1)</f>
        <v>0</v>
      </c>
      <c r="R4" s="19">
        <f>+IF(C4&lt;&gt;9999,IF(C4&lt;D4,0,1),0)</f>
        <v>1</v>
      </c>
      <c r="S4" s="32">
        <f>+IF(D4&lt;9800,IF(D4&gt;=2014,IF(J4&lt;="A",0,1),0),IF(D4=9999,IF(J4="X",0,1),IF(J4="A",0,1)))</f>
        <v>0</v>
      </c>
      <c r="T4" s="19">
        <f>+IF(AND(D4&lt;&gt;9800,D4&lt;&gt;9999),IF(AND(D4&gt;=2018,B4&lt;4),1,0),0)</f>
        <v>0</v>
      </c>
      <c r="U4" s="19">
        <f>+IF(D4&lt;&gt;9800,IF(D4&gt;=2014,IF(J4&lt;&gt;"A",1,0),0),0)</f>
        <v>0</v>
      </c>
      <c r="V4" s="32">
        <f>+IF(E4&gt;0,0,1)</f>
        <v>1</v>
      </c>
      <c r="W4" s="32">
        <f>+IF(F4&gt;0,0,1)</f>
        <v>1</v>
      </c>
      <c r="X4" s="32">
        <f>+IF(G4&gt;0,0,1)</f>
        <v>1</v>
      </c>
      <c r="Y4" s="32">
        <f>+IF(OR(H4=0,H4=1,H4="S",H4="N"),0,1)</f>
        <v>0</v>
      </c>
      <c r="AA4" s="21" t="s">
        <v>11915</v>
      </c>
      <c r="AB4" s="49" t="str">
        <f>IF(SUM(O:O)=0,"OK","stato di conservazione non congruente con codifiche ammesse")</f>
        <v>stato di conservazione non congruente con codifiche ammesse</v>
      </c>
    </row>
    <row r="5" spans="15:28">
      <c r="O5" s="32"/>
      <c r="P5" s="32"/>
      <c r="Q5" s="32"/>
      <c r="R5" s="19"/>
      <c r="S5" s="32"/>
      <c r="T5" s="19"/>
      <c r="U5" s="19"/>
      <c r="V5" s="32"/>
      <c r="W5" s="32"/>
      <c r="X5" s="32"/>
      <c r="Y5" s="32"/>
      <c r="AA5" s="49" t="s">
        <v>11874</v>
      </c>
      <c r="AB5" s="49" t="str">
        <f>IF(SUM(P:P)=0,"OK","errore su anno installazione")</f>
        <v>OK</v>
      </c>
    </row>
    <row r="6" spans="15:28">
      <c r="O6" s="32"/>
      <c r="P6" s="32"/>
      <c r="Q6" s="32"/>
      <c r="R6" s="19"/>
      <c r="S6" s="32"/>
      <c r="T6" s="19"/>
      <c r="U6" s="19"/>
      <c r="V6" s="32"/>
      <c r="W6" s="32"/>
      <c r="X6" s="32"/>
      <c r="Y6" s="32"/>
      <c r="AA6" s="49" t="s">
        <v>11523</v>
      </c>
      <c r="AB6" s="49" t="str">
        <f>IF(SUM(Q:Q)=0,"OK","errore su anni ristrutturazione")</f>
        <v>OK</v>
      </c>
    </row>
    <row r="7" spans="15:28">
      <c r="O7" s="32"/>
      <c r="P7" s="32"/>
      <c r="Q7" s="32"/>
      <c r="R7" s="19"/>
      <c r="S7" s="32"/>
      <c r="T7" s="19"/>
      <c r="U7" s="19"/>
      <c r="V7" s="32"/>
      <c r="W7" s="32"/>
      <c r="X7" s="32"/>
      <c r="Y7" s="32"/>
      <c r="AA7" s="49" t="s">
        <v>11922</v>
      </c>
      <c r="AB7" s="49" t="str">
        <f>IF(SUM(R:R)=0,"OK","anno installazione non congruente con anno ristrutturazione")</f>
        <v>anno installazione non congruente con anno ristrutturazione</v>
      </c>
    </row>
    <row r="8" spans="15:28">
      <c r="O8" s="32"/>
      <c r="P8" s="32"/>
      <c r="Q8" s="32"/>
      <c r="R8" s="19"/>
      <c r="S8" s="32"/>
      <c r="T8" s="19"/>
      <c r="U8" s="19"/>
      <c r="V8" s="32"/>
      <c r="W8" s="32"/>
      <c r="X8" s="32"/>
      <c r="Y8" s="32"/>
      <c r="AA8" s="49" t="s">
        <v>11923</v>
      </c>
      <c r="AB8" s="49" t="str">
        <f>IF(SUM(S:S)=0,"OK","indice confidenza non congruente con anno installazione")</f>
        <v>OK</v>
      </c>
    </row>
    <row r="9" spans="15:28">
      <c r="O9" s="32"/>
      <c r="P9" s="32"/>
      <c r="Q9" s="32"/>
      <c r="R9" s="19"/>
      <c r="S9" s="32"/>
      <c r="T9" s="19"/>
      <c r="U9" s="19"/>
      <c r="V9" s="32"/>
      <c r="W9" s="32"/>
      <c r="X9" s="32"/>
      <c r="Y9" s="32"/>
      <c r="AA9" s="49" t="s">
        <v>11924</v>
      </c>
      <c r="AB9" s="49" t="str">
        <f>IF(SUM(T:T)=0,"OK","stato conservazione non congruente con anno ristrutturazione")</f>
        <v>OK</v>
      </c>
    </row>
    <row r="10" spans="15:28">
      <c r="O10" s="32"/>
      <c r="P10" s="32"/>
      <c r="Q10" s="32"/>
      <c r="R10" s="19"/>
      <c r="S10" s="32"/>
      <c r="T10" s="19"/>
      <c r="U10" s="19"/>
      <c r="V10" s="32"/>
      <c r="W10" s="32"/>
      <c r="X10" s="32"/>
      <c r="Y10" s="32"/>
      <c r="AA10" s="49" t="s">
        <v>11925</v>
      </c>
      <c r="AB10" s="49" t="str">
        <f>IF(SUM(T:T)=0,"OK","indice confidenza non congruente con anno ristrutturazione")</f>
        <v>OK</v>
      </c>
    </row>
    <row r="11" spans="15:28">
      <c r="O11" s="32"/>
      <c r="P11" s="32"/>
      <c r="Q11" s="32"/>
      <c r="R11" s="19"/>
      <c r="S11" s="32"/>
      <c r="T11" s="19"/>
      <c r="U11" s="19"/>
      <c r="V11" s="32"/>
      <c r="W11" s="32"/>
      <c r="X11" s="32"/>
      <c r="Y11" s="32"/>
      <c r="AA11" s="21" t="s">
        <v>341</v>
      </c>
      <c r="AB11" s="49" t="str">
        <f>IF(SUM(V:V)=0,"OK","potenza errata")</f>
        <v>potenza errata</v>
      </c>
    </row>
    <row r="12" spans="15:28">
      <c r="O12" s="32"/>
      <c r="P12" s="32"/>
      <c r="Q12" s="32"/>
      <c r="R12" s="19"/>
      <c r="S12" s="32"/>
      <c r="T12" s="19"/>
      <c r="U12" s="19"/>
      <c r="V12" s="32"/>
      <c r="W12" s="32"/>
      <c r="X12" s="32"/>
      <c r="Y12" s="32"/>
      <c r="AA12" s="21" t="s">
        <v>343</v>
      </c>
      <c r="AB12" s="49" t="str">
        <f>IF(SUM(W:W)=0,"OK","portata errata")</f>
        <v>portata errata</v>
      </c>
    </row>
    <row r="13" spans="15:28">
      <c r="O13" s="32"/>
      <c r="P13" s="32"/>
      <c r="Q13" s="32"/>
      <c r="R13" s="19"/>
      <c r="S13" s="32"/>
      <c r="T13" s="19"/>
      <c r="U13" s="19"/>
      <c r="V13" s="32"/>
      <c r="W13" s="32"/>
      <c r="X13" s="32"/>
      <c r="Y13" s="32"/>
      <c r="AA13" s="21" t="s">
        <v>345</v>
      </c>
      <c r="AB13" s="49" t="str">
        <f>IF(SUM(X:X)=0,"OK","prevalenza errata")</f>
        <v>prevalenza errata</v>
      </c>
    </row>
    <row r="14" spans="15:28">
      <c r="O14" s="32"/>
      <c r="P14" s="32"/>
      <c r="Q14" s="32"/>
      <c r="R14" s="19"/>
      <c r="S14" s="32"/>
      <c r="T14" s="19"/>
      <c r="U14" s="19"/>
      <c r="V14" s="32"/>
      <c r="W14" s="32"/>
      <c r="X14" s="32"/>
      <c r="Y14" s="32"/>
      <c r="AA14" s="21" t="s">
        <v>11921</v>
      </c>
      <c r="AB14" s="49" t="str">
        <f>IF(SUM(Y:Y)=0,"OK","funzione di riserva errata")</f>
        <v>OK</v>
      </c>
    </row>
  </sheetData>
  <pageMargins left="0.75" right="0.75" top="1" bottom="1" header="0.511811023622047" footer="0.511811023622047"/>
  <pageSetup paperSize="9"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zoomScale="90" zoomScaleNormal="90" topLeftCell="B1" workbookViewId="0">
      <selection activeCell="E4" sqref="E4"/>
    </sheetView>
  </sheetViews>
  <sheetFormatPr defaultColWidth="8.71428571428571" defaultRowHeight="12.75" outlineLevelRow="3"/>
  <cols>
    <col min="1" max="1" width="20.5714285714286" style="3" customWidth="1"/>
    <col min="2" max="2" width="46.2857142857143" style="3" customWidth="1"/>
    <col min="3" max="3" width="16.4285714285714" style="3" customWidth="1"/>
    <col min="5" max="5" width="32.4285714285714" style="160" customWidth="1"/>
    <col min="6" max="6" width="29" customWidth="1"/>
    <col min="7" max="7" width="22.1428571428571" style="160" customWidth="1"/>
    <col min="8" max="8" width="49.2857142857143" style="160" customWidth="1"/>
    <col min="9" max="9" width="50" style="160" customWidth="1"/>
  </cols>
  <sheetData>
    <row r="1" ht="45" spans="1:4">
      <c r="A1" s="8" t="s">
        <v>11706</v>
      </c>
      <c r="B1" s="8" t="s">
        <v>11707</v>
      </c>
      <c r="C1" s="8" t="s">
        <v>11781</v>
      </c>
      <c r="D1" s="43" t="s">
        <v>11559</v>
      </c>
    </row>
    <row r="2" ht="45" spans="1:4">
      <c r="A2" s="9" t="s">
        <v>11709</v>
      </c>
      <c r="B2" s="9" t="s">
        <v>11710</v>
      </c>
      <c r="C2" s="9" t="s">
        <v>11711</v>
      </c>
      <c r="D2" s="44"/>
    </row>
    <row r="3" ht="24" spans="1:9">
      <c r="A3" s="10" t="s">
        <v>11926</v>
      </c>
      <c r="B3" s="10" t="s">
        <v>11927</v>
      </c>
      <c r="C3" s="10" t="s">
        <v>11928</v>
      </c>
      <c r="D3" s="45"/>
      <c r="E3" s="158" t="s">
        <v>11715</v>
      </c>
      <c r="F3" s="159" t="s">
        <v>11716</v>
      </c>
      <c r="H3" s="161" t="s">
        <v>11929</v>
      </c>
      <c r="I3" s="163" t="e">
        <f>+IF(SUM(E:E)=0,"OK","Dati volumi immessi in rete non congruenti")</f>
        <v>#N/A</v>
      </c>
    </row>
    <row r="4" ht="14.25" spans="1:9">
      <c r="A4" s="169"/>
      <c r="B4" s="152"/>
      <c r="E4" s="32" t="e">
        <f>IF(VLOOKUP(A4,Pozzi!B:AA,26,FALSE())=0,0,1)</f>
        <v>#N/A</v>
      </c>
      <c r="F4" s="6" t="e">
        <f>+IF(VLOOKUP(B4,Potabilizzatori!B:BC,54,FALSE())&lt;3,0,1)</f>
        <v>#N/A</v>
      </c>
      <c r="H4" s="162" t="s">
        <v>11718</v>
      </c>
      <c r="I4" s="80" t="e">
        <f>+IF(SUM(F:F)=0,"OK","Errore: associazione con potabilizzatore non conguente")</f>
        <v>#N/A</v>
      </c>
    </row>
  </sheetData>
  <pageMargins left="0.75" right="0.75" top="1" bottom="1" header="0.511811023622047" footer="0.511811023622047"/>
  <pageSetup paperSize="9" orientation="portrait"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V26"/>
  <sheetViews>
    <sheetView topLeftCell="BL2" workbookViewId="0">
      <selection activeCell="BU26" sqref="BU26:BV26"/>
    </sheetView>
  </sheetViews>
  <sheetFormatPr defaultColWidth="9.14285714285714" defaultRowHeight="12.75"/>
  <cols>
    <col min="1" max="1" width="15" style="3" customWidth="1"/>
    <col min="2" max="2" width="16.4285714285714" style="3" customWidth="1"/>
    <col min="3" max="3" width="33.4285714285714" style="3" customWidth="1"/>
    <col min="4" max="4" width="15" style="3" customWidth="1"/>
    <col min="5" max="5" width="13.8571428571429" style="3" customWidth="1"/>
    <col min="6" max="7" width="10.7142857142857" style="3" customWidth="1"/>
    <col min="8" max="8" width="23.8571428571429" style="3" customWidth="1"/>
    <col min="9" max="9" width="10.7142857142857" style="3" customWidth="1"/>
    <col min="10" max="10" width="12.2857142857143" style="3" customWidth="1"/>
    <col min="11" max="18" width="10.7142857142857" style="3" customWidth="1"/>
    <col min="19" max="20" width="13.4285714285714" style="3" customWidth="1"/>
    <col min="21" max="47" width="10.7142857142857" style="3" customWidth="1"/>
    <col min="52" max="52" width="12.8571428571429" style="32" customWidth="1"/>
    <col min="53" max="53" width="22.7142857142857" style="32" customWidth="1"/>
    <col min="54" max="54" width="13.1428571428571" customWidth="1"/>
    <col min="55" max="55" width="11.8571428571429" style="32" customWidth="1"/>
    <col min="56" max="56" width="14" style="32" customWidth="1"/>
    <col min="57" max="57" width="17.2857142857143" style="32" customWidth="1"/>
    <col min="58" max="58" width="19" style="32" customWidth="1"/>
    <col min="59" max="59" width="19.7142857142857" style="32" customWidth="1"/>
    <col min="60" max="60" width="12.5714285714286" style="32" customWidth="1"/>
    <col min="61" max="61" width="21.5714285714286" style="32" customWidth="1"/>
    <col min="62" max="62" width="26.7142857142857" style="32" customWidth="1"/>
    <col min="63" max="63" width="15.2857142857143" style="32" customWidth="1"/>
    <col min="64" max="64" width="16.7142857142857" style="19" customWidth="1"/>
    <col min="65" max="65" width="14.1428571428571" style="19" customWidth="1"/>
    <col min="66" max="66" width="12.7142857142857" style="19" customWidth="1"/>
    <col min="67" max="72" width="17.1428571428571" style="19" customWidth="1"/>
    <col min="73" max="73" width="60.5714285714286" style="24" customWidth="1"/>
    <col min="74" max="74" width="47.8571428571429" style="24" customWidth="1"/>
    <col min="75" max="75" width="164.285714285714" style="3" customWidth="1"/>
    <col min="76" max="1024" width="9.14285714285714" style="3"/>
  </cols>
  <sheetData>
    <row r="1" s="1" customFormat="1" ht="108" spans="1:74">
      <c r="A1" s="8" t="s">
        <v>11505</v>
      </c>
      <c r="B1" s="8" t="s">
        <v>11506</v>
      </c>
      <c r="C1" s="8" t="s">
        <v>11507</v>
      </c>
      <c r="D1" s="8" t="s">
        <v>11508</v>
      </c>
      <c r="E1" s="8" t="s">
        <v>11509</v>
      </c>
      <c r="F1" s="8" t="s">
        <v>11510</v>
      </c>
      <c r="G1" s="27" t="s">
        <v>11930</v>
      </c>
      <c r="H1" s="27" t="s">
        <v>11931</v>
      </c>
      <c r="I1" s="27" t="s">
        <v>11511</v>
      </c>
      <c r="J1" s="27" t="s">
        <v>11512</v>
      </c>
      <c r="K1" s="8" t="s">
        <v>11513</v>
      </c>
      <c r="L1" s="8" t="s">
        <v>11514</v>
      </c>
      <c r="M1" s="8" t="s">
        <v>11515</v>
      </c>
      <c r="N1" s="8" t="s">
        <v>11519</v>
      </c>
      <c r="O1" s="8" t="s">
        <v>11520</v>
      </c>
      <c r="P1" s="27" t="s">
        <v>11521</v>
      </c>
      <c r="Q1" s="8" t="s">
        <v>11522</v>
      </c>
      <c r="R1" s="8" t="s">
        <v>11523</v>
      </c>
      <c r="S1" s="8" t="s">
        <v>11524</v>
      </c>
      <c r="T1" s="8" t="s">
        <v>11525</v>
      </c>
      <c r="U1" s="8" t="s">
        <v>11526</v>
      </c>
      <c r="V1" s="8" t="s">
        <v>11932</v>
      </c>
      <c r="W1" s="8" t="s">
        <v>11933</v>
      </c>
      <c r="X1" s="8" t="s">
        <v>11934</v>
      </c>
      <c r="Y1" s="8" t="s">
        <v>11935</v>
      </c>
      <c r="Z1" s="8" t="s">
        <v>11528</v>
      </c>
      <c r="AA1" s="8" t="s">
        <v>11529</v>
      </c>
      <c r="AB1" s="8" t="s">
        <v>11936</v>
      </c>
      <c r="AC1" s="8" t="s">
        <v>11794</v>
      </c>
      <c r="AD1" s="8" t="s">
        <v>11795</v>
      </c>
      <c r="AE1" s="8" t="s">
        <v>11540</v>
      </c>
      <c r="AF1" s="8" t="s">
        <v>11541</v>
      </c>
      <c r="AG1" s="8" t="s">
        <v>11542</v>
      </c>
      <c r="AH1" s="8" t="s">
        <v>11723</v>
      </c>
      <c r="AI1" s="8" t="s">
        <v>11724</v>
      </c>
      <c r="AJ1" s="8" t="s">
        <v>11545</v>
      </c>
      <c r="AK1" s="8" t="s">
        <v>11546</v>
      </c>
      <c r="AL1" s="8" t="s">
        <v>11547</v>
      </c>
      <c r="AM1" s="8" t="s">
        <v>11797</v>
      </c>
      <c r="AN1" s="8" t="s">
        <v>11548</v>
      </c>
      <c r="AO1" s="8" t="s">
        <v>11550</v>
      </c>
      <c r="AP1" s="8" t="s">
        <v>11551</v>
      </c>
      <c r="AQ1" s="8" t="s">
        <v>11552</v>
      </c>
      <c r="AR1" s="8" t="s">
        <v>11553</v>
      </c>
      <c r="AS1" s="8" t="s">
        <v>11937</v>
      </c>
      <c r="AT1" s="8" t="s">
        <v>11800</v>
      </c>
      <c r="AU1" s="8" t="s">
        <v>11801</v>
      </c>
      <c r="AV1" s="8" t="s">
        <v>11558</v>
      </c>
      <c r="AW1" s="12" t="s">
        <v>11559</v>
      </c>
      <c r="AX1" s="13" t="s">
        <v>11560</v>
      </c>
      <c r="AY1" s="13" t="s">
        <v>11561</v>
      </c>
      <c r="AZ1" s="13" t="s">
        <v>11562</v>
      </c>
      <c r="BA1" s="13" t="s">
        <v>11726</v>
      </c>
      <c r="BB1" s="13" t="s">
        <v>11565</v>
      </c>
      <c r="BC1" s="13" t="s">
        <v>11805</v>
      </c>
      <c r="BD1" s="13" t="s">
        <v>11938</v>
      </c>
      <c r="BE1" s="13" t="s">
        <v>11568</v>
      </c>
      <c r="BF1" s="13"/>
      <c r="BG1" s="13"/>
      <c r="BH1" s="13" t="s">
        <v>11569</v>
      </c>
      <c r="BI1" s="13" t="s">
        <v>11570</v>
      </c>
      <c r="BJ1" s="13" t="s">
        <v>11571</v>
      </c>
      <c r="BK1" s="13"/>
      <c r="BL1" s="13" t="s">
        <v>11939</v>
      </c>
      <c r="BM1" s="13" t="s">
        <v>11572</v>
      </c>
      <c r="BN1" s="13" t="s">
        <v>11572</v>
      </c>
      <c r="BO1" s="13" t="s">
        <v>11573</v>
      </c>
      <c r="BP1" s="13" t="s">
        <v>11574</v>
      </c>
      <c r="BQ1" s="33" t="s">
        <v>11575</v>
      </c>
      <c r="BR1" s="34" t="s">
        <v>11576</v>
      </c>
      <c r="BS1" s="34" t="s">
        <v>11577</v>
      </c>
      <c r="BT1" s="34"/>
      <c r="BU1" s="130"/>
      <c r="BV1" s="130"/>
    </row>
    <row r="2" s="2" customFormat="1" ht="67.5" spans="1:72">
      <c r="A2" s="9" t="s">
        <v>11940</v>
      </c>
      <c r="B2" s="9" t="s">
        <v>11579</v>
      </c>
      <c r="C2" s="9" t="s">
        <v>11580</v>
      </c>
      <c r="D2" s="9" t="s">
        <v>11581</v>
      </c>
      <c r="E2" s="9" t="s">
        <v>11582</v>
      </c>
      <c r="F2" s="9" t="s">
        <v>11583</v>
      </c>
      <c r="G2" s="29" t="s">
        <v>11810</v>
      </c>
      <c r="H2" s="29" t="s">
        <v>11811</v>
      </c>
      <c r="I2" s="29" t="s">
        <v>11584</v>
      </c>
      <c r="J2" s="29" t="s">
        <v>11585</v>
      </c>
      <c r="K2" s="9" t="s">
        <v>11586</v>
      </c>
      <c r="L2" s="9" t="s">
        <v>11587</v>
      </c>
      <c r="M2" s="9" t="s">
        <v>11588</v>
      </c>
      <c r="N2" s="9" t="s">
        <v>11592</v>
      </c>
      <c r="O2" s="9" t="s">
        <v>11593</v>
      </c>
      <c r="P2" s="29" t="s">
        <v>11594</v>
      </c>
      <c r="Q2" s="9" t="s">
        <v>11595</v>
      </c>
      <c r="R2" s="9" t="s">
        <v>11596</v>
      </c>
      <c r="S2" s="9" t="s">
        <v>11597</v>
      </c>
      <c r="T2" s="9" t="s">
        <v>11598</v>
      </c>
      <c r="U2" s="9" t="s">
        <v>11599</v>
      </c>
      <c r="V2" s="9" t="s">
        <v>11941</v>
      </c>
      <c r="W2" s="9" t="s">
        <v>11942</v>
      </c>
      <c r="X2" s="9" t="s">
        <v>11943</v>
      </c>
      <c r="Y2" s="9" t="s">
        <v>11944</v>
      </c>
      <c r="Z2" s="9" t="s">
        <v>11601</v>
      </c>
      <c r="AA2" s="9" t="s">
        <v>11602</v>
      </c>
      <c r="AB2" s="9" t="s">
        <v>11945</v>
      </c>
      <c r="AC2" s="9" t="s">
        <v>11817</v>
      </c>
      <c r="AD2" s="9" t="s">
        <v>11818</v>
      </c>
      <c r="AE2" s="9" t="s">
        <v>11613</v>
      </c>
      <c r="AF2" s="9" t="s">
        <v>11614</v>
      </c>
      <c r="AG2" s="9" t="s">
        <v>11615</v>
      </c>
      <c r="AH2" s="9" t="s">
        <v>11616</v>
      </c>
      <c r="AI2" s="9" t="s">
        <v>11617</v>
      </c>
      <c r="AJ2" s="9" t="s">
        <v>11618</v>
      </c>
      <c r="AK2" s="9" t="s">
        <v>11619</v>
      </c>
      <c r="AL2" s="9" t="s">
        <v>11620</v>
      </c>
      <c r="AM2" s="9" t="s">
        <v>11820</v>
      </c>
      <c r="AN2" s="9" t="s">
        <v>11621</v>
      </c>
      <c r="AO2" s="9" t="s">
        <v>11623</v>
      </c>
      <c r="AP2" s="9" t="s">
        <v>11624</v>
      </c>
      <c r="AQ2" s="9" t="s">
        <v>11625</v>
      </c>
      <c r="AR2" s="9" t="s">
        <v>11626</v>
      </c>
      <c r="AS2" s="9" t="s">
        <v>11946</v>
      </c>
      <c r="AT2" s="9" t="s">
        <v>11823</v>
      </c>
      <c r="AU2" s="9" t="s">
        <v>11824</v>
      </c>
      <c r="AV2" s="9" t="s">
        <v>11631</v>
      </c>
      <c r="AW2" s="14"/>
      <c r="AX2" s="13"/>
      <c r="AY2" s="13"/>
      <c r="AZ2" s="17"/>
      <c r="BA2" s="17"/>
      <c r="BB2" s="18"/>
      <c r="BC2" s="17"/>
      <c r="BD2" s="17"/>
      <c r="BE2" s="17"/>
      <c r="BF2" s="17"/>
      <c r="BG2" s="17"/>
      <c r="BH2" s="17"/>
      <c r="BI2" s="17"/>
      <c r="BJ2" s="17"/>
      <c r="BK2" s="17"/>
      <c r="BL2" s="17"/>
      <c r="BM2" s="17"/>
      <c r="BN2" s="17"/>
      <c r="BO2" s="17"/>
      <c r="BP2" s="17"/>
      <c r="BQ2" s="34"/>
      <c r="BR2" s="34"/>
      <c r="BS2" s="34"/>
      <c r="BT2" s="34"/>
    </row>
    <row r="3" s="1" customFormat="1" ht="74.25" customHeight="1" spans="1:72">
      <c r="A3" s="10" t="s">
        <v>11947</v>
      </c>
      <c r="B3" s="10" t="s">
        <v>11948</v>
      </c>
      <c r="C3" s="10" t="s">
        <v>11949</v>
      </c>
      <c r="D3" s="10" t="s">
        <v>11950</v>
      </c>
      <c r="E3" s="10" t="s">
        <v>11951</v>
      </c>
      <c r="F3" s="10" t="s">
        <v>11952</v>
      </c>
      <c r="G3" s="10">
        <v>111800</v>
      </c>
      <c r="H3" s="10">
        <v>111900</v>
      </c>
      <c r="I3" s="10">
        <v>112000</v>
      </c>
      <c r="J3" s="10">
        <v>112100</v>
      </c>
      <c r="K3" s="10" t="s">
        <v>11953</v>
      </c>
      <c r="L3" s="10" t="s">
        <v>11954</v>
      </c>
      <c r="M3" s="10" t="s">
        <v>11955</v>
      </c>
      <c r="N3" s="10" t="s">
        <v>11956</v>
      </c>
      <c r="O3" s="10" t="s">
        <v>11957</v>
      </c>
      <c r="P3" s="10">
        <v>112200</v>
      </c>
      <c r="Q3" s="10" t="s">
        <v>11958</v>
      </c>
      <c r="R3" s="10" t="s">
        <v>11959</v>
      </c>
      <c r="S3" s="10" t="s">
        <v>11960</v>
      </c>
      <c r="T3" s="10" t="s">
        <v>11961</v>
      </c>
      <c r="U3" s="10" t="s">
        <v>11962</v>
      </c>
      <c r="V3" s="10" t="s">
        <v>11963</v>
      </c>
      <c r="W3" s="10" t="s">
        <v>11964</v>
      </c>
      <c r="X3" s="10" t="s">
        <v>11965</v>
      </c>
      <c r="Y3" s="10" t="s">
        <v>11966</v>
      </c>
      <c r="Z3" s="10" t="s">
        <v>11967</v>
      </c>
      <c r="AA3" s="10" t="s">
        <v>11968</v>
      </c>
      <c r="AB3" s="10" t="s">
        <v>11969</v>
      </c>
      <c r="AC3" s="10" t="s">
        <v>11970</v>
      </c>
      <c r="AD3" s="10" t="s">
        <v>11971</v>
      </c>
      <c r="AE3" s="10" t="s">
        <v>11972</v>
      </c>
      <c r="AF3" s="10" t="s">
        <v>11973</v>
      </c>
      <c r="AG3" s="10" t="s">
        <v>11974</v>
      </c>
      <c r="AH3" s="10" t="s">
        <v>11975</v>
      </c>
      <c r="AI3" s="10" t="s">
        <v>11976</v>
      </c>
      <c r="AJ3" s="10" t="s">
        <v>11977</v>
      </c>
      <c r="AK3" s="10" t="s">
        <v>11978</v>
      </c>
      <c r="AL3" s="10" t="s">
        <v>11979</v>
      </c>
      <c r="AM3" s="10" t="s">
        <v>11980</v>
      </c>
      <c r="AN3" s="10" t="s">
        <v>11981</v>
      </c>
      <c r="AO3" s="10" t="s">
        <v>11982</v>
      </c>
      <c r="AP3" s="10" t="s">
        <v>11983</v>
      </c>
      <c r="AQ3" s="10" t="s">
        <v>11984</v>
      </c>
      <c r="AR3" s="10" t="s">
        <v>11985</v>
      </c>
      <c r="AS3" s="10" t="s">
        <v>11986</v>
      </c>
      <c r="AT3" s="10" t="s">
        <v>11987</v>
      </c>
      <c r="AU3" s="10" t="s">
        <v>11988</v>
      </c>
      <c r="AV3" s="10" t="s">
        <v>11989</v>
      </c>
      <c r="AW3" s="15"/>
      <c r="AX3" s="46"/>
      <c r="AY3" s="16"/>
      <c r="AZ3" s="16" t="s">
        <v>11683</v>
      </c>
      <c r="BA3" s="16" t="s">
        <v>11685</v>
      </c>
      <c r="BB3" s="16" t="s">
        <v>124</v>
      </c>
      <c r="BC3" s="16" t="s">
        <v>11522</v>
      </c>
      <c r="BD3" s="16" t="s">
        <v>11523</v>
      </c>
      <c r="BE3" s="16" t="s">
        <v>11686</v>
      </c>
      <c r="BF3" s="16" t="s">
        <v>11687</v>
      </c>
      <c r="BG3" s="16" t="s">
        <v>11688</v>
      </c>
      <c r="BH3" s="16" t="s">
        <v>11689</v>
      </c>
      <c r="BI3" s="16" t="s">
        <v>11690</v>
      </c>
      <c r="BJ3" s="16" t="s">
        <v>11691</v>
      </c>
      <c r="BK3" s="16" t="s">
        <v>11692</v>
      </c>
      <c r="BL3" s="16" t="s">
        <v>11990</v>
      </c>
      <c r="BM3" s="16" t="s">
        <v>11693</v>
      </c>
      <c r="BN3" s="16" t="s">
        <v>11694</v>
      </c>
      <c r="BO3" s="16" t="s">
        <v>11695</v>
      </c>
      <c r="BP3" s="16" t="s">
        <v>11696</v>
      </c>
      <c r="BQ3" s="35" t="s">
        <v>11697</v>
      </c>
      <c r="BR3" s="35" t="s">
        <v>11698</v>
      </c>
      <c r="BS3" s="35" t="s">
        <v>11699</v>
      </c>
      <c r="BT3" s="37" t="s">
        <v>11700</v>
      </c>
    </row>
    <row r="4" ht="14.25" spans="2:74">
      <c r="B4" s="169"/>
      <c r="D4" s="50"/>
      <c r="E4" s="50"/>
      <c r="T4" s="171"/>
      <c r="AU4" s="55"/>
      <c r="AX4" s="6">
        <f>IF(AND(D4&gt;4678396.48217382,D4&lt;4924789.13601513),0,1)</f>
        <v>1</v>
      </c>
      <c r="AY4" s="6">
        <f>IF(AND(E4&gt;1554744.35667513,E4&lt;1771650.40247209),0,1)</f>
        <v>1</v>
      </c>
      <c r="AZ4" s="19">
        <f>+IF(AN4&lt;3,IF(K4="",0,IF(K4&gt;0,0,1)),0)</f>
        <v>0</v>
      </c>
      <c r="BA4" s="32">
        <f>IF(AN4&lt;3,IF(AND(O4&gt;0,O4&lt;1000),0,1),0)</f>
        <v>1</v>
      </c>
      <c r="BB4" s="4">
        <f>IF(AN4&lt;3,IF(OR(P4="S",P4="N",P4=0,P4=1),0,1),0)</f>
        <v>0</v>
      </c>
      <c r="BC4" s="32">
        <f>IF(AN4&lt;3,IF(OR(Q4=9999,Q4&lt;=('[2]Input anno'!$A$1)),0,1),0)</f>
        <v>0</v>
      </c>
      <c r="BD4" s="32">
        <f>IF(AN4&lt;3,IF(OR(R4=9800,R4=9999,R4&lt;='[2]Input anno'!$A$1),0,1),0)</f>
        <v>0</v>
      </c>
      <c r="BE4" s="32">
        <f>+IF(AN4=3,IF(Q4='[2]Input anno'!$A$1,0,1),0)</f>
        <v>0</v>
      </c>
      <c r="BF4" s="19">
        <f>+IF(AN4&lt;3,IF(Q4&lt;&gt;9999,IF(Q4&lt;R4,0,1),0),0)</f>
        <v>1</v>
      </c>
      <c r="BG4" s="19">
        <f>+IF(AN4&lt;3,IF(U4=100,IF(T4="CONTINUO",0,1),IF(T4="CONTINUO",1,0)),0)</f>
        <v>0</v>
      </c>
      <c r="BH4" s="19">
        <f>+IF(AN4&lt;3,IF(U4=0,IF(Z4=0,0,1),IF(Z4&gt;0,0,1)),0)</f>
        <v>0</v>
      </c>
      <c r="BI4" s="6">
        <f>IF(AN4&gt;2,IF(Z4=0,0,1),IF(Z4&gt;0,IF(U4&gt;0,0,1),IF(U4=0,0,1)))</f>
        <v>0</v>
      </c>
      <c r="BJ4" s="32">
        <f>+IF(AN4&lt;3,IF(AA4&lt;=Z4,0,1),0)</f>
        <v>0</v>
      </c>
      <c r="BK4" s="32">
        <f>+IF(AN4&lt;3,IF(AND(AK4&lt;&gt;9800,AK4&lt;&gt;9999),IF(AK4&lt;AL4,0,1),0),0)</f>
        <v>1</v>
      </c>
      <c r="BL4" s="32">
        <f>+IF(AN4&lt;3,(IF(AJ4=1,IF(AND(AK4=9800,AL4=9800),0,1),0)),0)</f>
        <v>0</v>
      </c>
      <c r="BM4" s="32">
        <f>+IF(AN4&lt;3,IF(AND(AK4&lt;&gt;9800,AK4&lt;&gt;9999),IF(AK4&lt;='[2]Input anno'!$A$1,0,1),0),0)</f>
        <v>0</v>
      </c>
      <c r="BN4" s="19">
        <f>+IF(AN4&lt;3,IF(AND(AL4&lt;&gt;9800,AL4&lt;&gt;9999),IF(AL4&lt;='[2]Input anno'!$A$1,0,1),0),0)</f>
        <v>0</v>
      </c>
      <c r="BO4" s="19">
        <f>+IF(AN4&lt;3,IF(Q4&lt;&gt;9999,IF(Q4&gt;=2014,IF(AO4="A",0,1),0),IF(AO4="X",0,1)),0)</f>
        <v>0</v>
      </c>
      <c r="BP4" s="19">
        <f>+IF(AN4&lt;3,IF(R4&lt;9800,IF(R4&gt;=2014,IF(AP4="A",0,1),0),IF(R4=9999,IF(AP4="X",0,1),IF(AP4="A",0,1))),0)</f>
        <v>0</v>
      </c>
      <c r="BQ4" s="36">
        <f>+IF(AN4&lt;3,IF(AND(R4&lt;&gt;9800,R4&lt;&gt;9999),IF(AND(R4&gt;=2019,S4&lt;4),1,0),0),0)</f>
        <v>0</v>
      </c>
      <c r="BR4" s="36">
        <f>+IF(AN4&lt;3,IF(Q4=9999,0,IF(Q4&gt;=2014,IF(AND(R4&gt;Q4,S4&gt;=4),0,1),0)),0)</f>
        <v>0</v>
      </c>
      <c r="BS4" s="36">
        <f>+IF(AN4&lt;3,IF(Q4=9999,0,IF(Q4&gt;=2015,IF(COUNTBLANK(B4:AV4)=0,0,1),0)),0)</f>
        <v>0</v>
      </c>
      <c r="BT4" s="38">
        <f>+IF(AND(Q4='[2]Input anno'!$A$1,AN4=1),COUNTBLANK(B4:AV4),0)</f>
        <v>0</v>
      </c>
      <c r="BU4" s="84" t="s">
        <v>11560</v>
      </c>
      <c r="BV4" s="84" t="str">
        <f>IF(SUM(AW:AW)=0,"OK","errore su coordinata Nord")</f>
        <v>OK</v>
      </c>
    </row>
    <row r="5" spans="4:74">
      <c r="D5" s="50"/>
      <c r="E5" s="50"/>
      <c r="T5" s="171"/>
      <c r="AU5" s="55"/>
      <c r="AX5" s="25"/>
      <c r="AY5" s="25"/>
      <c r="AZ5" s="19"/>
      <c r="BB5" s="4"/>
      <c r="BF5" s="19"/>
      <c r="BG5" s="19"/>
      <c r="BH5" s="19"/>
      <c r="BI5" s="6"/>
      <c r="BL5" s="32"/>
      <c r="BM5" s="32"/>
      <c r="BQ5" s="36"/>
      <c r="BR5" s="36"/>
      <c r="BS5" s="36"/>
      <c r="BT5" s="36"/>
      <c r="BU5" s="84" t="s">
        <v>11561</v>
      </c>
      <c r="BV5" s="84" t="str">
        <f>IF(SUM(AX:AX)=0,"OK","errore su coordinata Est")</f>
        <v>errore su coordinata Est</v>
      </c>
    </row>
    <row r="6" spans="4:74">
      <c r="D6" s="50"/>
      <c r="E6" s="50"/>
      <c r="T6" s="171"/>
      <c r="AU6" s="55"/>
      <c r="AX6" s="25"/>
      <c r="AY6" s="25"/>
      <c r="AZ6" s="19"/>
      <c r="BB6" s="4"/>
      <c r="BF6" s="19"/>
      <c r="BG6" s="19"/>
      <c r="BH6" s="19"/>
      <c r="BI6" s="6"/>
      <c r="BL6" s="32"/>
      <c r="BM6" s="32"/>
      <c r="BQ6" s="36"/>
      <c r="BR6" s="36"/>
      <c r="BS6" s="36"/>
      <c r="BT6" s="36"/>
      <c r="BU6" s="84" t="s">
        <v>11701</v>
      </c>
      <c r="BV6" s="84" t="str">
        <f>IF(SUM(AZ:AZ)=0,"OK","errore su QUOTA")</f>
        <v>OK</v>
      </c>
    </row>
    <row r="7" spans="4:74">
      <c r="D7" s="50"/>
      <c r="E7" s="50"/>
      <c r="T7" s="171"/>
      <c r="AU7" s="55"/>
      <c r="AX7" s="25"/>
      <c r="AY7" s="25"/>
      <c r="AZ7" s="19"/>
      <c r="BB7" s="4"/>
      <c r="BF7" s="19"/>
      <c r="BG7" s="19"/>
      <c r="BH7" s="19"/>
      <c r="BI7" s="6"/>
      <c r="BL7" s="32"/>
      <c r="BM7" s="32"/>
      <c r="BQ7" s="36"/>
      <c r="BR7" s="36"/>
      <c r="BS7" s="36"/>
      <c r="BT7" s="36"/>
      <c r="BU7" s="84" t="s">
        <v>11685</v>
      </c>
      <c r="BV7" s="84" t="str">
        <f>IF(SUM(BA:BA)=0,"OK","errore su portata concessa uso potabile")</f>
        <v>errore su portata concessa uso potabile</v>
      </c>
    </row>
    <row r="8" spans="4:74">
      <c r="D8" s="50"/>
      <c r="E8" s="50"/>
      <c r="T8" s="171"/>
      <c r="AU8" s="55"/>
      <c r="AX8" s="25"/>
      <c r="AY8" s="25"/>
      <c r="AZ8" s="19"/>
      <c r="BB8" s="4"/>
      <c r="BF8" s="19"/>
      <c r="BG8" s="19"/>
      <c r="BH8" s="19"/>
      <c r="BI8" s="6"/>
      <c r="BL8" s="32"/>
      <c r="BM8" s="32"/>
      <c r="BQ8" s="36"/>
      <c r="BR8" s="36"/>
      <c r="BS8" s="36"/>
      <c r="BT8" s="36"/>
      <c r="BU8" s="84" t="s">
        <v>124</v>
      </c>
      <c r="BV8" s="84" t="str">
        <f>IF(SUM(BB:BB)=0,"OK","errore compilazione campo")</f>
        <v>OK</v>
      </c>
    </row>
    <row r="9" spans="4:74">
      <c r="D9" s="50"/>
      <c r="E9" s="50"/>
      <c r="T9" s="171"/>
      <c r="AU9" s="55"/>
      <c r="AX9" s="25"/>
      <c r="AY9" s="25"/>
      <c r="AZ9" s="19"/>
      <c r="BB9" s="4"/>
      <c r="BF9" s="19"/>
      <c r="BG9" s="19"/>
      <c r="BH9" s="19"/>
      <c r="BI9" s="6"/>
      <c r="BL9" s="32"/>
      <c r="BM9" s="32"/>
      <c r="BQ9" s="36"/>
      <c r="BR9" s="36"/>
      <c r="BS9" s="36"/>
      <c r="BT9" s="36"/>
      <c r="BU9" s="84" t="s">
        <v>11522</v>
      </c>
      <c r="BV9" s="84" t="str">
        <f>IF(SUM(BC:BC)=0,"OK","errore su anno perforazione")</f>
        <v>OK</v>
      </c>
    </row>
    <row r="10" spans="4:74">
      <c r="D10" s="50"/>
      <c r="E10" s="50"/>
      <c r="T10" s="171"/>
      <c r="AU10" s="55"/>
      <c r="AX10" s="25"/>
      <c r="AY10" s="25"/>
      <c r="AZ10" s="19"/>
      <c r="BB10" s="4"/>
      <c r="BF10" s="19"/>
      <c r="BG10" s="19"/>
      <c r="BH10" s="19"/>
      <c r="BI10" s="6"/>
      <c r="BL10" s="32"/>
      <c r="BM10" s="32"/>
      <c r="BQ10" s="36"/>
      <c r="BR10" s="36"/>
      <c r="BS10" s="36"/>
      <c r="BT10" s="36"/>
      <c r="BU10" s="84" t="s">
        <v>11523</v>
      </c>
      <c r="BV10" s="84" t="str">
        <f>IF(SUM(BD:BD)=0,"OK","errore su anno ristrutturazione")</f>
        <v>OK</v>
      </c>
    </row>
    <row r="11" spans="4:74">
      <c r="D11" s="50"/>
      <c r="E11" s="50"/>
      <c r="T11" s="171"/>
      <c r="AU11" s="55"/>
      <c r="AX11" s="25"/>
      <c r="AY11" s="25"/>
      <c r="AZ11" s="19"/>
      <c r="BB11" s="4"/>
      <c r="BF11" s="19"/>
      <c r="BG11" s="19"/>
      <c r="BH11" s="19"/>
      <c r="BI11" s="6"/>
      <c r="BL11" s="32"/>
      <c r="BM11" s="32"/>
      <c r="BQ11" s="36"/>
      <c r="BR11" s="36"/>
      <c r="BS11" s="36"/>
      <c r="BT11" s="36"/>
      <c r="BU11" s="84" t="s">
        <v>11686</v>
      </c>
      <c r="BV11" s="84" t="str">
        <f>IF(SUM(BE:BE)=0,"OK","errore congruenza su anno costruzione pari a 3")</f>
        <v>OK</v>
      </c>
    </row>
    <row r="12" spans="4:74">
      <c r="D12" s="50"/>
      <c r="E12" s="50"/>
      <c r="T12" s="171"/>
      <c r="AU12" s="55"/>
      <c r="AX12" s="25"/>
      <c r="AY12" s="25"/>
      <c r="AZ12" s="19"/>
      <c r="BF12" s="19"/>
      <c r="BG12" s="19"/>
      <c r="BH12" s="19"/>
      <c r="BI12" s="6"/>
      <c r="BL12" s="32"/>
      <c r="BM12" s="32"/>
      <c r="BQ12" s="36"/>
      <c r="BR12" s="36"/>
      <c r="BS12" s="36"/>
      <c r="BT12" s="36"/>
      <c r="BU12" s="84" t="s">
        <v>11704</v>
      </c>
      <c r="BV12" s="84" t="str">
        <f>IF(SUM(BF:BF)=0,"OK","anno costruzione non congruente con anno ristrutturazione")</f>
        <v>anno costruzione non congruente con anno ristrutturazione</v>
      </c>
    </row>
    <row r="13" s="170" customFormat="1" ht="38.25" spans="1:74">
      <c r="A13" s="3"/>
      <c r="B13" s="3"/>
      <c r="C13" s="3"/>
      <c r="D13" s="50"/>
      <c r="E13" s="50"/>
      <c r="F13" s="3"/>
      <c r="G13" s="3"/>
      <c r="H13" s="3"/>
      <c r="I13" s="3"/>
      <c r="J13" s="3"/>
      <c r="K13" s="3"/>
      <c r="L13" s="3"/>
      <c r="M13" s="3"/>
      <c r="N13" s="3"/>
      <c r="O13" s="3"/>
      <c r="P13" s="3"/>
      <c r="Q13" s="3"/>
      <c r="R13" s="3"/>
      <c r="S13" s="3"/>
      <c r="T13" s="171"/>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55"/>
      <c r="AX13" s="25"/>
      <c r="AY13" s="25"/>
      <c r="AZ13" s="19"/>
      <c r="BA13" s="32"/>
      <c r="BC13" s="32"/>
      <c r="BD13" s="32"/>
      <c r="BE13" s="32"/>
      <c r="BF13" s="19"/>
      <c r="BG13" s="19"/>
      <c r="BH13" s="19"/>
      <c r="BI13" s="6"/>
      <c r="BJ13" s="32"/>
      <c r="BK13" s="32"/>
      <c r="BL13" s="32"/>
      <c r="BM13" s="32"/>
      <c r="BN13" s="19"/>
      <c r="BO13" s="19"/>
      <c r="BP13" s="19"/>
      <c r="BQ13" s="36"/>
      <c r="BR13" s="36"/>
      <c r="BS13" s="36"/>
      <c r="BT13" s="36"/>
      <c r="BU13" s="56" t="s">
        <v>11688</v>
      </c>
      <c r="BV13" s="84" t="str">
        <f>IF(SUM(BG:BG)=0,"OK","tipo utilizzo non congruente con %utilizzo")</f>
        <v>OK</v>
      </c>
    </row>
    <row r="14" spans="4:74">
      <c r="D14" s="50"/>
      <c r="E14" s="50"/>
      <c r="T14" s="171"/>
      <c r="AU14" s="55"/>
      <c r="AX14" s="25"/>
      <c r="AY14" s="25"/>
      <c r="AZ14" s="19"/>
      <c r="BB14" s="143"/>
      <c r="BF14" s="19"/>
      <c r="BG14" s="19"/>
      <c r="BH14" s="19"/>
      <c r="BI14" s="6"/>
      <c r="BL14" s="32"/>
      <c r="BM14" s="32"/>
      <c r="BQ14" s="36"/>
      <c r="BR14" s="36"/>
      <c r="BS14" s="36"/>
      <c r="BT14" s="36"/>
      <c r="BU14" s="84" t="s">
        <v>11689</v>
      </c>
      <c r="BV14" s="84" t="str">
        <f>IF(SUM(BH:BH)=0,"OK","utilizzo non congruente con volumi")</f>
        <v>OK</v>
      </c>
    </row>
    <row r="15" spans="4:74">
      <c r="D15" s="50"/>
      <c r="E15" s="50"/>
      <c r="T15" s="171"/>
      <c r="AU15" s="55"/>
      <c r="AX15" s="25"/>
      <c r="AY15" s="25"/>
      <c r="AZ15" s="19"/>
      <c r="BB15" s="4"/>
      <c r="BF15" s="19"/>
      <c r="BG15" s="19"/>
      <c r="BH15" s="19"/>
      <c r="BI15" s="6"/>
      <c r="BL15" s="32"/>
      <c r="BM15" s="32"/>
      <c r="BQ15" s="36"/>
      <c r="BR15" s="36"/>
      <c r="BS15" s="36"/>
      <c r="BT15" s="36"/>
      <c r="BU15" s="172" t="s">
        <v>11690</v>
      </c>
      <c r="BV15" s="172" t="str">
        <f>IF(SUM(BI:BI)=0,"OK","volumi non congruenti con stato opera")</f>
        <v>OK</v>
      </c>
    </row>
    <row r="16" spans="4:74">
      <c r="D16" s="50"/>
      <c r="E16" s="50"/>
      <c r="T16" s="171"/>
      <c r="AU16" s="55"/>
      <c r="AX16" s="25"/>
      <c r="AY16" s="25"/>
      <c r="AZ16" s="19"/>
      <c r="BB16" s="4"/>
      <c r="BF16" s="19"/>
      <c r="BG16" s="19"/>
      <c r="BH16" s="19"/>
      <c r="BI16" s="6"/>
      <c r="BL16" s="32"/>
      <c r="BM16" s="32"/>
      <c r="BQ16" s="36"/>
      <c r="BR16" s="36"/>
      <c r="BS16" s="36"/>
      <c r="BT16" s="36"/>
      <c r="BU16" s="84" t="s">
        <v>11691</v>
      </c>
      <c r="BV16" s="84" t="str">
        <f>IF(SUM(BJ:BJ)=0,"OK","Volumi immessi in rete non congruenti con volumi prelevati")</f>
        <v>OK</v>
      </c>
    </row>
    <row r="17" spans="4:74">
      <c r="D17" s="50"/>
      <c r="E17" s="50"/>
      <c r="T17" s="171"/>
      <c r="AU17" s="55"/>
      <c r="AX17" s="25"/>
      <c r="AY17" s="25"/>
      <c r="AZ17" s="19"/>
      <c r="BB17" s="4"/>
      <c r="BF17" s="19"/>
      <c r="BG17" s="19"/>
      <c r="BH17" s="19"/>
      <c r="BI17" s="6"/>
      <c r="BL17" s="32"/>
      <c r="BM17" s="32"/>
      <c r="BQ17" s="36"/>
      <c r="BR17" s="36"/>
      <c r="BS17" s="36"/>
      <c r="BT17" s="36"/>
      <c r="BU17" s="84" t="s">
        <v>11991</v>
      </c>
      <c r="BV17" s="84" t="str">
        <f>IF(SUM(BL:BL)=0,"OK","Errori di congruenza sulla terna di clorazione")</f>
        <v>OK</v>
      </c>
    </row>
    <row r="18" spans="4:74">
      <c r="D18" s="50"/>
      <c r="E18" s="50"/>
      <c r="T18" s="171"/>
      <c r="AU18" s="55"/>
      <c r="AX18" s="25"/>
      <c r="AY18" s="25"/>
      <c r="AZ18" s="19"/>
      <c r="BB18" s="4"/>
      <c r="BF18" s="19"/>
      <c r="BG18" s="19"/>
      <c r="BH18" s="19"/>
      <c r="BI18" s="6"/>
      <c r="BL18" s="32"/>
      <c r="BM18" s="32"/>
      <c r="BQ18" s="36"/>
      <c r="BR18" s="36"/>
      <c r="BS18" s="36"/>
      <c r="BT18" s="36"/>
      <c r="BU18" s="84" t="s">
        <v>11692</v>
      </c>
      <c r="BV18" s="84" t="str">
        <f>IF(SUM(BK:BK)=0,"OK","anno installaz cloratore non congruente con anno di ristrutt cloratore")</f>
        <v>anno installaz cloratore non congruente con anno di ristrutt cloratore</v>
      </c>
    </row>
    <row r="19" spans="4:74">
      <c r="D19" s="50"/>
      <c r="E19" s="50"/>
      <c r="T19" s="171"/>
      <c r="AU19" s="55"/>
      <c r="AX19" s="25"/>
      <c r="AY19" s="25"/>
      <c r="AZ19" s="19"/>
      <c r="BB19" s="4"/>
      <c r="BF19" s="19"/>
      <c r="BG19" s="19"/>
      <c r="BH19" s="19"/>
      <c r="BI19" s="6"/>
      <c r="BL19" s="32"/>
      <c r="BM19" s="32"/>
      <c r="BQ19" s="36"/>
      <c r="BR19" s="36"/>
      <c r="BS19" s="36"/>
      <c r="BT19" s="36"/>
      <c r="BU19" s="84" t="s">
        <v>11693</v>
      </c>
      <c r="BV19" s="84" t="str">
        <f>IF(SUM(BM:BM)=0,"OK","anno installaz cloratore non corretto")</f>
        <v>OK</v>
      </c>
    </row>
    <row r="20" spans="4:74">
      <c r="D20" s="50"/>
      <c r="E20" s="50"/>
      <c r="T20" s="171"/>
      <c r="AU20" s="55"/>
      <c r="AX20" s="25"/>
      <c r="AY20" s="25"/>
      <c r="AZ20" s="19"/>
      <c r="BB20" s="4"/>
      <c r="BF20" s="19"/>
      <c r="BG20" s="19"/>
      <c r="BH20" s="19"/>
      <c r="BI20" s="6"/>
      <c r="BL20" s="32"/>
      <c r="BM20" s="32"/>
      <c r="BQ20" s="36"/>
      <c r="BR20" s="36"/>
      <c r="BS20" s="36"/>
      <c r="BT20" s="36"/>
      <c r="BU20" s="84" t="s">
        <v>11694</v>
      </c>
      <c r="BV20" s="84" t="str">
        <f>IF(SUM(BN:BN)=0,"OK","anno ristruttur cloratore non corretto")</f>
        <v>OK</v>
      </c>
    </row>
    <row r="21" spans="4:74">
      <c r="D21" s="50"/>
      <c r="E21" s="50"/>
      <c r="T21" s="171"/>
      <c r="AU21" s="55"/>
      <c r="AX21" s="25"/>
      <c r="AY21" s="25"/>
      <c r="AZ21" s="19"/>
      <c r="BB21" s="4"/>
      <c r="BF21" s="19"/>
      <c r="BG21" s="19"/>
      <c r="BH21" s="19"/>
      <c r="BI21" s="6"/>
      <c r="BL21" s="32"/>
      <c r="BM21" s="32"/>
      <c r="BQ21" s="36"/>
      <c r="BR21" s="36"/>
      <c r="BS21" s="36"/>
      <c r="BT21" s="36"/>
      <c r="BU21" s="56" t="s">
        <v>11992</v>
      </c>
      <c r="BV21" s="84" t="str">
        <f>IF(SUM(BO:BO)=0,"OK","indice di confidenza non congruente con anno di costruzione")</f>
        <v>OK</v>
      </c>
    </row>
    <row r="22" spans="4:74">
      <c r="D22" s="50"/>
      <c r="E22" s="50"/>
      <c r="T22" s="171"/>
      <c r="AU22" s="55"/>
      <c r="AX22" s="25"/>
      <c r="AY22" s="25"/>
      <c r="AZ22" s="19"/>
      <c r="BB22" s="4"/>
      <c r="BF22" s="19"/>
      <c r="BG22" s="19"/>
      <c r="BH22" s="19"/>
      <c r="BI22" s="6"/>
      <c r="BL22" s="32"/>
      <c r="BM22" s="32"/>
      <c r="BQ22" s="36"/>
      <c r="BR22" s="36"/>
      <c r="BS22" s="36"/>
      <c r="BT22" s="36"/>
      <c r="BU22" s="56" t="s">
        <v>11696</v>
      </c>
      <c r="BV22" s="84" t="str">
        <f>IF(SUM(BP:BP)=0,"OK","indice di confidenza non congruente con anno di ristrutturazione")</f>
        <v>OK</v>
      </c>
    </row>
    <row r="23" spans="4:74">
      <c r="D23" s="50"/>
      <c r="E23" s="50"/>
      <c r="T23" s="171"/>
      <c r="AU23" s="55"/>
      <c r="AX23" s="25"/>
      <c r="AY23" s="25"/>
      <c r="AZ23" s="19"/>
      <c r="BB23" s="4"/>
      <c r="BF23" s="19"/>
      <c r="BG23" s="19"/>
      <c r="BH23" s="19"/>
      <c r="BI23" s="6"/>
      <c r="BL23" s="32"/>
      <c r="BM23" s="32"/>
      <c r="BQ23" s="36"/>
      <c r="BR23" s="36"/>
      <c r="BS23" s="36"/>
      <c r="BT23" s="36"/>
      <c r="BU23" s="126" t="s">
        <v>11705</v>
      </c>
      <c r="BV23" s="126" t="str">
        <f>IF(SUM(BQ:BQ)=0,"OK","conservazione non congruente con anno di ristrutturazione &gt;=2018")</f>
        <v>OK</v>
      </c>
    </row>
    <row r="24" spans="4:74">
      <c r="D24" s="50"/>
      <c r="E24" s="50"/>
      <c r="T24" s="171"/>
      <c r="AU24" s="55"/>
      <c r="AX24" s="25"/>
      <c r="AY24" s="25"/>
      <c r="AZ24" s="19"/>
      <c r="BB24" s="4"/>
      <c r="BF24" s="19"/>
      <c r="BG24" s="19"/>
      <c r="BH24" s="19"/>
      <c r="BI24" s="6"/>
      <c r="BL24" s="32"/>
      <c r="BM24" s="32"/>
      <c r="BQ24" s="36"/>
      <c r="BR24" s="36"/>
      <c r="BS24" s="36"/>
      <c r="BT24" s="36"/>
      <c r="BU24" s="127" t="s">
        <v>11698</v>
      </c>
      <c r="BV24" s="126" t="str">
        <f>IF(SUM(BR:BR)=0,"OK","Anno ristrutt. e/o stato di conservazione non congruenti con anno di costruzione &gt;=2014")</f>
        <v>OK</v>
      </c>
    </row>
    <row r="25" spans="4:74">
      <c r="D25" s="50"/>
      <c r="E25" s="50"/>
      <c r="T25" s="171"/>
      <c r="AU25" s="55"/>
      <c r="AX25" s="25"/>
      <c r="AY25" s="25"/>
      <c r="AZ25" s="19"/>
      <c r="BB25" s="4"/>
      <c r="BF25" s="19"/>
      <c r="BG25" s="19"/>
      <c r="BH25" s="19"/>
      <c r="BI25" s="6"/>
      <c r="BL25" s="32"/>
      <c r="BM25" s="32"/>
      <c r="BQ25" s="36"/>
      <c r="BR25" s="36"/>
      <c r="BS25" s="36"/>
      <c r="BT25" s="36"/>
      <c r="BU25" s="127" t="s">
        <v>11699</v>
      </c>
      <c r="BV25" s="126" t="str">
        <f>IF(SUM(BS:BS)=0,"OK","Errore: celle vuote in corrispondenza di opera costruita in anno &gt;=2015")</f>
        <v>OK</v>
      </c>
    </row>
    <row r="26" spans="73:74">
      <c r="BU26" s="37" t="s">
        <v>11700</v>
      </c>
      <c r="BV26" s="41" t="str">
        <f>IF(SUM(BT:BT)=0,"OK","Errore: verifica completezza su nuove opere")</f>
        <v>OK</v>
      </c>
    </row>
  </sheetData>
  <pageMargins left="0.75" right="0.75" top="1" bottom="1" header="0.511811023622047" footer="0.511811023622047"/>
  <pageSetup paperSize="9" orientation="portrait" horizontalDpi="300" verticalDpi="30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E5" sqref="E5"/>
    </sheetView>
  </sheetViews>
  <sheetFormatPr defaultColWidth="8.71428571428571" defaultRowHeight="12.75" outlineLevelRow="3"/>
  <cols>
    <col min="1" max="1" width="22.8571428571429" style="3" customWidth="1"/>
    <col min="2" max="3" width="21.1428571428571" style="3" customWidth="1"/>
    <col min="5" max="5" width="28.2857142857143" customWidth="1"/>
    <col min="6" max="6" width="29" customWidth="1"/>
    <col min="7" max="7" width="6.71428571428571" customWidth="1"/>
    <col min="8" max="8" width="30.8571428571429" customWidth="1"/>
    <col min="9" max="9" width="44.1428571428571" customWidth="1"/>
  </cols>
  <sheetData>
    <row r="1" ht="33.75" spans="1:4">
      <c r="A1" s="8" t="s">
        <v>11706</v>
      </c>
      <c r="B1" s="8" t="s">
        <v>11707</v>
      </c>
      <c r="C1" s="8" t="s">
        <v>11781</v>
      </c>
      <c r="D1" s="43" t="s">
        <v>11559</v>
      </c>
    </row>
    <row r="2" ht="33.75" spans="1:4">
      <c r="A2" s="9" t="s">
        <v>11709</v>
      </c>
      <c r="B2" s="9" t="s">
        <v>11710</v>
      </c>
      <c r="C2" s="9" t="s">
        <v>11711</v>
      </c>
      <c r="D2" s="44"/>
    </row>
    <row r="3" ht="36" spans="1:9">
      <c r="A3" s="10" t="s">
        <v>11993</v>
      </c>
      <c r="B3" s="10" t="s">
        <v>11994</v>
      </c>
      <c r="C3" s="10" t="s">
        <v>11995</v>
      </c>
      <c r="D3" s="45"/>
      <c r="E3" s="158" t="s">
        <v>11715</v>
      </c>
      <c r="F3" s="159" t="s">
        <v>11716</v>
      </c>
      <c r="G3" s="160"/>
      <c r="H3" s="161" t="s">
        <v>11996</v>
      </c>
      <c r="I3" s="163" t="e">
        <f>+IF(SUM(E:E)=0,"OK","Dati volumi immessi in rete non congruenti")</f>
        <v>#N/A</v>
      </c>
    </row>
    <row r="4" ht="24" spans="1:9">
      <c r="A4" s="169"/>
      <c r="B4" s="152"/>
      <c r="E4" s="32" t="e">
        <f>IF(VLOOKUP(A4,Sorgenti!B:AA,26,FALSE())=0,0,1)</f>
        <v>#N/A</v>
      </c>
      <c r="F4" s="6" t="e">
        <f>+IF(VLOOKUP(B4,Potabilizzatori!B:BC,54,FALSE())&lt;3,0,1)</f>
        <v>#N/A</v>
      </c>
      <c r="G4" s="160"/>
      <c r="H4" s="162" t="s">
        <v>11718</v>
      </c>
      <c r="I4" s="80" t="e">
        <f>+IF(SUM(F:F)=0,"OK","Errore: associazione con potabilizzatore non conguente")</f>
        <v>#N/A</v>
      </c>
    </row>
  </sheetData>
  <pageMargins left="0.75" right="0.75" top="1" bottom="1" header="0.511811023622047" footer="0.511811023622047"/>
  <pageSetup paperSize="9" orientation="portrait" horizontalDpi="300" verticalDpi="3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K22"/>
  <sheetViews>
    <sheetView workbookViewId="0">
      <selection activeCell="A4" sqref="A4"/>
    </sheetView>
  </sheetViews>
  <sheetFormatPr defaultColWidth="16.7142857142857" defaultRowHeight="12.75"/>
  <cols>
    <col min="1" max="3" width="16.7142857142857" style="152"/>
    <col min="4" max="6" width="14.4285714285714" style="152" customWidth="1"/>
    <col min="7" max="7" width="15.7142857142857" style="152" customWidth="1"/>
    <col min="8" max="8" width="21.4285714285714" style="152" customWidth="1"/>
    <col min="9" max="13" width="16.7142857142857" style="152"/>
    <col min="14" max="14" width="14.2857142857143" style="152" customWidth="1"/>
    <col min="15" max="57" width="16.7142857142857" style="152"/>
    <col min="58" max="59" width="17.1428571428571" style="19" customWidth="1"/>
    <col min="60" max="60" width="18.5714285714286" style="152" customWidth="1"/>
    <col min="61" max="61" width="16.7142857142857" style="152"/>
    <col min="62" max="62" width="47.8571428571429" style="152" customWidth="1"/>
    <col min="63" max="63" width="22" style="152" customWidth="1"/>
    <col min="64" max="1024" width="16.7142857142857" style="152"/>
  </cols>
  <sheetData>
    <row r="1" ht="114" customHeight="1" spans="1:63">
      <c r="A1" s="8" t="s">
        <v>11505</v>
      </c>
      <c r="B1" s="8" t="s">
        <v>11506</v>
      </c>
      <c r="C1" s="8" t="s">
        <v>11507</v>
      </c>
      <c r="D1" s="8" t="s">
        <v>11508</v>
      </c>
      <c r="E1" s="8" t="s">
        <v>11509</v>
      </c>
      <c r="F1" s="8" t="s">
        <v>11510</v>
      </c>
      <c r="G1" s="27" t="s">
        <v>11511</v>
      </c>
      <c r="H1" s="27" t="s">
        <v>11512</v>
      </c>
      <c r="I1" s="8" t="s">
        <v>11997</v>
      </c>
      <c r="J1" s="8" t="s">
        <v>11514</v>
      </c>
      <c r="K1" s="8" t="s">
        <v>11515</v>
      </c>
      <c r="L1" s="8" t="s">
        <v>11519</v>
      </c>
      <c r="M1" s="8" t="s">
        <v>11520</v>
      </c>
      <c r="N1" s="27" t="s">
        <v>11521</v>
      </c>
      <c r="O1" s="8" t="s">
        <v>11522</v>
      </c>
      <c r="P1" s="8" t="s">
        <v>11523</v>
      </c>
      <c r="Q1" s="8" t="s">
        <v>11524</v>
      </c>
      <c r="R1" s="8" t="s">
        <v>11525</v>
      </c>
      <c r="S1" s="8" t="s">
        <v>11526</v>
      </c>
      <c r="T1" s="8" t="s">
        <v>11998</v>
      </c>
      <c r="U1" s="8" t="s">
        <v>11999</v>
      </c>
      <c r="V1" s="8" t="s">
        <v>11792</v>
      </c>
      <c r="W1" s="8" t="s">
        <v>11793</v>
      </c>
      <c r="X1" s="8" t="s">
        <v>11528</v>
      </c>
      <c r="Y1" s="8" t="s">
        <v>11530</v>
      </c>
      <c r="Z1" s="8" t="s">
        <v>11794</v>
      </c>
      <c r="AA1" s="8" t="s">
        <v>11795</v>
      </c>
      <c r="AB1" s="8" t="s">
        <v>11540</v>
      </c>
      <c r="AC1" s="8" t="s">
        <v>11541</v>
      </c>
      <c r="AD1" s="8" t="s">
        <v>11796</v>
      </c>
      <c r="AE1" s="8" t="s">
        <v>11542</v>
      </c>
      <c r="AF1" s="8" t="s">
        <v>11723</v>
      </c>
      <c r="AG1" s="8" t="s">
        <v>11724</v>
      </c>
      <c r="AH1" s="8" t="s">
        <v>11548</v>
      </c>
      <c r="AI1" s="8" t="s">
        <v>11550</v>
      </c>
      <c r="AJ1" s="8" t="s">
        <v>11551</v>
      </c>
      <c r="AK1" s="8" t="s">
        <v>11799</v>
      </c>
      <c r="AL1" s="8" t="s">
        <v>11552</v>
      </c>
      <c r="AM1" s="8" t="s">
        <v>11554</v>
      </c>
      <c r="AN1" s="8" t="s">
        <v>11800</v>
      </c>
      <c r="AO1" s="8" t="s">
        <v>11801</v>
      </c>
      <c r="AP1" s="8" t="s">
        <v>11558</v>
      </c>
      <c r="AQ1" s="12" t="s">
        <v>12000</v>
      </c>
      <c r="AR1" s="13" t="s">
        <v>11560</v>
      </c>
      <c r="AS1" s="13" t="s">
        <v>11561</v>
      </c>
      <c r="AT1" s="13" t="s">
        <v>12001</v>
      </c>
      <c r="AU1" s="13" t="s">
        <v>11565</v>
      </c>
      <c r="AV1" s="13" t="s">
        <v>11805</v>
      </c>
      <c r="AW1" s="13" t="s">
        <v>11938</v>
      </c>
      <c r="AX1" s="13" t="s">
        <v>11568</v>
      </c>
      <c r="AY1" s="13"/>
      <c r="AZ1" s="13"/>
      <c r="BA1" s="13" t="s">
        <v>11569</v>
      </c>
      <c r="BB1" s="13" t="s">
        <v>12002</v>
      </c>
      <c r="BC1" s="13" t="s">
        <v>12003</v>
      </c>
      <c r="BD1" s="13" t="s">
        <v>11573</v>
      </c>
      <c r="BE1" s="13" t="s">
        <v>11574</v>
      </c>
      <c r="BF1" s="33" t="s">
        <v>11575</v>
      </c>
      <c r="BG1" s="34" t="s">
        <v>11576</v>
      </c>
      <c r="BH1" s="34" t="s">
        <v>11577</v>
      </c>
      <c r="BI1" s="1"/>
      <c r="BJ1" s="165"/>
      <c r="BK1" s="165"/>
    </row>
    <row r="2" ht="45" spans="1:63">
      <c r="A2" s="9" t="s">
        <v>12004</v>
      </c>
      <c r="B2" s="9" t="s">
        <v>11579</v>
      </c>
      <c r="C2" s="9" t="s">
        <v>11580</v>
      </c>
      <c r="D2" s="9" t="s">
        <v>11581</v>
      </c>
      <c r="E2" s="9" t="s">
        <v>11582</v>
      </c>
      <c r="F2" s="9" t="s">
        <v>11583</v>
      </c>
      <c r="G2" s="29" t="s">
        <v>11584</v>
      </c>
      <c r="H2" s="29" t="s">
        <v>11585</v>
      </c>
      <c r="I2" s="9" t="s">
        <v>12005</v>
      </c>
      <c r="J2" s="9" t="s">
        <v>11587</v>
      </c>
      <c r="K2" s="9" t="s">
        <v>11588</v>
      </c>
      <c r="L2" s="9" t="s">
        <v>11592</v>
      </c>
      <c r="M2" s="9" t="s">
        <v>11593</v>
      </c>
      <c r="N2" s="29" t="s">
        <v>11594</v>
      </c>
      <c r="O2" s="9" t="s">
        <v>11595</v>
      </c>
      <c r="P2" s="9" t="s">
        <v>11596</v>
      </c>
      <c r="Q2" s="9" t="s">
        <v>11597</v>
      </c>
      <c r="R2" s="9" t="s">
        <v>11598</v>
      </c>
      <c r="S2" s="9" t="s">
        <v>11599</v>
      </c>
      <c r="T2" s="9" t="s">
        <v>12006</v>
      </c>
      <c r="U2" s="9" t="s">
        <v>12007</v>
      </c>
      <c r="V2" s="9" t="s">
        <v>11815</v>
      </c>
      <c r="W2" s="9" t="s">
        <v>11816</v>
      </c>
      <c r="X2" s="9" t="s">
        <v>11601</v>
      </c>
      <c r="Y2" s="9" t="s">
        <v>11603</v>
      </c>
      <c r="Z2" s="9" t="s">
        <v>11817</v>
      </c>
      <c r="AA2" s="9" t="s">
        <v>11818</v>
      </c>
      <c r="AB2" s="9" t="s">
        <v>11613</v>
      </c>
      <c r="AC2" s="9" t="s">
        <v>11614</v>
      </c>
      <c r="AD2" s="9" t="s">
        <v>11819</v>
      </c>
      <c r="AE2" s="9" t="s">
        <v>11615</v>
      </c>
      <c r="AF2" s="9" t="s">
        <v>11616</v>
      </c>
      <c r="AG2" s="9" t="s">
        <v>11617</v>
      </c>
      <c r="AH2" s="9" t="s">
        <v>11621</v>
      </c>
      <c r="AI2" s="9" t="s">
        <v>11623</v>
      </c>
      <c r="AJ2" s="9" t="s">
        <v>11624</v>
      </c>
      <c r="AK2" s="9" t="s">
        <v>11822</v>
      </c>
      <c r="AL2" s="9" t="s">
        <v>11625</v>
      </c>
      <c r="AM2" s="9" t="s">
        <v>11627</v>
      </c>
      <c r="AN2" s="9" t="s">
        <v>11823</v>
      </c>
      <c r="AO2" s="9" t="s">
        <v>11824</v>
      </c>
      <c r="AP2" s="9" t="s">
        <v>11631</v>
      </c>
      <c r="AQ2" s="164" t="s">
        <v>12008</v>
      </c>
      <c r="AR2" s="13"/>
      <c r="AS2" s="13"/>
      <c r="AT2" s="13"/>
      <c r="AU2" s="18"/>
      <c r="AV2" s="13"/>
      <c r="AW2" s="13"/>
      <c r="AX2" s="13"/>
      <c r="AY2" s="13"/>
      <c r="AZ2" s="13"/>
      <c r="BA2" s="13"/>
      <c r="BB2" s="13"/>
      <c r="BC2" s="13"/>
      <c r="BD2" s="17"/>
      <c r="BE2" s="17"/>
      <c r="BF2" s="34"/>
      <c r="BG2" s="34"/>
      <c r="BH2" s="34"/>
      <c r="BI2" s="2"/>
      <c r="BJ2" s="166"/>
      <c r="BK2" s="166"/>
    </row>
    <row r="3" ht="51" customHeight="1" spans="1:63">
      <c r="A3" s="10">
        <v>103900</v>
      </c>
      <c r="B3" s="10">
        <v>104100</v>
      </c>
      <c r="C3" s="10">
        <v>104200</v>
      </c>
      <c r="D3" s="10">
        <v>104300</v>
      </c>
      <c r="E3" s="10">
        <v>104400</v>
      </c>
      <c r="F3" s="10">
        <v>104500</v>
      </c>
      <c r="G3" s="10">
        <v>116400</v>
      </c>
      <c r="H3" s="10">
        <v>116500</v>
      </c>
      <c r="I3" s="10">
        <v>104800</v>
      </c>
      <c r="J3" s="10">
        <v>104900</v>
      </c>
      <c r="K3" s="10">
        <v>105000</v>
      </c>
      <c r="L3" s="10">
        <v>105100</v>
      </c>
      <c r="M3" s="10">
        <v>105200</v>
      </c>
      <c r="N3" s="10">
        <v>117600</v>
      </c>
      <c r="O3" s="10">
        <v>105300</v>
      </c>
      <c r="P3" s="10">
        <v>105400</v>
      </c>
      <c r="Q3" s="10">
        <v>105500</v>
      </c>
      <c r="R3" s="10">
        <v>105600</v>
      </c>
      <c r="S3" s="10">
        <v>105700</v>
      </c>
      <c r="T3" s="10">
        <v>105800</v>
      </c>
      <c r="U3" s="10">
        <v>105900</v>
      </c>
      <c r="V3" s="10">
        <v>106000</v>
      </c>
      <c r="W3" s="10">
        <v>106100</v>
      </c>
      <c r="X3" s="10">
        <v>106200</v>
      </c>
      <c r="Y3" s="10">
        <v>106300</v>
      </c>
      <c r="Z3" s="10">
        <v>106400</v>
      </c>
      <c r="AA3" s="10">
        <v>106500</v>
      </c>
      <c r="AB3" s="10">
        <v>106600</v>
      </c>
      <c r="AC3" s="10">
        <v>106700</v>
      </c>
      <c r="AD3" s="10">
        <v>106800</v>
      </c>
      <c r="AE3" s="10">
        <v>106900</v>
      </c>
      <c r="AF3" s="10">
        <v>107000</v>
      </c>
      <c r="AG3" s="10">
        <v>107100</v>
      </c>
      <c r="AH3" s="10">
        <v>107200</v>
      </c>
      <c r="AI3" s="10">
        <v>107300</v>
      </c>
      <c r="AJ3" s="10">
        <v>107400</v>
      </c>
      <c r="AK3" s="10">
        <v>107500</v>
      </c>
      <c r="AL3" s="10">
        <v>107600</v>
      </c>
      <c r="AM3" s="10">
        <v>107700</v>
      </c>
      <c r="AN3" s="10">
        <v>107800</v>
      </c>
      <c r="AO3" s="10">
        <v>107900</v>
      </c>
      <c r="AP3" s="10">
        <v>108100</v>
      </c>
      <c r="AQ3" s="10"/>
      <c r="AR3" s="16"/>
      <c r="AS3" s="16"/>
      <c r="AT3" s="16" t="s">
        <v>12009</v>
      </c>
      <c r="AU3" s="16" t="s">
        <v>124</v>
      </c>
      <c r="AV3" s="16" t="s">
        <v>11522</v>
      </c>
      <c r="AW3" s="16" t="s">
        <v>11523</v>
      </c>
      <c r="AX3" s="16" t="s">
        <v>11686</v>
      </c>
      <c r="AY3" s="122" t="s">
        <v>11687</v>
      </c>
      <c r="AZ3" s="16" t="s">
        <v>11688</v>
      </c>
      <c r="BA3" s="16" t="s">
        <v>11689</v>
      </c>
      <c r="BB3" s="16" t="s">
        <v>11690</v>
      </c>
      <c r="BC3" s="16" t="s">
        <v>12010</v>
      </c>
      <c r="BD3" s="16" t="s">
        <v>11695</v>
      </c>
      <c r="BE3" s="16" t="s">
        <v>11696</v>
      </c>
      <c r="BF3" s="35" t="s">
        <v>11697</v>
      </c>
      <c r="BG3" s="35" t="s">
        <v>11698</v>
      </c>
      <c r="BH3" s="35" t="s">
        <v>11699</v>
      </c>
      <c r="BI3" s="167" t="s">
        <v>11700</v>
      </c>
      <c r="BJ3" s="1"/>
      <c r="BK3" s="1"/>
    </row>
    <row r="4" spans="44:63">
      <c r="AR4" s="6">
        <f>IF(AND(D4&gt;4678396.48217382,D4&lt;4924789.13601513),0,1)</f>
        <v>1</v>
      </c>
      <c r="AS4" s="6">
        <f>IF(AND(E4&gt;1554744.35667513,E4&lt;1771650.40247209),0,1)</f>
        <v>1</v>
      </c>
      <c r="AT4" s="142">
        <f>+IF(AH4&lt;3,IF(I4="",0,IF(I4&gt;=0,0,1)),0)</f>
        <v>0</v>
      </c>
      <c r="AU4" s="4">
        <f>IF(AH4&lt;3,IF(OR(N4="s",N4="n",N4=0,N4=1),0,1),0)</f>
        <v>0</v>
      </c>
      <c r="AV4" s="42">
        <f>IF(AH4&lt;3,IF(OR(O4=9999,O4&lt;=('[2]Input anno'!$A$1)),0,1),0)</f>
        <v>0</v>
      </c>
      <c r="AW4" s="42">
        <f>IF(AH4&lt;3,IF(OR(P4=9800,P4=9999,P4&lt;=('[2]Input anno'!$A$1)),0,1),0)</f>
        <v>0</v>
      </c>
      <c r="AX4" s="42">
        <f>+IF(AH4=3,IF(O4='[2]Input anno'!$A$1,0,1),0)</f>
        <v>0</v>
      </c>
      <c r="AY4" s="6">
        <f>+IF(AH4&lt;3,IF(AND(O4&lt;&gt;9999,O4&lt;&gt;9800),IF(O4&lt;P4,0,1),0),0)</f>
        <v>1</v>
      </c>
      <c r="AZ4" s="142">
        <f>+IF(AH4&lt;3,IF(S4=100,IF(R4="continuo",0,1),IF(R4="continuo",1,0)),0)</f>
        <v>0</v>
      </c>
      <c r="BA4" s="142">
        <f>+IF(AH4&lt;3,IF(R4=0,IF(X4=0,0,1),IF(X4&gt;0,0,1)),0)</f>
        <v>0</v>
      </c>
      <c r="BB4" s="6">
        <f>IF(AH4&gt;2,IF(X4=0,0,1),IF(X4&gt;0,IF(W4&gt;0,0,1),IF(W4=0,0,1)))</f>
        <v>0</v>
      </c>
      <c r="BC4" s="6">
        <f>IF(AH4&lt;3,IF(AA4&lt;Z4,0,1),0)</f>
        <v>1</v>
      </c>
      <c r="BD4" s="6">
        <f>+IF(AH4&lt;3,IF(O4&lt;&gt;9999,IF(O4&gt;=2014,IF(AI4="A",0,1),0),IF(AI4="X",0,1)),0)</f>
        <v>0</v>
      </c>
      <c r="BE4" s="6">
        <f>+IF(AH4&lt;3,IF(P4&lt;9800,IF(P4&gt;=2014,IF(AJ4="A",0,1),0),IF(p=9999,IF(AJ4="X",0,1),IF(AJ4="A",0,1))),0)</f>
        <v>0</v>
      </c>
      <c r="BF4" s="36">
        <f>+IF(AH4&lt;3,IF(AND(P4&lt;&gt;9800,P4&lt;&gt;9999),IF(AND(P4&gt;=2019,Q4&lt;4),1,0),0),0)</f>
        <v>0</v>
      </c>
      <c r="BG4" s="36">
        <f>+IF(AH4&lt;3,IF(O4=9999,0,IF(O4&gt;=2014,IF(AND(P4&gt;O4,Q4&gt;=4),0,1),0)),0)</f>
        <v>0</v>
      </c>
      <c r="BH4" s="36">
        <f>+IF(AH4&lt;3,IF(O4=9999,0,IF(O4&gt;=2015,IF(COUNTBLANK(B4:AO4)=0,0,1),0)),0)</f>
        <v>0</v>
      </c>
      <c r="BI4" s="38">
        <f>+IF(AND(I4='[2]Input anno'!$A$1,AF4=1),COUNTBLANK(#REF!),0)</f>
        <v>0</v>
      </c>
      <c r="BJ4" s="87"/>
      <c r="BK4" s="168"/>
    </row>
    <row r="5" spans="44:63">
      <c r="AR5" s="55"/>
      <c r="AS5" s="55"/>
      <c r="AT5" s="142"/>
      <c r="AU5" s="4"/>
      <c r="AV5" s="42"/>
      <c r="AW5" s="42"/>
      <c r="AX5" s="42"/>
      <c r="AY5" s="142"/>
      <c r="AZ5" s="142"/>
      <c r="BA5" s="142"/>
      <c r="BB5" s="6"/>
      <c r="BC5" s="6"/>
      <c r="BD5" s="19"/>
      <c r="BE5" s="19"/>
      <c r="BF5" s="36"/>
      <c r="BG5" s="36"/>
      <c r="BH5" s="36"/>
      <c r="BI5" s="3"/>
      <c r="BJ5" s="84" t="s">
        <v>11560</v>
      </c>
      <c r="BK5" s="56" t="str">
        <f>IF(SUM(AR:AR)=0,"OK","errore su QUOTA")</f>
        <v>errore su QUOTA</v>
      </c>
    </row>
    <row r="6" spans="44:63">
      <c r="AR6" s="55"/>
      <c r="AS6" s="55"/>
      <c r="AT6" s="142"/>
      <c r="AU6" s="4"/>
      <c r="AV6" s="42"/>
      <c r="AW6" s="42"/>
      <c r="AX6" s="42"/>
      <c r="AY6" s="142"/>
      <c r="AZ6" s="142"/>
      <c r="BA6" s="142"/>
      <c r="BB6" s="6"/>
      <c r="BC6" s="6"/>
      <c r="BD6" s="19"/>
      <c r="BE6" s="19"/>
      <c r="BF6" s="36"/>
      <c r="BG6" s="36"/>
      <c r="BH6" s="36"/>
      <c r="BI6" s="3"/>
      <c r="BJ6" s="84" t="s">
        <v>11561</v>
      </c>
      <c r="BK6" s="56" t="str">
        <f>IF(SUM(AS:AS)=0,"OK","errore su QUOTA")</f>
        <v>errore su QUOTA</v>
      </c>
    </row>
    <row r="7" spans="44:63">
      <c r="AR7" s="55"/>
      <c r="AS7" s="55"/>
      <c r="AT7" s="142"/>
      <c r="AU7" s="4"/>
      <c r="AV7" s="42"/>
      <c r="AW7" s="42"/>
      <c r="AX7" s="42"/>
      <c r="AY7" s="142"/>
      <c r="AZ7" s="142"/>
      <c r="BA7" s="142"/>
      <c r="BB7" s="6"/>
      <c r="BC7" s="6"/>
      <c r="BD7" s="19"/>
      <c r="BE7" s="19"/>
      <c r="BF7" s="36"/>
      <c r="BG7" s="36"/>
      <c r="BH7" s="36"/>
      <c r="BI7" s="3"/>
      <c r="BJ7" s="84" t="s">
        <v>11701</v>
      </c>
      <c r="BK7" s="56" t="str">
        <f>IF(SUM(AT:AT)=0,"OK","errore su QUOTA")</f>
        <v>OK</v>
      </c>
    </row>
    <row r="8" spans="46:63">
      <c r="AT8" s="142"/>
      <c r="AU8" s="4"/>
      <c r="AV8" s="42"/>
      <c r="AW8" s="42"/>
      <c r="AX8" s="42"/>
      <c r="AY8" s="142"/>
      <c r="AZ8" s="142"/>
      <c r="BA8" s="142"/>
      <c r="BB8" s="6"/>
      <c r="BC8" s="6"/>
      <c r="BD8" s="19"/>
      <c r="BE8" s="19"/>
      <c r="BF8" s="36"/>
      <c r="BG8" s="36"/>
      <c r="BH8" s="36"/>
      <c r="BI8" s="3"/>
      <c r="BJ8" s="84" t="s">
        <v>11703</v>
      </c>
      <c r="BK8" s="56" t="str">
        <f>IF(SUM(AU:AU)=0,"OK","errore compilazione campo")</f>
        <v>OK</v>
      </c>
    </row>
    <row r="9" spans="46:63">
      <c r="AT9" s="142"/>
      <c r="AU9" s="4"/>
      <c r="AV9" s="42"/>
      <c r="AW9" s="42"/>
      <c r="AX9" s="42"/>
      <c r="AY9" s="142"/>
      <c r="AZ9" s="142"/>
      <c r="BA9" s="142"/>
      <c r="BB9" s="6"/>
      <c r="BC9" s="6"/>
      <c r="BD9" s="19"/>
      <c r="BE9" s="19"/>
      <c r="BF9" s="36"/>
      <c r="BG9" s="36"/>
      <c r="BH9" s="36"/>
      <c r="BI9" s="3"/>
      <c r="BJ9" s="84" t="s">
        <v>11522</v>
      </c>
      <c r="BK9" s="56" t="str">
        <f>IF(SUM(AV:AV)=0,"OK","errore su anno costruzione")</f>
        <v>OK</v>
      </c>
    </row>
    <row r="10" spans="44:63">
      <c r="AR10" s="143"/>
      <c r="AS10" s="143"/>
      <c r="AT10" s="142"/>
      <c r="AV10" s="42"/>
      <c r="AW10" s="42"/>
      <c r="AX10" s="42"/>
      <c r="AY10" s="142"/>
      <c r="AZ10" s="142"/>
      <c r="BA10" s="142"/>
      <c r="BB10" s="6"/>
      <c r="BC10" s="6"/>
      <c r="BD10" s="19"/>
      <c r="BE10" s="19"/>
      <c r="BF10" s="36"/>
      <c r="BG10" s="36"/>
      <c r="BH10" s="36"/>
      <c r="BI10" s="3"/>
      <c r="BJ10" s="84" t="s">
        <v>11523</v>
      </c>
      <c r="BK10" s="56" t="str">
        <f>IF(SUM(AW:AW)=0,"OK","errore su anno ristrutturazione")</f>
        <v>OK</v>
      </c>
    </row>
    <row r="11" spans="44:63">
      <c r="AR11" s="55"/>
      <c r="AS11" s="55"/>
      <c r="AT11" s="142"/>
      <c r="AU11" s="143"/>
      <c r="AV11" s="42"/>
      <c r="AW11" s="42"/>
      <c r="AX11" s="42"/>
      <c r="AY11" s="142"/>
      <c r="AZ11" s="142"/>
      <c r="BA11" s="142"/>
      <c r="BB11" s="6"/>
      <c r="BC11" s="6"/>
      <c r="BD11" s="19"/>
      <c r="BE11" s="19"/>
      <c r="BF11" s="36"/>
      <c r="BG11" s="36"/>
      <c r="BH11" s="36"/>
      <c r="BI11" s="3"/>
      <c r="BJ11" s="84" t="s">
        <v>11686</v>
      </c>
      <c r="BK11" s="56" t="str">
        <f>IF(SUM(AX:AX)=0,"OK","errore congruenza su anno costruzione pari a 3")</f>
        <v>OK</v>
      </c>
    </row>
    <row r="12" ht="38.25" spans="44:63">
      <c r="AR12" s="55"/>
      <c r="AS12" s="55"/>
      <c r="AT12" s="142"/>
      <c r="AU12" s="4"/>
      <c r="AV12" s="42"/>
      <c r="AW12" s="42"/>
      <c r="AX12" s="42"/>
      <c r="AY12" s="142"/>
      <c r="AZ12" s="142"/>
      <c r="BA12" s="142"/>
      <c r="BB12" s="6"/>
      <c r="BC12" s="6"/>
      <c r="BD12" s="19"/>
      <c r="BE12" s="19"/>
      <c r="BF12" s="36"/>
      <c r="BG12" s="36"/>
      <c r="BH12" s="36"/>
      <c r="BI12" s="3"/>
      <c r="BJ12" s="84" t="s">
        <v>11704</v>
      </c>
      <c r="BK12" s="56" t="str">
        <f>IF(SUM(AY:AY)=0,"OK","anno costruzione non congruente con anno ristrutturazione")</f>
        <v>anno costruzione non congruente con anno ristrutturazione</v>
      </c>
    </row>
    <row r="13" ht="38.25" spans="44:63">
      <c r="AR13" s="55"/>
      <c r="AS13" s="55"/>
      <c r="AT13" s="142"/>
      <c r="AU13" s="4"/>
      <c r="AV13" s="42"/>
      <c r="AW13" s="42"/>
      <c r="AX13" s="42"/>
      <c r="AY13" s="142"/>
      <c r="AZ13" s="142"/>
      <c r="BA13" s="142"/>
      <c r="BB13" s="6"/>
      <c r="BC13" s="6"/>
      <c r="BD13" s="19"/>
      <c r="BE13" s="19"/>
      <c r="BF13" s="36"/>
      <c r="BG13" s="36"/>
      <c r="BH13" s="36"/>
      <c r="BI13" s="3"/>
      <c r="BJ13" s="56" t="s">
        <v>11688</v>
      </c>
      <c r="BK13" s="56" t="str">
        <f>IF(SUM(AZ:AZ)=0,"OK","tipo utilizzo non congruente con %utilizzo")</f>
        <v>OK</v>
      </c>
    </row>
    <row r="14" spans="44:63">
      <c r="AR14" s="55"/>
      <c r="AS14" s="55"/>
      <c r="AT14" s="142"/>
      <c r="AU14" s="4"/>
      <c r="AV14" s="42"/>
      <c r="AW14" s="42"/>
      <c r="AX14" s="42"/>
      <c r="AY14" s="142"/>
      <c r="AZ14" s="142"/>
      <c r="BA14" s="142"/>
      <c r="BB14" s="6"/>
      <c r="BC14" s="6"/>
      <c r="BD14" s="19"/>
      <c r="BE14" s="19"/>
      <c r="BF14" s="36"/>
      <c r="BG14" s="36"/>
      <c r="BH14" s="36"/>
      <c r="BI14" s="3"/>
      <c r="BJ14" s="84" t="s">
        <v>11689</v>
      </c>
      <c r="BK14" s="56" t="str">
        <f>IF(SUM(BA:BA)=0,"OK","utilizzo non congruente con volumi")</f>
        <v>OK</v>
      </c>
    </row>
    <row r="15" spans="44:63">
      <c r="AR15" s="55"/>
      <c r="AS15" s="55"/>
      <c r="AT15" s="142"/>
      <c r="AU15" s="4"/>
      <c r="AV15" s="42"/>
      <c r="AW15" s="42"/>
      <c r="AX15" s="42"/>
      <c r="AY15" s="142"/>
      <c r="AZ15" s="142"/>
      <c r="BA15" s="142"/>
      <c r="BB15" s="6"/>
      <c r="BC15" s="6"/>
      <c r="BD15" s="19"/>
      <c r="BE15" s="19"/>
      <c r="BF15" s="36"/>
      <c r="BG15" s="36"/>
      <c r="BH15" s="36"/>
      <c r="BI15" s="3"/>
      <c r="BJ15" s="84" t="s">
        <v>11690</v>
      </c>
      <c r="BK15" s="56" t="str">
        <f>IF(SUM(BB:BB)=0,"OK","volumi non congruenti con stato opera")</f>
        <v>OK</v>
      </c>
    </row>
    <row r="16" ht="25.5" spans="44:63">
      <c r="AR16" s="55"/>
      <c r="AS16" s="55"/>
      <c r="AT16" s="142"/>
      <c r="AU16" s="4"/>
      <c r="AV16" s="42"/>
      <c r="AW16" s="42"/>
      <c r="AX16" s="42"/>
      <c r="AY16" s="142"/>
      <c r="AZ16" s="142"/>
      <c r="BA16" s="142"/>
      <c r="BB16" s="6"/>
      <c r="BC16" s="6"/>
      <c r="BD16" s="19"/>
      <c r="BE16" s="19"/>
      <c r="BF16" s="36"/>
      <c r="BG16" s="36"/>
      <c r="BH16" s="36"/>
      <c r="BI16" s="3"/>
      <c r="BJ16" s="84" t="s">
        <v>12011</v>
      </c>
      <c r="BK16" s="56" t="str">
        <f>IF(SUM(BC:BC)=0,"OK","Errore nelle portate di utilizzo")</f>
        <v>Errore nelle portate di utilizzo</v>
      </c>
    </row>
    <row r="17" spans="44:63">
      <c r="AR17" s="55"/>
      <c r="AS17" s="55"/>
      <c r="AT17" s="142"/>
      <c r="AU17" s="4"/>
      <c r="AV17" s="42"/>
      <c r="AW17" s="42"/>
      <c r="AX17" s="42"/>
      <c r="AY17" s="142"/>
      <c r="AZ17" s="142"/>
      <c r="BA17" s="142"/>
      <c r="BB17" s="6"/>
      <c r="BC17" s="6"/>
      <c r="BD17" s="19"/>
      <c r="BE17" s="19"/>
      <c r="BF17" s="36"/>
      <c r="BG17" s="36"/>
      <c r="BH17" s="36"/>
      <c r="BI17" s="3"/>
      <c r="BJ17" s="56" t="s">
        <v>11695</v>
      </c>
      <c r="BK17" s="56" t="str">
        <f>IF(SUM(BD:BD)=0,"OK","indice di confidenza non congruente con anno di costruzione")</f>
        <v>OK</v>
      </c>
    </row>
    <row r="18" spans="44:63">
      <c r="AR18" s="55"/>
      <c r="AS18" s="55"/>
      <c r="AT18" s="142"/>
      <c r="AU18" s="4"/>
      <c r="AV18" s="42"/>
      <c r="AW18" s="42"/>
      <c r="AX18" s="42"/>
      <c r="AY18" s="142"/>
      <c r="AZ18" s="142"/>
      <c r="BA18" s="142"/>
      <c r="BB18" s="6"/>
      <c r="BC18" s="6"/>
      <c r="BD18" s="19"/>
      <c r="BE18" s="19"/>
      <c r="BF18" s="36"/>
      <c r="BG18" s="36"/>
      <c r="BH18" s="36"/>
      <c r="BI18" s="3"/>
      <c r="BJ18" s="56" t="s">
        <v>11696</v>
      </c>
      <c r="BK18" s="56" t="str">
        <f>IF(SUM(BE:BE)=0,"OK","indice di confidenza non congruente con anno di ristrutturazione")</f>
        <v>OK</v>
      </c>
    </row>
    <row r="19" spans="44:63">
      <c r="AR19" s="55"/>
      <c r="AS19" s="55"/>
      <c r="AT19" s="142"/>
      <c r="AU19" s="4"/>
      <c r="AV19" s="42"/>
      <c r="AW19" s="42"/>
      <c r="AX19" s="42"/>
      <c r="AY19" s="142"/>
      <c r="AZ19" s="142"/>
      <c r="BA19" s="142"/>
      <c r="BB19" s="6"/>
      <c r="BC19" s="6"/>
      <c r="BD19" s="19"/>
      <c r="BE19" s="19"/>
      <c r="BF19" s="36"/>
      <c r="BG19" s="36"/>
      <c r="BH19" s="36"/>
      <c r="BI19" s="3"/>
      <c r="BJ19" s="126" t="s">
        <v>11705</v>
      </c>
      <c r="BK19" s="126" t="str">
        <f>IF(SUM(BF:BF)=0,"OK","conservazione non congruente con anno di ristrutturazione &gt;=2018")</f>
        <v>OK</v>
      </c>
    </row>
    <row r="20" spans="44:63">
      <c r="AR20" s="55"/>
      <c r="AS20" s="55"/>
      <c r="AT20" s="142"/>
      <c r="AU20" s="4"/>
      <c r="AV20" s="42"/>
      <c r="AW20" s="42"/>
      <c r="AX20" s="42"/>
      <c r="AY20" s="142"/>
      <c r="AZ20" s="142"/>
      <c r="BA20" s="142"/>
      <c r="BB20" s="6"/>
      <c r="BC20" s="6"/>
      <c r="BD20" s="19"/>
      <c r="BE20" s="19"/>
      <c r="BF20" s="36"/>
      <c r="BG20" s="36"/>
      <c r="BH20" s="36"/>
      <c r="BI20" s="3"/>
      <c r="BJ20" s="127" t="s">
        <v>11698</v>
      </c>
      <c r="BK20" s="126" t="str">
        <f>IF(SUM(BG:BG)=0,"OK","Anno ristrutt. e/o stato di conservazione non congruenti con anno di costruzione &gt;=2014")</f>
        <v>OK</v>
      </c>
    </row>
    <row r="21" spans="44:63">
      <c r="AR21" s="55"/>
      <c r="AS21" s="55"/>
      <c r="AT21" s="142"/>
      <c r="AU21" s="4"/>
      <c r="AV21" s="42"/>
      <c r="AW21" s="42"/>
      <c r="AX21" s="42"/>
      <c r="AY21" s="142"/>
      <c r="AZ21" s="142"/>
      <c r="BA21" s="142"/>
      <c r="BB21" s="6"/>
      <c r="BC21" s="6"/>
      <c r="BD21" s="19"/>
      <c r="BE21" s="19"/>
      <c r="BF21" s="36"/>
      <c r="BG21" s="36"/>
      <c r="BH21" s="36"/>
      <c r="BI21" s="3"/>
      <c r="BJ21" s="127" t="s">
        <v>11699</v>
      </c>
      <c r="BK21" s="41" t="str">
        <f>IF(SUM(BH:BH)=0,"OK","Errore: celle vuote in corrispondenza di opera costruita in anno &gt;=2015")</f>
        <v>OK</v>
      </c>
    </row>
    <row r="22" spans="44:61">
      <c r="AR22" s="55"/>
      <c r="AS22" s="55"/>
      <c r="AT22" s="142"/>
      <c r="AU22" s="4"/>
      <c r="AV22" s="42"/>
      <c r="AW22" s="42"/>
      <c r="AX22" s="42"/>
      <c r="AY22" s="142"/>
      <c r="AZ22" s="142"/>
      <c r="BA22" s="142"/>
      <c r="BB22" s="6"/>
      <c r="BC22" s="6"/>
      <c r="BD22" s="19"/>
      <c r="BE22" s="19"/>
      <c r="BF22" s="36"/>
      <c r="BG22" s="36"/>
      <c r="BH22" s="36"/>
      <c r="BI22" s="3"/>
    </row>
  </sheetData>
  <pageMargins left="0.7" right="0.7" top="0.75" bottom="0.75" header="0.511811023622047" footer="0.511811023622047"/>
  <pageSetup paperSize="9" orientation="portrait" horizontalDpi="300" verticalDpi="30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4" sqref="A4"/>
    </sheetView>
  </sheetViews>
  <sheetFormatPr defaultColWidth="9.14285714285714" defaultRowHeight="12.75" outlineLevelRow="3"/>
  <cols>
    <col min="1" max="1" width="19.5714285714286" style="152" customWidth="1"/>
    <col min="2" max="3" width="15.4285714285714" style="152" customWidth="1"/>
    <col min="4" max="4" width="25.7142857142857" style="152" customWidth="1"/>
    <col min="5" max="5" width="14.5714285714286" style="152" customWidth="1"/>
    <col min="6" max="6" width="29" customWidth="1"/>
    <col min="7" max="7" width="9.14285714285714" style="152"/>
    <col min="8" max="8" width="26.2857142857143" style="152" customWidth="1"/>
    <col min="9" max="9" width="24.5714285714286" style="152" customWidth="1"/>
    <col min="10" max="1024" width="9.14285714285714" style="152"/>
  </cols>
  <sheetData>
    <row r="1" ht="50.25" customHeight="1" spans="1:4">
      <c r="A1" s="8" t="s">
        <v>11706</v>
      </c>
      <c r="B1" s="8" t="s">
        <v>11707</v>
      </c>
      <c r="C1" s="8" t="s">
        <v>11781</v>
      </c>
      <c r="D1" s="12" t="s">
        <v>11559</v>
      </c>
    </row>
    <row r="2" ht="45" spans="1:4">
      <c r="A2" s="9" t="s">
        <v>11709</v>
      </c>
      <c r="B2" s="9" t="s">
        <v>11710</v>
      </c>
      <c r="C2" s="9" t="s">
        <v>11711</v>
      </c>
      <c r="D2" s="153"/>
    </row>
    <row r="3" ht="36" spans="1:9">
      <c r="A3" s="155">
        <v>109800</v>
      </c>
      <c r="B3" s="155">
        <v>110000</v>
      </c>
      <c r="C3" s="156">
        <v>110100</v>
      </c>
      <c r="D3" s="157"/>
      <c r="E3" s="158" t="s">
        <v>12012</v>
      </c>
      <c r="F3" s="159" t="s">
        <v>11716</v>
      </c>
      <c r="G3" s="160"/>
      <c r="H3" s="161" t="s">
        <v>12013</v>
      </c>
      <c r="I3" s="163" t="e">
        <f>+IF(SUM(E:E)=0,"OK","Dati volumi immessi in rete non congruenti")</f>
        <v>#N/A</v>
      </c>
    </row>
    <row r="4" ht="24" spans="5:9">
      <c r="E4" s="6" t="e">
        <f>+IF(VLOOKUP(A4,Mari!B:AN,39,FALSE())&lt;3,0,1)</f>
        <v>#N/A</v>
      </c>
      <c r="F4" s="6" t="e">
        <f>+IF(VLOOKUP(B4,Potabilizzatori!B:BC,54,FALSE())&lt;3,0,1)</f>
        <v>#N/A</v>
      </c>
      <c r="G4" s="160"/>
      <c r="H4" s="162" t="s">
        <v>11718</v>
      </c>
      <c r="I4" s="80" t="e">
        <f>+IF(SUM(F:F)=0,"OK","Errore: associazione con potabilizzatore non conguente")</f>
        <v>#N/A</v>
      </c>
    </row>
  </sheetData>
  <pageMargins left="0.7" right="0.7" top="0.75" bottom="0.75" header="0.511811023622047" footer="0.511811023622047"/>
  <pageSetup paperSize="9" orientation="portrait" horizontalDpi="300" verticalDpi="3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4"/>
  <sheetViews>
    <sheetView workbookViewId="0">
      <selection activeCell="N4" sqref="N4"/>
    </sheetView>
  </sheetViews>
  <sheetFormatPr defaultColWidth="9.14285714285714" defaultRowHeight="12.75"/>
  <cols>
    <col min="1" max="1" width="14.1428571428571" style="152" customWidth="1"/>
    <col min="2" max="2" width="9.57142857142857" style="152" customWidth="1"/>
    <col min="3" max="5" width="9.14285714285714" style="152"/>
    <col min="6" max="13" width="11.1428571428571" style="152" customWidth="1"/>
    <col min="14" max="14" width="9.14285714285714" style="152"/>
    <col min="15" max="15" width="14" style="152" customWidth="1"/>
    <col min="16" max="16" width="13.7142857142857" style="152" customWidth="1"/>
    <col min="17" max="17" width="16.4285714285714" style="152" customWidth="1"/>
    <col min="18" max="18" width="12.1428571428571" style="152" customWidth="1"/>
    <col min="19" max="19" width="13.4285714285714" style="152" customWidth="1"/>
    <col min="20" max="20" width="12.1428571428571" style="152" customWidth="1"/>
    <col min="21" max="21" width="14.1428571428571" style="152" customWidth="1"/>
    <col min="22" max="24" width="9.14285714285714" style="152"/>
    <col min="25" max="25" width="10.8571428571429" style="152" customWidth="1"/>
    <col min="26" max="26" width="9.14285714285714" style="152"/>
    <col min="27" max="27" width="43" style="152" customWidth="1"/>
    <col min="28" max="1024" width="9.14285714285714" style="152"/>
  </cols>
  <sheetData>
    <row r="1" ht="84" spans="1:28">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12" t="s">
        <v>11559</v>
      </c>
      <c r="O1" s="13" t="s">
        <v>11883</v>
      </c>
      <c r="P1" s="13" t="s">
        <v>11566</v>
      </c>
      <c r="Q1" s="13" t="s">
        <v>11884</v>
      </c>
      <c r="R1" s="13" t="s">
        <v>11885</v>
      </c>
      <c r="S1" s="13" t="s">
        <v>11886</v>
      </c>
      <c r="T1" s="47" t="s">
        <v>11887</v>
      </c>
      <c r="U1" s="13" t="s">
        <v>11888</v>
      </c>
      <c r="V1" s="13" t="s">
        <v>11889</v>
      </c>
      <c r="W1" s="13" t="s">
        <v>11890</v>
      </c>
      <c r="X1" s="13" t="s">
        <v>11891</v>
      </c>
      <c r="Y1" s="13" t="s">
        <v>11892</v>
      </c>
      <c r="AA1" s="113"/>
      <c r="AB1" s="113"/>
    </row>
    <row r="2" ht="67.5" spans="1:28">
      <c r="A2" s="9" t="s">
        <v>12004</v>
      </c>
      <c r="B2" s="9" t="s">
        <v>11597</v>
      </c>
      <c r="C2" s="9" t="s">
        <v>11893</v>
      </c>
      <c r="D2" s="9" t="s">
        <v>11596</v>
      </c>
      <c r="E2" s="9" t="s">
        <v>11894</v>
      </c>
      <c r="F2" s="9" t="s">
        <v>11895</v>
      </c>
      <c r="G2" s="9" t="s">
        <v>11896</v>
      </c>
      <c r="H2" s="9" t="s">
        <v>11897</v>
      </c>
      <c r="I2" s="9" t="s">
        <v>11898</v>
      </c>
      <c r="J2" s="9" t="s">
        <v>11624</v>
      </c>
      <c r="K2" s="9" t="s">
        <v>11899</v>
      </c>
      <c r="L2" s="9" t="s">
        <v>11900</v>
      </c>
      <c r="M2" s="9" t="s">
        <v>11901</v>
      </c>
      <c r="N2" s="153"/>
      <c r="O2" s="17"/>
      <c r="P2" s="17"/>
      <c r="Q2" s="17"/>
      <c r="R2" s="17"/>
      <c r="S2" s="17"/>
      <c r="T2" s="17"/>
      <c r="U2" s="17"/>
      <c r="V2" s="32"/>
      <c r="W2" s="32"/>
      <c r="X2" s="32"/>
      <c r="Y2" s="32"/>
      <c r="AA2" s="113"/>
      <c r="AB2" s="113"/>
    </row>
    <row r="3" ht="60" spans="1:28">
      <c r="A3" s="10">
        <v>108300</v>
      </c>
      <c r="B3" s="10">
        <v>108500</v>
      </c>
      <c r="C3" s="10">
        <v>108600</v>
      </c>
      <c r="D3" s="10">
        <v>108700</v>
      </c>
      <c r="E3" s="10">
        <v>108800</v>
      </c>
      <c r="F3" s="10">
        <v>108900</v>
      </c>
      <c r="G3" s="10">
        <v>109000</v>
      </c>
      <c r="H3" s="10">
        <v>109100</v>
      </c>
      <c r="I3" s="10">
        <v>109200</v>
      </c>
      <c r="J3" s="10">
        <v>109300</v>
      </c>
      <c r="K3" s="10">
        <v>109400</v>
      </c>
      <c r="L3" s="10">
        <v>109500</v>
      </c>
      <c r="M3" s="10">
        <v>109600</v>
      </c>
      <c r="N3" s="154"/>
      <c r="O3" s="46" t="s">
        <v>11915</v>
      </c>
      <c r="P3" s="16" t="s">
        <v>11916</v>
      </c>
      <c r="Q3" s="16" t="s">
        <v>11523</v>
      </c>
      <c r="R3" s="16" t="s">
        <v>11917</v>
      </c>
      <c r="S3" s="16" t="s">
        <v>11696</v>
      </c>
      <c r="T3" s="16" t="s">
        <v>11697</v>
      </c>
      <c r="U3" s="16" t="s">
        <v>11918</v>
      </c>
      <c r="V3" s="16" t="s">
        <v>11919</v>
      </c>
      <c r="W3" s="16" t="s">
        <v>11920</v>
      </c>
      <c r="X3" s="16" t="s">
        <v>11877</v>
      </c>
      <c r="Y3" s="16" t="s">
        <v>11921</v>
      </c>
      <c r="AA3" s="113"/>
      <c r="AB3" s="113"/>
    </row>
    <row r="4" spans="15:28">
      <c r="O4" s="32">
        <f>+IF(AND(B4&gt;0,B4&lt;6),0,1)</f>
        <v>1</v>
      </c>
      <c r="P4" s="32">
        <f>IF(OR(C4=9999,C4&lt;=('[2]Input anno'!$A$1)),0,1)</f>
        <v>0</v>
      </c>
      <c r="Q4" s="32">
        <f>IF(OR(D4=9800,D4=9999,D4&lt;='[2]Input anno'!$A$1),0,1)</f>
        <v>0</v>
      </c>
      <c r="R4" s="19">
        <f>+IF(C4&lt;&gt;9999,IF(C4&lt;D4,0,1),0)</f>
        <v>1</v>
      </c>
      <c r="S4" s="32">
        <f>+IF(D4&lt;9800,IF(D4&gt;=2014,IF(J4&lt;="A",0,1),0),IF(D4=9999,IF(J4="X",0,1),IF(J4="A",0,1)))</f>
        <v>0</v>
      </c>
      <c r="T4" s="19">
        <f>+IF(AND(D4&lt;&gt;9800,D4&lt;&gt;9999),IF(AND(D4&gt;=2018,B4&lt;4),1,0),0)</f>
        <v>0</v>
      </c>
      <c r="U4" s="19">
        <f>+IF(D4&lt;&gt;9800,IF(D4&gt;=2014,IF(J4&lt;&gt;"A",1,0),0),0)</f>
        <v>0</v>
      </c>
      <c r="V4" s="32">
        <f>+IF(E4&gt;0,0,1)</f>
        <v>1</v>
      </c>
      <c r="W4" s="32">
        <f>+IF(F4&gt;0,0,1)</f>
        <v>1</v>
      </c>
      <c r="X4" s="32">
        <f>+IF(G4&gt;0,0,1)</f>
        <v>1</v>
      </c>
      <c r="Y4" s="32">
        <f>+IF(OR(H4=0,H4=1,H4="s",H4="n"),0,1)</f>
        <v>0</v>
      </c>
      <c r="AA4" s="21" t="s">
        <v>11915</v>
      </c>
      <c r="AB4" s="49" t="str">
        <f>IF(SUM(O:O)=0,"OK","stato di conservazione non congruente con codifiche ammesse")</f>
        <v>stato di conservazione non congruente con codifiche ammesse</v>
      </c>
    </row>
    <row r="5" spans="15:28">
      <c r="O5" s="32"/>
      <c r="P5" s="32"/>
      <c r="Q5" s="32"/>
      <c r="R5" s="19"/>
      <c r="S5" s="32"/>
      <c r="T5" s="19"/>
      <c r="U5" s="19"/>
      <c r="V5" s="32"/>
      <c r="W5" s="32"/>
      <c r="X5" s="32"/>
      <c r="Y5" s="32"/>
      <c r="AA5" s="49" t="s">
        <v>11874</v>
      </c>
      <c r="AB5" s="49" t="str">
        <f>IF(SUM(P:P)=0,"OK","errore su anno installazione")</f>
        <v>OK</v>
      </c>
    </row>
    <row r="6" spans="15:28">
      <c r="O6" s="32"/>
      <c r="P6" s="32"/>
      <c r="Q6" s="32"/>
      <c r="R6" s="19"/>
      <c r="S6" s="32"/>
      <c r="T6" s="19"/>
      <c r="U6" s="19"/>
      <c r="V6" s="32"/>
      <c r="W6" s="32"/>
      <c r="X6" s="32"/>
      <c r="Y6" s="32"/>
      <c r="AA6" s="49" t="s">
        <v>11523</v>
      </c>
      <c r="AB6" s="49" t="str">
        <f>IF(SUM(Q:Q)=0,"OK","errore su anni ristrutturazione")</f>
        <v>OK</v>
      </c>
    </row>
    <row r="7" spans="15:28">
      <c r="O7" s="32"/>
      <c r="P7" s="32"/>
      <c r="Q7" s="32"/>
      <c r="R7" s="19"/>
      <c r="S7" s="32"/>
      <c r="T7" s="19"/>
      <c r="U7" s="19"/>
      <c r="V7" s="32"/>
      <c r="W7" s="32"/>
      <c r="X7" s="32"/>
      <c r="Y7" s="32"/>
      <c r="AA7" s="49" t="s">
        <v>11922</v>
      </c>
      <c r="AB7" s="49" t="str">
        <f>IF(SUM(R:R)=0,"OK","anno installazione non congruente con anno ristrutturazione")</f>
        <v>anno installazione non congruente con anno ristrutturazione</v>
      </c>
    </row>
    <row r="8" spans="15:28">
      <c r="O8" s="32"/>
      <c r="P8" s="32"/>
      <c r="Q8" s="32"/>
      <c r="R8" s="19"/>
      <c r="S8" s="32"/>
      <c r="T8" s="19"/>
      <c r="U8" s="19"/>
      <c r="V8" s="32"/>
      <c r="W8" s="32"/>
      <c r="X8" s="32"/>
      <c r="Y8" s="32"/>
      <c r="AA8" s="49" t="s">
        <v>11923</v>
      </c>
      <c r="AB8" s="49" t="str">
        <f>IF(SUM(S:S)=0,"OK","indice confidenza non congruente con anno installazione")</f>
        <v>OK</v>
      </c>
    </row>
    <row r="9" spans="15:28">
      <c r="O9" s="32"/>
      <c r="P9" s="32"/>
      <c r="Q9" s="32"/>
      <c r="R9" s="19"/>
      <c r="S9" s="32"/>
      <c r="T9" s="19"/>
      <c r="U9" s="19"/>
      <c r="V9" s="32"/>
      <c r="W9" s="32"/>
      <c r="X9" s="32"/>
      <c r="Y9" s="32"/>
      <c r="AA9" s="49" t="s">
        <v>11924</v>
      </c>
      <c r="AB9" s="49" t="str">
        <f>IF(SUM(T:T)=0,"OK","stato conservazione non congruente con anno ristrutturazione")</f>
        <v>OK</v>
      </c>
    </row>
    <row r="10" spans="15:28">
      <c r="O10" s="32"/>
      <c r="P10" s="32"/>
      <c r="Q10" s="32"/>
      <c r="R10" s="19"/>
      <c r="S10" s="32"/>
      <c r="T10" s="19"/>
      <c r="U10" s="19"/>
      <c r="V10" s="32"/>
      <c r="W10" s="32"/>
      <c r="X10" s="32"/>
      <c r="Y10" s="32"/>
      <c r="AA10" s="49" t="s">
        <v>11925</v>
      </c>
      <c r="AB10" s="49" t="str">
        <f>IF(SUM(T:T)=0,"OK","indice confidenza non congruente con anno ristrutturazione")</f>
        <v>OK</v>
      </c>
    </row>
    <row r="11" spans="15:28">
      <c r="O11" s="32"/>
      <c r="P11" s="32"/>
      <c r="Q11" s="32"/>
      <c r="R11" s="19"/>
      <c r="S11" s="32"/>
      <c r="T11" s="19"/>
      <c r="U11" s="19"/>
      <c r="V11" s="32"/>
      <c r="W11" s="32"/>
      <c r="X11" s="32"/>
      <c r="Y11" s="32"/>
      <c r="AA11" s="21" t="s">
        <v>341</v>
      </c>
      <c r="AB11" s="49" t="str">
        <f>IF(SUM(V:V)=0,"OK","potenza errata")</f>
        <v>potenza errata</v>
      </c>
    </row>
    <row r="12" spans="15:28">
      <c r="O12" s="32"/>
      <c r="P12" s="32"/>
      <c r="Q12" s="32"/>
      <c r="R12" s="19"/>
      <c r="S12" s="32"/>
      <c r="T12" s="19"/>
      <c r="U12" s="19"/>
      <c r="V12" s="32"/>
      <c r="W12" s="32"/>
      <c r="X12" s="32"/>
      <c r="Y12" s="32"/>
      <c r="AA12" s="21" t="s">
        <v>343</v>
      </c>
      <c r="AB12" s="49" t="str">
        <f>IF(SUM(W:W)=0,"OK","portata errata")</f>
        <v>portata errata</v>
      </c>
    </row>
    <row r="13" spans="15:28">
      <c r="O13" s="32"/>
      <c r="P13" s="32"/>
      <c r="Q13" s="32"/>
      <c r="R13" s="19"/>
      <c r="S13" s="32"/>
      <c r="T13" s="19"/>
      <c r="U13" s="19"/>
      <c r="V13" s="32"/>
      <c r="W13" s="32"/>
      <c r="X13" s="32"/>
      <c r="Y13" s="32"/>
      <c r="AA13" s="21" t="s">
        <v>345</v>
      </c>
      <c r="AB13" s="49" t="str">
        <f>IF(SUM(X:X)=0,"OK","prevalenza errata")</f>
        <v>prevalenza errata</v>
      </c>
    </row>
    <row r="14" spans="15:28">
      <c r="O14" s="32"/>
      <c r="P14" s="32"/>
      <c r="Q14" s="32"/>
      <c r="R14" s="19"/>
      <c r="S14" s="32"/>
      <c r="T14" s="19"/>
      <c r="U14" s="19"/>
      <c r="V14" s="32"/>
      <c r="W14" s="32"/>
      <c r="X14" s="32"/>
      <c r="Y14" s="32"/>
      <c r="AA14" s="21" t="s">
        <v>11921</v>
      </c>
      <c r="AB14" s="49" t="str">
        <f>IF(SUM(Y:Y)=0,"OK","funzione di riserva errata")</f>
        <v>OK</v>
      </c>
    </row>
  </sheetData>
  <pageMargins left="0.7" right="0.7" top="0.75" bottom="0.75" header="0.511811023622047" footer="0.511811023622047"/>
  <pageSetup paperSize="9" orientation="portrait" horizontalDpi="300" verticalDpi="3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27"/>
  <sheetViews>
    <sheetView topLeftCell="CI2" workbookViewId="0">
      <selection activeCell="CK27" sqref="CK27:CL27"/>
    </sheetView>
  </sheetViews>
  <sheetFormatPr defaultColWidth="9.14285714285714" defaultRowHeight="12.75"/>
  <cols>
    <col min="1" max="1" width="38.2857142857143" style="3" customWidth="1"/>
    <col min="2" max="2" width="21.7142857142857" style="3" customWidth="1"/>
    <col min="3" max="3" width="43.1428571428571" style="3" customWidth="1"/>
    <col min="4" max="5" width="12.5714285714286" style="3" customWidth="1"/>
    <col min="6" max="7" width="10.7142857142857" style="3" customWidth="1"/>
    <col min="8" max="8" width="16.5714285714286" style="3" customWidth="1"/>
    <col min="9" max="11" width="10.7142857142857" style="3" customWidth="1"/>
    <col min="12" max="14" width="10.7142857142857" style="141" customWidth="1"/>
    <col min="15" max="15" width="10" style="141" customWidth="1"/>
    <col min="16" max="19" width="10.7142857142857" style="3" customWidth="1"/>
    <col min="20" max="20" width="40.7142857142857" style="3" customWidth="1"/>
    <col min="21" max="51" width="10.7142857142857" style="3" customWidth="1"/>
    <col min="52" max="53" width="10.7142857142857" style="141" customWidth="1"/>
    <col min="54" max="56" width="10.7142857142857" style="3" customWidth="1"/>
    <col min="57" max="57" width="13.7142857142857" style="3" customWidth="1"/>
    <col min="58" max="58" width="17" customWidth="1"/>
    <col min="59" max="59" width="17.8571428571429" customWidth="1"/>
    <col min="60" max="60" width="16.2857142857143" customWidth="1"/>
    <col min="61" max="61" width="20.4285714285714" customWidth="1"/>
    <col min="62" max="64" width="9.57142857142857" customWidth="1"/>
    <col min="65" max="66" width="12.7142857142857" customWidth="1"/>
    <col min="67" max="67" width="14.8571428571429" style="42" customWidth="1"/>
    <col min="68" max="68" width="12.7142857142857" style="42" customWidth="1"/>
    <col min="69" max="70" width="19.5714285714286" style="42" customWidth="1"/>
    <col min="71" max="71" width="15.4285714285714" style="42" customWidth="1"/>
    <col min="72" max="72" width="16.8571428571429" style="42" customWidth="1"/>
    <col min="73" max="74" width="14.2857142857143" style="42" customWidth="1"/>
    <col min="75" max="75" width="15.4285714285714" style="42" customWidth="1"/>
    <col min="76" max="76" width="16.7142857142857" style="42" customWidth="1"/>
    <col min="77" max="77" width="17.5714285714286" style="42" customWidth="1"/>
    <col min="78" max="78" width="16.7142857142857" style="42" customWidth="1"/>
    <col min="79" max="80" width="17.5714285714286" style="142" customWidth="1"/>
    <col min="81" max="81" width="21.5714285714286" style="42" customWidth="1"/>
    <col min="82" max="82" width="17.8571428571429" style="42" customWidth="1"/>
    <col min="83" max="83" width="21.1428571428571" style="42" customWidth="1"/>
    <col min="84" max="84" width="20.2857142857143" style="19" customWidth="1"/>
    <col min="85" max="85" width="19.7142857142857" style="19" customWidth="1"/>
    <col min="86" max="86" width="20.5714285714286" style="19" customWidth="1"/>
    <col min="87" max="88" width="19" style="19" customWidth="1"/>
    <col min="89" max="89" width="51.5714285714286" style="143" customWidth="1"/>
    <col min="90" max="90" width="29" style="143" customWidth="1"/>
    <col min="91" max="1024" width="9.14285714285714" style="3"/>
  </cols>
  <sheetData>
    <row r="1" s="1" customFormat="1" ht="108" spans="1:90">
      <c r="A1" s="8" t="s">
        <v>11505</v>
      </c>
      <c r="B1" s="8" t="s">
        <v>11506</v>
      </c>
      <c r="C1" s="8" t="s">
        <v>11507</v>
      </c>
      <c r="D1" s="8" t="s">
        <v>11508</v>
      </c>
      <c r="E1" s="8" t="s">
        <v>11509</v>
      </c>
      <c r="F1" s="8" t="s">
        <v>11510</v>
      </c>
      <c r="G1" s="27" t="s">
        <v>11511</v>
      </c>
      <c r="H1" s="27" t="s">
        <v>11512</v>
      </c>
      <c r="I1" s="8" t="s">
        <v>11513</v>
      </c>
      <c r="J1" s="8" t="s">
        <v>11514</v>
      </c>
      <c r="K1" s="8" t="s">
        <v>11515</v>
      </c>
      <c r="L1" s="8" t="s">
        <v>12014</v>
      </c>
      <c r="M1" s="8" t="s">
        <v>11522</v>
      </c>
      <c r="N1" s="146" t="s">
        <v>12015</v>
      </c>
      <c r="O1" s="146" t="s">
        <v>12016</v>
      </c>
      <c r="P1" s="146" t="s">
        <v>12017</v>
      </c>
      <c r="Q1" s="146" t="s">
        <v>12018</v>
      </c>
      <c r="R1" s="8" t="s">
        <v>12019</v>
      </c>
      <c r="S1" s="8" t="s">
        <v>12020</v>
      </c>
      <c r="T1" s="131" t="s">
        <v>12021</v>
      </c>
      <c r="U1" s="8" t="s">
        <v>11792</v>
      </c>
      <c r="V1" s="8" t="s">
        <v>11793</v>
      </c>
      <c r="W1" s="8" t="s">
        <v>12022</v>
      </c>
      <c r="X1" s="8" t="s">
        <v>12023</v>
      </c>
      <c r="Y1" s="8" t="s">
        <v>11540</v>
      </c>
      <c r="Z1" s="8" t="s">
        <v>12024</v>
      </c>
      <c r="AA1" s="131" t="s">
        <v>12025</v>
      </c>
      <c r="AB1" s="131" t="s">
        <v>12026</v>
      </c>
      <c r="AC1" s="8" t="s">
        <v>12027</v>
      </c>
      <c r="AD1" s="8" t="s">
        <v>12028</v>
      </c>
      <c r="AE1" s="8" t="s">
        <v>12029</v>
      </c>
      <c r="AF1" s="8" t="s">
        <v>12030</v>
      </c>
      <c r="AG1" s="8" t="s">
        <v>12031</v>
      </c>
      <c r="AH1" s="8" t="s">
        <v>12032</v>
      </c>
      <c r="AI1" s="8" t="s">
        <v>12033</v>
      </c>
      <c r="AJ1" s="8" t="s">
        <v>12034</v>
      </c>
      <c r="AK1" s="8" t="s">
        <v>12035</v>
      </c>
      <c r="AL1" s="8" t="s">
        <v>12036</v>
      </c>
      <c r="AM1" s="8" t="s">
        <v>12037</v>
      </c>
      <c r="AN1" s="8" t="s">
        <v>12038</v>
      </c>
      <c r="AO1" s="8" t="s">
        <v>12039</v>
      </c>
      <c r="AP1" s="8" t="s">
        <v>12040</v>
      </c>
      <c r="AQ1" s="8" t="s">
        <v>12041</v>
      </c>
      <c r="AR1" s="8" t="s">
        <v>11545</v>
      </c>
      <c r="AS1" s="8" t="s">
        <v>12042</v>
      </c>
      <c r="AT1" s="8" t="s">
        <v>12043</v>
      </c>
      <c r="AU1" s="8" t="s">
        <v>12044</v>
      </c>
      <c r="AV1" s="8" t="s">
        <v>12045</v>
      </c>
      <c r="AW1" s="8" t="s">
        <v>12046</v>
      </c>
      <c r="AX1" s="8" t="s">
        <v>12047</v>
      </c>
      <c r="AY1" s="8" t="s">
        <v>12048</v>
      </c>
      <c r="AZ1" s="8" t="s">
        <v>12049</v>
      </c>
      <c r="BA1" s="8" t="s">
        <v>12050</v>
      </c>
      <c r="BB1" s="8" t="s">
        <v>12051</v>
      </c>
      <c r="BC1" s="8" t="s">
        <v>11548</v>
      </c>
      <c r="BD1" s="8" t="s">
        <v>11550</v>
      </c>
      <c r="BE1" s="8" t="s">
        <v>12052</v>
      </c>
      <c r="BF1" s="8" t="s">
        <v>12053</v>
      </c>
      <c r="BG1" s="8" t="s">
        <v>12054</v>
      </c>
      <c r="BH1" s="8" t="s">
        <v>12055</v>
      </c>
      <c r="BI1" s="8" t="s">
        <v>11799</v>
      </c>
      <c r="BJ1" s="131" t="s">
        <v>12056</v>
      </c>
      <c r="BK1" s="8" t="s">
        <v>11558</v>
      </c>
      <c r="BL1" s="12" t="s">
        <v>11559</v>
      </c>
      <c r="BM1" s="13" t="s">
        <v>11560</v>
      </c>
      <c r="BN1" s="13" t="s">
        <v>11561</v>
      </c>
      <c r="BO1" s="13" t="s">
        <v>11562</v>
      </c>
      <c r="BP1" s="13" t="s">
        <v>11566</v>
      </c>
      <c r="BQ1" s="13" t="s">
        <v>11567</v>
      </c>
      <c r="BR1" s="13" t="s">
        <v>11567</v>
      </c>
      <c r="BS1" s="13" t="s">
        <v>11568</v>
      </c>
      <c r="BT1" s="13" t="s">
        <v>11885</v>
      </c>
      <c r="BU1" s="13" t="s">
        <v>12057</v>
      </c>
      <c r="BV1" s="13" t="s">
        <v>12058</v>
      </c>
      <c r="BW1" s="13" t="s">
        <v>12059</v>
      </c>
      <c r="BX1" s="13" t="s">
        <v>12059</v>
      </c>
      <c r="BY1" s="13" t="s">
        <v>12060</v>
      </c>
      <c r="BZ1" s="13" t="s">
        <v>12061</v>
      </c>
      <c r="CA1" s="13" t="s">
        <v>12062</v>
      </c>
      <c r="CB1" s="47" t="s">
        <v>12063</v>
      </c>
      <c r="CC1" s="13" t="s">
        <v>11573</v>
      </c>
      <c r="CD1" s="13" t="s">
        <v>12064</v>
      </c>
      <c r="CE1" s="13" t="s">
        <v>12065</v>
      </c>
      <c r="CF1" s="33" t="s">
        <v>12066</v>
      </c>
      <c r="CG1" s="33" t="s">
        <v>12067</v>
      </c>
      <c r="CH1" s="34" t="s">
        <v>11576</v>
      </c>
      <c r="CI1" s="34" t="s">
        <v>11577</v>
      </c>
      <c r="CJ1" s="34"/>
      <c r="CK1" s="149"/>
      <c r="CL1" s="149"/>
    </row>
    <row r="2" s="2" customFormat="1" ht="38.25" customHeight="1" spans="1:88">
      <c r="A2" s="9" t="s">
        <v>12068</v>
      </c>
      <c r="B2" s="9" t="s">
        <v>11579</v>
      </c>
      <c r="C2" s="9" t="s">
        <v>11580</v>
      </c>
      <c r="D2" s="9" t="s">
        <v>11581</v>
      </c>
      <c r="E2" s="9" t="s">
        <v>11582</v>
      </c>
      <c r="F2" s="9" t="s">
        <v>11583</v>
      </c>
      <c r="G2" s="29" t="s">
        <v>11584</v>
      </c>
      <c r="H2" s="29" t="s">
        <v>11585</v>
      </c>
      <c r="I2" s="9" t="s">
        <v>11586</v>
      </c>
      <c r="J2" s="9" t="s">
        <v>11587</v>
      </c>
      <c r="K2" s="9" t="s">
        <v>11588</v>
      </c>
      <c r="L2" s="9" t="s">
        <v>12069</v>
      </c>
      <c r="M2" s="9" t="s">
        <v>11595</v>
      </c>
      <c r="N2" s="9" t="s">
        <v>12070</v>
      </c>
      <c r="O2" s="9" t="s">
        <v>12071</v>
      </c>
      <c r="P2" s="9" t="s">
        <v>12072</v>
      </c>
      <c r="Q2" s="9" t="s">
        <v>12073</v>
      </c>
      <c r="R2" s="9" t="s">
        <v>12074</v>
      </c>
      <c r="S2" s="9" t="s">
        <v>12075</v>
      </c>
      <c r="T2" s="132" t="s">
        <v>156</v>
      </c>
      <c r="U2" s="9" t="s">
        <v>11815</v>
      </c>
      <c r="V2" s="9" t="s">
        <v>11816</v>
      </c>
      <c r="W2" s="9" t="s">
        <v>12076</v>
      </c>
      <c r="X2" s="9" t="s">
        <v>12077</v>
      </c>
      <c r="Y2" s="9" t="s">
        <v>11613</v>
      </c>
      <c r="Z2" s="9" t="s">
        <v>12078</v>
      </c>
      <c r="AA2" s="132" t="s">
        <v>126</v>
      </c>
      <c r="AB2" s="132" t="s">
        <v>126</v>
      </c>
      <c r="AC2" s="9" t="s">
        <v>12079</v>
      </c>
      <c r="AD2" s="9" t="s">
        <v>12080</v>
      </c>
      <c r="AE2" s="9" t="s">
        <v>12081</v>
      </c>
      <c r="AF2" s="9" t="s">
        <v>12082</v>
      </c>
      <c r="AG2" s="9" t="s">
        <v>12083</v>
      </c>
      <c r="AH2" s="9" t="s">
        <v>12084</v>
      </c>
      <c r="AI2" s="9" t="s">
        <v>12085</v>
      </c>
      <c r="AJ2" s="9" t="s">
        <v>12086</v>
      </c>
      <c r="AK2" s="9" t="s">
        <v>12087</v>
      </c>
      <c r="AL2" s="9" t="s">
        <v>12088</v>
      </c>
      <c r="AM2" s="9" t="s">
        <v>12089</v>
      </c>
      <c r="AN2" s="9" t="s">
        <v>12090</v>
      </c>
      <c r="AO2" s="9" t="s">
        <v>12091</v>
      </c>
      <c r="AP2" s="9" t="s">
        <v>12092</v>
      </c>
      <c r="AQ2" s="9" t="s">
        <v>12093</v>
      </c>
      <c r="AR2" s="9" t="s">
        <v>11618</v>
      </c>
      <c r="AS2" s="9" t="s">
        <v>12094</v>
      </c>
      <c r="AT2" s="9" t="s">
        <v>12095</v>
      </c>
      <c r="AU2" s="9" t="s">
        <v>12096</v>
      </c>
      <c r="AV2" s="9" t="s">
        <v>12097</v>
      </c>
      <c r="AW2" s="9" t="s">
        <v>12098</v>
      </c>
      <c r="AX2" s="9" t="s">
        <v>12099</v>
      </c>
      <c r="AY2" s="9" t="s">
        <v>12100</v>
      </c>
      <c r="AZ2" s="9" t="s">
        <v>12101</v>
      </c>
      <c r="BA2" s="9" t="s">
        <v>12102</v>
      </c>
      <c r="BB2" s="9" t="s">
        <v>12103</v>
      </c>
      <c r="BC2" s="9" t="s">
        <v>11621</v>
      </c>
      <c r="BD2" s="9" t="s">
        <v>11623</v>
      </c>
      <c r="BE2" s="9" t="s">
        <v>12104</v>
      </c>
      <c r="BF2" s="9" t="s">
        <v>12105</v>
      </c>
      <c r="BG2" s="9" t="s">
        <v>12106</v>
      </c>
      <c r="BH2" s="9" t="s">
        <v>12107</v>
      </c>
      <c r="BI2" s="9" t="s">
        <v>11822</v>
      </c>
      <c r="BJ2" s="132" t="s">
        <v>220</v>
      </c>
      <c r="BK2" s="9" t="s">
        <v>11631</v>
      </c>
      <c r="BL2" s="14"/>
      <c r="BM2" s="13"/>
      <c r="BN2" s="13"/>
      <c r="BO2" s="17"/>
      <c r="BP2" s="17"/>
      <c r="BQ2" s="17"/>
      <c r="BR2" s="17"/>
      <c r="BS2" s="17"/>
      <c r="BT2" s="17"/>
      <c r="BU2" s="17"/>
      <c r="BV2" s="17"/>
      <c r="BW2" s="17"/>
      <c r="BX2" s="17"/>
      <c r="BY2" s="17"/>
      <c r="BZ2" s="17"/>
      <c r="CA2" s="17"/>
      <c r="CB2" s="108"/>
      <c r="CC2" s="17"/>
      <c r="CD2" s="17"/>
      <c r="CE2" s="17"/>
      <c r="CF2" s="34"/>
      <c r="CG2" s="34"/>
      <c r="CH2" s="34"/>
      <c r="CI2" s="34"/>
      <c r="CJ2" s="34"/>
    </row>
    <row r="3" s="1" customFormat="1" ht="52.5" customHeight="1" spans="1:88">
      <c r="A3" s="10" t="s">
        <v>12108</v>
      </c>
      <c r="B3" s="10" t="s">
        <v>12109</v>
      </c>
      <c r="C3" s="10" t="s">
        <v>12110</v>
      </c>
      <c r="D3" s="10" t="s">
        <v>12111</v>
      </c>
      <c r="E3" s="10" t="s">
        <v>12112</v>
      </c>
      <c r="F3" s="10" t="s">
        <v>12113</v>
      </c>
      <c r="G3" s="10">
        <v>112300</v>
      </c>
      <c r="H3" s="10">
        <v>112400</v>
      </c>
      <c r="I3" s="10" t="s">
        <v>12114</v>
      </c>
      <c r="J3" s="10" t="s">
        <v>12115</v>
      </c>
      <c r="K3" s="10" t="s">
        <v>12116</v>
      </c>
      <c r="L3" s="10" t="s">
        <v>12117</v>
      </c>
      <c r="M3" s="10" t="s">
        <v>12118</v>
      </c>
      <c r="N3" s="147">
        <v>32010</v>
      </c>
      <c r="O3" s="147">
        <v>32020</v>
      </c>
      <c r="P3" s="147">
        <v>32030</v>
      </c>
      <c r="Q3" s="147">
        <v>32040</v>
      </c>
      <c r="R3" s="10" t="s">
        <v>12119</v>
      </c>
      <c r="S3" s="10" t="s">
        <v>12120</v>
      </c>
      <c r="T3" s="10" t="s">
        <v>12121</v>
      </c>
      <c r="U3" s="10" t="s">
        <v>12122</v>
      </c>
      <c r="V3" s="10" t="s">
        <v>12123</v>
      </c>
      <c r="W3" s="10" t="s">
        <v>12124</v>
      </c>
      <c r="X3" s="10" t="s">
        <v>12125</v>
      </c>
      <c r="Y3" s="10" t="s">
        <v>12126</v>
      </c>
      <c r="Z3" s="10" t="s">
        <v>12127</v>
      </c>
      <c r="AA3" s="10" t="s">
        <v>12128</v>
      </c>
      <c r="AB3" s="10" t="s">
        <v>12129</v>
      </c>
      <c r="AC3" s="10" t="s">
        <v>12130</v>
      </c>
      <c r="AD3" s="10" t="s">
        <v>12131</v>
      </c>
      <c r="AE3" s="10" t="s">
        <v>12132</v>
      </c>
      <c r="AF3" s="10" t="s">
        <v>12133</v>
      </c>
      <c r="AG3" s="10" t="s">
        <v>12134</v>
      </c>
      <c r="AH3" s="10" t="s">
        <v>12135</v>
      </c>
      <c r="AI3" s="10" t="s">
        <v>12136</v>
      </c>
      <c r="AJ3" s="10" t="s">
        <v>12137</v>
      </c>
      <c r="AK3" s="10" t="s">
        <v>12138</v>
      </c>
      <c r="AL3" s="10" t="s">
        <v>12139</v>
      </c>
      <c r="AM3" s="10" t="s">
        <v>12140</v>
      </c>
      <c r="AN3" s="10" t="s">
        <v>12141</v>
      </c>
      <c r="AO3" s="10" t="s">
        <v>12142</v>
      </c>
      <c r="AP3" s="10" t="s">
        <v>12143</v>
      </c>
      <c r="AQ3" s="10" t="s">
        <v>12144</v>
      </c>
      <c r="AR3" s="10" t="s">
        <v>12145</v>
      </c>
      <c r="AS3" s="10" t="s">
        <v>12146</v>
      </c>
      <c r="AT3" s="10" t="s">
        <v>12147</v>
      </c>
      <c r="AU3" s="10" t="s">
        <v>12148</v>
      </c>
      <c r="AV3" s="10" t="s">
        <v>12149</v>
      </c>
      <c r="AW3" s="10" t="s">
        <v>12150</v>
      </c>
      <c r="AX3" s="10" t="s">
        <v>12151</v>
      </c>
      <c r="AY3" s="10" t="s">
        <v>12152</v>
      </c>
      <c r="AZ3" s="10" t="s">
        <v>12153</v>
      </c>
      <c r="BA3" s="10" t="s">
        <v>12154</v>
      </c>
      <c r="BB3" s="10" t="s">
        <v>12155</v>
      </c>
      <c r="BC3" s="10" t="s">
        <v>12156</v>
      </c>
      <c r="BD3" s="10" t="s">
        <v>12157</v>
      </c>
      <c r="BE3" s="10">
        <v>35710</v>
      </c>
      <c r="BF3" s="10" t="s">
        <v>12158</v>
      </c>
      <c r="BG3" s="10" t="s">
        <v>12159</v>
      </c>
      <c r="BH3" s="10" t="s">
        <v>12160</v>
      </c>
      <c r="BI3" s="10" t="s">
        <v>12161</v>
      </c>
      <c r="BJ3" s="10" t="s">
        <v>12162</v>
      </c>
      <c r="BK3" s="10" t="s">
        <v>12163</v>
      </c>
      <c r="BL3" s="15"/>
      <c r="BM3" s="16"/>
      <c r="BN3" s="16"/>
      <c r="BO3" s="46" t="s">
        <v>11683</v>
      </c>
      <c r="BP3" s="16" t="s">
        <v>11522</v>
      </c>
      <c r="BQ3" s="16" t="s">
        <v>12164</v>
      </c>
      <c r="BR3" s="16" t="s">
        <v>12165</v>
      </c>
      <c r="BS3" s="16" t="s">
        <v>11686</v>
      </c>
      <c r="BT3" s="16" t="s">
        <v>11687</v>
      </c>
      <c r="BU3" s="16" t="s">
        <v>12166</v>
      </c>
      <c r="BV3" s="16" t="s">
        <v>12167</v>
      </c>
      <c r="BW3" s="16" t="s">
        <v>307</v>
      </c>
      <c r="BX3" s="16" t="s">
        <v>11871</v>
      </c>
      <c r="BY3" s="16" t="s">
        <v>12168</v>
      </c>
      <c r="BZ3" s="16" t="s">
        <v>414</v>
      </c>
      <c r="CA3" s="16" t="s">
        <v>12020</v>
      </c>
      <c r="CB3" s="122"/>
      <c r="CC3" s="16" t="s">
        <v>11695</v>
      </c>
      <c r="CD3" s="16" t="s">
        <v>12169</v>
      </c>
      <c r="CE3" s="16" t="s">
        <v>12170</v>
      </c>
      <c r="CF3" s="35" t="s">
        <v>12171</v>
      </c>
      <c r="CG3" s="35" t="s">
        <v>12172</v>
      </c>
      <c r="CH3" s="35" t="s">
        <v>11698</v>
      </c>
      <c r="CI3" s="35" t="s">
        <v>11699</v>
      </c>
      <c r="CJ3" s="37" t="s">
        <v>11700</v>
      </c>
    </row>
    <row r="4" spans="1:90">
      <c r="A4" s="24"/>
      <c r="B4" s="144"/>
      <c r="C4" s="24"/>
      <c r="D4" s="145"/>
      <c r="E4" s="145"/>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148"/>
      <c r="BF4" s="25"/>
      <c r="BG4" s="25"/>
      <c r="BH4" s="24"/>
      <c r="BI4" s="24"/>
      <c r="BJ4" s="25"/>
      <c r="BK4" s="25"/>
      <c r="BL4" s="25"/>
      <c r="BM4" s="6">
        <f>IF(AND(D4&gt;4678396.48217382,D4&lt;4924789.13601513),0,1)</f>
        <v>1</v>
      </c>
      <c r="BN4" s="6">
        <f>IF(AND(E4&gt;1554744.35667513,E4&lt;1771650.40247209),0,1)</f>
        <v>1</v>
      </c>
      <c r="BO4" s="82">
        <f>+IF(BC4&lt;3,IF(I4="",0,IF(I4&gt;0,0,1)),0)</f>
        <v>0</v>
      </c>
      <c r="BP4" s="82">
        <f>IF(BC4&lt;3,IF(OR(M4=9999,M4&lt;=('[2]Input anno'!$A$1)),0,1),0)</f>
        <v>0</v>
      </c>
      <c r="BQ4" s="82">
        <f>IF(BC4&lt;3,IF(OR(N4=9800,N4=9999,N4&lt;='[2]Input anno'!$A$1),0,1),0)</f>
        <v>0</v>
      </c>
      <c r="BR4" s="82">
        <f>IF(BC4&lt;3,IF(OR(P4=9800,P4=9999,P4&lt;='[2]Input anno'!$A$1),0,1),0)</f>
        <v>0</v>
      </c>
      <c r="BS4" s="82">
        <f>+IF(BC4=3,IF(M4='[2]Input anno'!$A$1,0,1),0)</f>
        <v>0</v>
      </c>
      <c r="BT4" s="82">
        <f>+IF(BC4&lt;3,IF(M4&lt;&gt;9999,IF(AND(M4&lt;N4,M4&lt;P4),0,1),0),0)</f>
        <v>1</v>
      </c>
      <c r="BU4" s="82">
        <f>+IF(BC4&lt;3,IF(AND(O4&gt;0,O4&lt;6),0,1),0)</f>
        <v>1</v>
      </c>
      <c r="BV4" s="82">
        <f>+IF(BC4&lt;3,IF(OR(Q4=1,Q4=2,Q4=3,Q4=4,Q4=5),0,1),0)</f>
        <v>1</v>
      </c>
      <c r="BW4" s="82">
        <f>+IF(BC4&lt;3,IF(U4&gt;0,0,1),0)</f>
        <v>1</v>
      </c>
      <c r="BX4" s="82">
        <f>+IF(AND(BC4&lt;3,S4&gt;0),IF(V4&gt;0,0,1),0)</f>
        <v>0</v>
      </c>
      <c r="BY4" s="82">
        <f>+IF(BC4&lt;3,IF(AND(Y4&gt;0,Y4&lt;5),0,1),0)</f>
        <v>1</v>
      </c>
      <c r="BZ4" s="82">
        <f>+IF(BC4&lt;3,IF(AND(L4&gt;0,L4&lt;6),0,1),0)</f>
        <v>1</v>
      </c>
      <c r="CA4" s="19">
        <f>+IF(BC4&lt;3,IF(S4&gt;0,0,1),0)</f>
        <v>1</v>
      </c>
      <c r="CB4" s="123">
        <f>IF(BC4&lt;3,IF(S4&lt;=(R4*1000*365),0,1),0)</f>
        <v>0</v>
      </c>
      <c r="CC4" s="19">
        <f>+IF(BC4&lt;3,IF(M4&lt;&gt;9999,IF(M4&gt;=2014,IF(BD4="A",0,1),0),IF(BD4="X",0,1)),0)</f>
        <v>0</v>
      </c>
      <c r="CD4" s="19">
        <f>+IF(BC4&lt;3,IF(N4&lt;9800,IF(N4&gt;=2014,IF(BE4="A",0,1),0),IF(N4=9999,IF(BE4="X",0,1),IF(BE4="A",0,1))),0)</f>
        <v>0</v>
      </c>
      <c r="CE4" s="19">
        <f>+IF(BC4&lt;3,IF(P4&lt;9800,IF(P4&gt;=2014,IF(BF4="A",0,1),0),IF(P4=9999,IF(BF4="X",0,1),IF(BF4="A",0,1))),0)</f>
        <v>0</v>
      </c>
      <c r="CF4" s="36">
        <f>+IF(BC4&lt;3,IF(AND(N4&lt;&gt;9800,N4&lt;&gt;9999),IF(AND(N4&gt;=2019,O4&lt;4),1,0),0),0)</f>
        <v>0</v>
      </c>
      <c r="CG4" s="36">
        <f>+IF(BC4&lt;3,IF(AND(P4&lt;&gt;9800,P4&lt;&gt;9999),IF(AND(P4&gt;=2019,Q4&lt;4),1,0),0),0)</f>
        <v>0</v>
      </c>
      <c r="CH4" s="36">
        <f>+IF(BC4&lt;3,IF(M4=9999,0,IF(M4&gt;=2014,IF(AND(N4&gt;M4,P4&gt;M4,O4&gt;=4,Q4&gt;=4),0,1),0)),0)</f>
        <v>0</v>
      </c>
      <c r="CI4" s="36">
        <f>+IF(BC4&lt;3,IF(M4=9999,0,IF(M4&gt;=2015,IF(COUNTBLANK(B4:BK4)=0,0,1),0)),0)</f>
        <v>0</v>
      </c>
      <c r="CJ4" s="38">
        <f>+IF(AND(M4='[2]Input anno'!$A$1,BC4=1),COUNTBLANK(B4:BK4),0)</f>
        <v>0</v>
      </c>
      <c r="CK4" s="84" t="s">
        <v>11560</v>
      </c>
      <c r="CL4" s="84" t="str">
        <f>IF(SUM(BM:BM)=0,"OK","errore su coordinata Nord")</f>
        <v>errore su coordinata Nord</v>
      </c>
    </row>
    <row r="5" spans="1:90">
      <c r="A5" s="24"/>
      <c r="B5" s="24"/>
      <c r="C5" s="24"/>
      <c r="D5" s="145"/>
      <c r="E5" s="145"/>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148"/>
      <c r="BF5" s="25"/>
      <c r="BG5" s="25"/>
      <c r="BH5" s="24"/>
      <c r="BI5" s="24"/>
      <c r="BJ5" s="25"/>
      <c r="BK5" s="25"/>
      <c r="BL5" s="25"/>
      <c r="BM5" s="25"/>
      <c r="BN5" s="25"/>
      <c r="BO5" s="82"/>
      <c r="BP5" s="82"/>
      <c r="BQ5" s="82"/>
      <c r="BR5" s="82"/>
      <c r="BS5" s="82"/>
      <c r="BT5" s="82"/>
      <c r="BU5" s="82"/>
      <c r="BV5" s="82"/>
      <c r="BW5" s="82"/>
      <c r="BX5" s="82"/>
      <c r="BY5" s="82"/>
      <c r="BZ5" s="82"/>
      <c r="CA5" s="19"/>
      <c r="CB5" s="19"/>
      <c r="CC5" s="19"/>
      <c r="CD5" s="19"/>
      <c r="CE5" s="19"/>
      <c r="CF5" s="36"/>
      <c r="CG5" s="36"/>
      <c r="CH5" s="36"/>
      <c r="CI5" s="36"/>
      <c r="CJ5" s="38"/>
      <c r="CK5" s="84" t="s">
        <v>11561</v>
      </c>
      <c r="CL5" s="84" t="str">
        <f>IF(SUM(BN:BN)=0,"OK","errore su coordinata Est")</f>
        <v>errore su coordinata Est</v>
      </c>
    </row>
    <row r="6" spans="1:90">
      <c r="A6" s="24"/>
      <c r="B6" s="24"/>
      <c r="C6" s="24"/>
      <c r="D6" s="145"/>
      <c r="E6" s="145"/>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148"/>
      <c r="BF6" s="25"/>
      <c r="BG6" s="25"/>
      <c r="BH6" s="24"/>
      <c r="BI6" s="24"/>
      <c r="BJ6" s="25"/>
      <c r="BK6" s="25"/>
      <c r="BL6" s="25"/>
      <c r="BM6" s="25"/>
      <c r="BN6" s="25"/>
      <c r="BO6" s="82"/>
      <c r="BP6" s="82"/>
      <c r="BQ6" s="82"/>
      <c r="BR6" s="82"/>
      <c r="BS6" s="82"/>
      <c r="BT6" s="82"/>
      <c r="BU6" s="82"/>
      <c r="BV6" s="82"/>
      <c r="BW6" s="82"/>
      <c r="BX6" s="82"/>
      <c r="BY6" s="82"/>
      <c r="BZ6" s="82"/>
      <c r="CA6" s="19"/>
      <c r="CB6" s="19"/>
      <c r="CC6" s="19"/>
      <c r="CD6" s="19"/>
      <c r="CE6" s="19"/>
      <c r="CF6" s="36"/>
      <c r="CG6" s="36"/>
      <c r="CH6" s="36"/>
      <c r="CI6" s="36"/>
      <c r="CJ6" s="38"/>
      <c r="CK6" s="89" t="s">
        <v>11683</v>
      </c>
      <c r="CL6" s="89" t="str">
        <f>IF(SUM(BO:BO)=0,"OK","errore su quota")</f>
        <v>OK</v>
      </c>
    </row>
    <row r="7" spans="1:90">
      <c r="A7" s="24"/>
      <c r="B7" s="24"/>
      <c r="C7" s="24"/>
      <c r="D7" s="145"/>
      <c r="E7" s="145"/>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148"/>
      <c r="BF7" s="25"/>
      <c r="BG7" s="25"/>
      <c r="BH7" s="24"/>
      <c r="BI7" s="24"/>
      <c r="BJ7" s="25"/>
      <c r="BK7" s="25"/>
      <c r="BL7" s="25"/>
      <c r="BM7" s="25"/>
      <c r="BN7" s="25"/>
      <c r="BO7" s="82"/>
      <c r="BP7" s="82"/>
      <c r="BQ7" s="82"/>
      <c r="BR7" s="82"/>
      <c r="BS7" s="82"/>
      <c r="BT7" s="82"/>
      <c r="BU7" s="82"/>
      <c r="BV7" s="82"/>
      <c r="BW7" s="82"/>
      <c r="BX7" s="82"/>
      <c r="BY7" s="82"/>
      <c r="BZ7" s="82"/>
      <c r="CA7" s="19"/>
      <c r="CB7" s="19"/>
      <c r="CC7" s="19"/>
      <c r="CD7" s="19"/>
      <c r="CE7" s="19"/>
      <c r="CF7" s="36"/>
      <c r="CG7" s="36"/>
      <c r="CH7" s="36"/>
      <c r="CI7" s="36"/>
      <c r="CJ7" s="38"/>
      <c r="CK7" s="89" t="s">
        <v>11522</v>
      </c>
      <c r="CL7" s="89" t="str">
        <f>IF(SUM(BP:BP)=0,"OK","errore su anno di costruzione")</f>
        <v>OK</v>
      </c>
    </row>
    <row r="8" spans="1:90">
      <c r="A8" s="24"/>
      <c r="B8" s="24"/>
      <c r="C8" s="24"/>
      <c r="D8" s="145"/>
      <c r="E8" s="145"/>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148"/>
      <c r="BF8" s="25"/>
      <c r="BG8" s="25"/>
      <c r="BH8" s="24"/>
      <c r="BI8" s="24"/>
      <c r="BJ8" s="25"/>
      <c r="BK8" s="25"/>
      <c r="BL8" s="25"/>
      <c r="BM8" s="25"/>
      <c r="BN8" s="25"/>
      <c r="BO8" s="82"/>
      <c r="BP8" s="82"/>
      <c r="BQ8" s="82"/>
      <c r="BR8" s="82"/>
      <c r="BS8" s="82"/>
      <c r="BT8" s="82"/>
      <c r="BU8" s="82"/>
      <c r="BV8" s="82"/>
      <c r="BW8" s="82"/>
      <c r="BX8" s="82"/>
      <c r="BY8" s="82"/>
      <c r="BZ8" s="82"/>
      <c r="CA8" s="19"/>
      <c r="CB8" s="19"/>
      <c r="CC8" s="19"/>
      <c r="CD8" s="19"/>
      <c r="CE8" s="19"/>
      <c r="CF8" s="36"/>
      <c r="CG8" s="36"/>
      <c r="CH8" s="36"/>
      <c r="CI8" s="36"/>
      <c r="CJ8" s="38"/>
      <c r="CK8" s="89" t="s">
        <v>12164</v>
      </c>
      <c r="CL8" s="89" t="str">
        <f>IF(SUM(BQ:BQ)=0,"OK","errore su anno di ristrutt. Op. civili")</f>
        <v>OK</v>
      </c>
    </row>
    <row r="9" spans="1:90">
      <c r="A9" s="24"/>
      <c r="B9" s="24"/>
      <c r="C9" s="24"/>
      <c r="D9" s="145"/>
      <c r="E9" s="145"/>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148"/>
      <c r="BF9" s="25"/>
      <c r="BG9" s="25"/>
      <c r="BH9" s="24"/>
      <c r="BI9" s="24"/>
      <c r="BJ9" s="25"/>
      <c r="BK9" s="25"/>
      <c r="BL9" s="25"/>
      <c r="BM9" s="25"/>
      <c r="BN9" s="25"/>
      <c r="BO9" s="82"/>
      <c r="BP9" s="82"/>
      <c r="BQ9" s="82"/>
      <c r="BR9" s="82"/>
      <c r="BS9" s="82"/>
      <c r="BT9" s="82"/>
      <c r="BU9" s="82"/>
      <c r="BV9" s="82"/>
      <c r="BW9" s="82"/>
      <c r="BX9" s="82"/>
      <c r="BY9" s="82"/>
      <c r="BZ9" s="82"/>
      <c r="CA9" s="19"/>
      <c r="CB9" s="19"/>
      <c r="CC9" s="19"/>
      <c r="CD9" s="19"/>
      <c r="CE9" s="19"/>
      <c r="CF9" s="36"/>
      <c r="CG9" s="36"/>
      <c r="CH9" s="36"/>
      <c r="CI9" s="36"/>
      <c r="CJ9" s="38"/>
      <c r="CK9" s="89" t="s">
        <v>12165</v>
      </c>
      <c r="CL9" s="89" t="str">
        <f>IF(SUM(BR:BR)=0,"OK","errore su anno di ristrutt. Op. civili")</f>
        <v>OK</v>
      </c>
    </row>
    <row r="10" ht="14.25" customHeight="1" spans="1:90">
      <c r="A10" s="24"/>
      <c r="B10" s="24"/>
      <c r="C10" s="24"/>
      <c r="D10" s="145"/>
      <c r="E10" s="145"/>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148"/>
      <c r="BF10" s="25"/>
      <c r="BG10" s="25"/>
      <c r="BH10" s="24"/>
      <c r="BI10" s="24"/>
      <c r="BJ10" s="25"/>
      <c r="BK10" s="25"/>
      <c r="BL10" s="25"/>
      <c r="BM10" s="25"/>
      <c r="BN10" s="25"/>
      <c r="BO10" s="82"/>
      <c r="BP10" s="82"/>
      <c r="BQ10" s="82"/>
      <c r="BR10" s="82"/>
      <c r="BS10" s="82"/>
      <c r="BT10" s="82"/>
      <c r="BU10" s="82"/>
      <c r="BV10" s="82"/>
      <c r="BW10" s="82"/>
      <c r="BX10" s="82"/>
      <c r="BY10" s="82"/>
      <c r="BZ10" s="82"/>
      <c r="CA10" s="19"/>
      <c r="CB10" s="19"/>
      <c r="CC10" s="19"/>
      <c r="CD10" s="19"/>
      <c r="CE10" s="19"/>
      <c r="CF10" s="36"/>
      <c r="CG10" s="36"/>
      <c r="CH10" s="36"/>
      <c r="CI10" s="36"/>
      <c r="CJ10" s="38"/>
      <c r="CK10" s="89" t="s">
        <v>11686</v>
      </c>
      <c r="CL10" s="89" t="str">
        <f>IF(SUM(BS:BS)=0,"OK","errore su anno di costruz. Op. stato 3")</f>
        <v>OK</v>
      </c>
    </row>
    <row r="11" spans="1:90">
      <c r="A11" s="24"/>
      <c r="B11" s="24"/>
      <c r="C11" s="24"/>
      <c r="D11" s="145"/>
      <c r="E11" s="145"/>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148"/>
      <c r="BF11" s="25"/>
      <c r="BG11" s="25"/>
      <c r="BH11" s="24"/>
      <c r="BI11" s="24"/>
      <c r="BJ11" s="25"/>
      <c r="BK11" s="25"/>
      <c r="BL11" s="25"/>
      <c r="BM11" s="25"/>
      <c r="BN11" s="25"/>
      <c r="BO11" s="82"/>
      <c r="BP11" s="82"/>
      <c r="BQ11" s="82"/>
      <c r="BR11" s="82"/>
      <c r="BS11" s="82"/>
      <c r="BT11" s="82"/>
      <c r="BU11" s="82"/>
      <c r="BV11" s="82"/>
      <c r="BW11" s="82"/>
      <c r="BX11" s="82"/>
      <c r="BY11" s="82"/>
      <c r="BZ11" s="82"/>
      <c r="CA11" s="19"/>
      <c r="CB11" s="19"/>
      <c r="CC11" s="19"/>
      <c r="CD11" s="19"/>
      <c r="CE11" s="19"/>
      <c r="CF11" s="36"/>
      <c r="CG11" s="36"/>
      <c r="CH11" s="36"/>
      <c r="CI11" s="36"/>
      <c r="CJ11" s="38"/>
      <c r="CK11" s="89" t="s">
        <v>11687</v>
      </c>
      <c r="CL11" s="89" t="str">
        <f>IF(SUM(BT:BT)=0,"OK","errore su anno di costruz. Vs anno ristrutt.")</f>
        <v>errore su anno di costruz. Vs anno ristrutt.</v>
      </c>
    </row>
    <row r="12" spans="1:90">
      <c r="A12" s="24"/>
      <c r="B12" s="24"/>
      <c r="C12" s="24"/>
      <c r="D12" s="145"/>
      <c r="E12" s="145"/>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148"/>
      <c r="BF12" s="25"/>
      <c r="BG12" s="25"/>
      <c r="BH12" s="24"/>
      <c r="BI12" s="24"/>
      <c r="BJ12" s="25"/>
      <c r="BK12" s="25"/>
      <c r="BL12" s="25"/>
      <c r="BM12" s="25"/>
      <c r="BN12" s="25"/>
      <c r="BO12" s="82"/>
      <c r="BP12" s="82"/>
      <c r="BQ12" s="82"/>
      <c r="BR12" s="82"/>
      <c r="BS12" s="82"/>
      <c r="BT12" s="82"/>
      <c r="BU12" s="82"/>
      <c r="BV12" s="82"/>
      <c r="BW12" s="82"/>
      <c r="BX12" s="82"/>
      <c r="BY12" s="82"/>
      <c r="BZ12" s="82"/>
      <c r="CA12" s="19"/>
      <c r="CB12" s="19"/>
      <c r="CC12" s="19"/>
      <c r="CD12" s="19"/>
      <c r="CE12" s="19"/>
      <c r="CF12" s="36"/>
      <c r="CG12" s="36"/>
      <c r="CH12" s="36"/>
      <c r="CI12" s="36"/>
      <c r="CJ12" s="38"/>
      <c r="CK12" s="89" t="s">
        <v>12166</v>
      </c>
      <c r="CL12" s="89" t="str">
        <f>IF(SUM(BU:BU)=0,"OK","errore su id. stato conserv. Op. civili")</f>
        <v>errore su id. stato conserv. Op. civili</v>
      </c>
    </row>
    <row r="13" spans="1:90">
      <c r="A13" s="24"/>
      <c r="B13" s="24"/>
      <c r="C13" s="24"/>
      <c r="D13" s="145"/>
      <c r="E13" s="145"/>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148"/>
      <c r="BF13" s="25"/>
      <c r="BG13" s="25"/>
      <c r="BH13" s="24"/>
      <c r="BI13" s="24"/>
      <c r="BJ13" s="25"/>
      <c r="BK13" s="25"/>
      <c r="BL13" s="25"/>
      <c r="BM13" s="25"/>
      <c r="BN13" s="25"/>
      <c r="BO13" s="82"/>
      <c r="BP13" s="82"/>
      <c r="BQ13" s="82"/>
      <c r="BR13" s="82"/>
      <c r="BS13" s="82"/>
      <c r="BT13" s="82"/>
      <c r="BU13" s="82"/>
      <c r="BV13" s="82"/>
      <c r="BW13" s="82"/>
      <c r="BX13" s="82"/>
      <c r="BY13" s="82"/>
      <c r="BZ13" s="82"/>
      <c r="CA13" s="19"/>
      <c r="CB13" s="19"/>
      <c r="CC13" s="19"/>
      <c r="CD13" s="19"/>
      <c r="CE13" s="19"/>
      <c r="CF13" s="36"/>
      <c r="CG13" s="36"/>
      <c r="CH13" s="36"/>
      <c r="CI13" s="36"/>
      <c r="CJ13" s="38"/>
      <c r="CK13" s="89" t="s">
        <v>12167</v>
      </c>
      <c r="CL13" s="89" t="str">
        <f>IF(SUM(BV:BV)=0,"OK","errore su id. stato conserv. Op. elettrom.")</f>
        <v>errore su id. stato conserv. Op. elettrom.</v>
      </c>
    </row>
    <row r="14" spans="1:90">
      <c r="A14" s="24"/>
      <c r="B14" s="24"/>
      <c r="C14" s="24"/>
      <c r="D14" s="145"/>
      <c r="E14" s="145"/>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148"/>
      <c r="BF14" s="25"/>
      <c r="BG14" s="25"/>
      <c r="BH14" s="24"/>
      <c r="BI14" s="24"/>
      <c r="BJ14" s="25"/>
      <c r="BK14" s="25"/>
      <c r="BL14" s="25"/>
      <c r="BM14" s="25"/>
      <c r="BN14" s="25"/>
      <c r="BO14" s="82"/>
      <c r="BP14" s="82"/>
      <c r="BQ14" s="82"/>
      <c r="BR14" s="82"/>
      <c r="BS14" s="82"/>
      <c r="BT14" s="82"/>
      <c r="BU14" s="82"/>
      <c r="BV14" s="82"/>
      <c r="BW14" s="82"/>
      <c r="BX14" s="82"/>
      <c r="BY14" s="82"/>
      <c r="BZ14" s="82"/>
      <c r="CA14" s="19"/>
      <c r="CB14" s="19"/>
      <c r="CC14" s="19"/>
      <c r="CD14" s="19"/>
      <c r="CE14" s="19"/>
      <c r="CF14" s="36"/>
      <c r="CG14" s="36"/>
      <c r="CH14" s="36"/>
      <c r="CI14" s="36"/>
      <c r="CJ14" s="38"/>
      <c r="CK14" s="89" t="s">
        <v>307</v>
      </c>
      <c r="CL14" s="89" t="str">
        <f>IF(SUM(BW:BW)=0,"OK","errore su potenza installata")</f>
        <v>errore su potenza installata</v>
      </c>
    </row>
    <row r="15" spans="1:90">
      <c r="A15" s="24"/>
      <c r="B15" s="24"/>
      <c r="C15" s="24"/>
      <c r="D15" s="145"/>
      <c r="E15" s="145"/>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148"/>
      <c r="BF15" s="25"/>
      <c r="BG15" s="25"/>
      <c r="BH15" s="25"/>
      <c r="BI15" s="24"/>
      <c r="BJ15" s="25"/>
      <c r="BK15" s="25"/>
      <c r="BL15" s="25"/>
      <c r="BM15" s="25"/>
      <c r="BN15" s="25"/>
      <c r="BO15" s="82"/>
      <c r="BP15" s="82"/>
      <c r="BQ15" s="82"/>
      <c r="BR15" s="82"/>
      <c r="BS15" s="82"/>
      <c r="BT15" s="82"/>
      <c r="BU15" s="82"/>
      <c r="BV15" s="82"/>
      <c r="BW15" s="82"/>
      <c r="BX15" s="82"/>
      <c r="BY15" s="82"/>
      <c r="BZ15" s="82"/>
      <c r="CA15" s="19"/>
      <c r="CB15" s="19"/>
      <c r="CC15" s="19"/>
      <c r="CD15" s="19"/>
      <c r="CE15" s="19"/>
      <c r="CF15" s="36"/>
      <c r="CG15" s="36"/>
      <c r="CH15" s="36"/>
      <c r="CI15" s="36"/>
      <c r="CJ15" s="38"/>
      <c r="CK15" s="89" t="s">
        <v>11871</v>
      </c>
      <c r="CL15" s="89" t="str">
        <f>IF(SUM(BX:BX)=0,"OK","consumo energia")</f>
        <v>OK</v>
      </c>
    </row>
    <row r="16" spans="1:90">
      <c r="A16" s="24"/>
      <c r="B16" s="24"/>
      <c r="C16" s="24"/>
      <c r="D16" s="145"/>
      <c r="E16" s="145"/>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148"/>
      <c r="BF16" s="25"/>
      <c r="BG16" s="25"/>
      <c r="BH16" s="25"/>
      <c r="BI16" s="24"/>
      <c r="BJ16" s="25"/>
      <c r="BK16" s="25"/>
      <c r="BL16" s="25"/>
      <c r="BM16" s="25"/>
      <c r="BN16" s="25"/>
      <c r="BO16" s="82"/>
      <c r="BP16" s="82"/>
      <c r="BQ16" s="82"/>
      <c r="BR16" s="82"/>
      <c r="BS16" s="82"/>
      <c r="BT16" s="82"/>
      <c r="BU16" s="82"/>
      <c r="BV16" s="82"/>
      <c r="BW16" s="82"/>
      <c r="BX16" s="82"/>
      <c r="BY16" s="82"/>
      <c r="BZ16" s="82"/>
      <c r="CA16" s="19"/>
      <c r="CB16" s="19"/>
      <c r="CC16" s="19"/>
      <c r="CD16" s="19"/>
      <c r="CE16" s="19"/>
      <c r="CF16" s="36"/>
      <c r="CG16" s="36"/>
      <c r="CH16" s="36"/>
      <c r="CI16" s="36"/>
      <c r="CJ16" s="38"/>
      <c r="CK16" s="89" t="s">
        <v>12168</v>
      </c>
      <c r="CL16" s="89" t="str">
        <f>IF(SUM(BY:BY)=0,"OK","errore su telecontrollo")</f>
        <v>errore su telecontrollo</v>
      </c>
    </row>
    <row r="17" spans="1:90">
      <c r="A17" s="24"/>
      <c r="B17" s="24"/>
      <c r="C17" s="24"/>
      <c r="D17" s="145"/>
      <c r="E17" s="145"/>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148"/>
      <c r="BF17" s="25"/>
      <c r="BG17" s="25"/>
      <c r="BH17" s="24"/>
      <c r="BI17" s="24"/>
      <c r="BJ17" s="25"/>
      <c r="BK17" s="25"/>
      <c r="BL17" s="25"/>
      <c r="BM17" s="25"/>
      <c r="BN17" s="25"/>
      <c r="BO17" s="82"/>
      <c r="BP17" s="82"/>
      <c r="BQ17" s="82"/>
      <c r="BR17" s="82"/>
      <c r="BS17" s="82"/>
      <c r="BT17" s="82"/>
      <c r="BU17" s="82"/>
      <c r="BV17" s="82"/>
      <c r="BW17" s="82"/>
      <c r="BX17" s="82"/>
      <c r="BY17" s="82"/>
      <c r="BZ17" s="82"/>
      <c r="CA17" s="19"/>
      <c r="CB17" s="19"/>
      <c r="CC17" s="19"/>
      <c r="CD17" s="19"/>
      <c r="CE17" s="19"/>
      <c r="CF17" s="36"/>
      <c r="CG17" s="36"/>
      <c r="CH17" s="36"/>
      <c r="CI17" s="36"/>
      <c r="CJ17" s="38"/>
      <c r="CK17" s="89" t="s">
        <v>414</v>
      </c>
      <c r="CL17" s="89" t="str">
        <f>IF(SUM(BZ:BZ)=0,"OK","errore su tipo trattamento")</f>
        <v>errore su tipo trattamento</v>
      </c>
    </row>
    <row r="18" spans="1:90">
      <c r="A18" s="24"/>
      <c r="B18" s="24"/>
      <c r="C18" s="24"/>
      <c r="D18" s="145"/>
      <c r="E18" s="145"/>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148"/>
      <c r="BF18" s="25"/>
      <c r="BG18" s="25"/>
      <c r="BH18" s="24"/>
      <c r="BI18" s="24"/>
      <c r="BJ18" s="25"/>
      <c r="BK18" s="25"/>
      <c r="BL18" s="25"/>
      <c r="BM18" s="25"/>
      <c r="BN18" s="25"/>
      <c r="BO18" s="82"/>
      <c r="BP18" s="82"/>
      <c r="BQ18" s="82"/>
      <c r="BR18" s="82"/>
      <c r="BS18" s="82"/>
      <c r="BT18" s="82"/>
      <c r="BU18" s="82"/>
      <c r="BV18" s="82"/>
      <c r="BW18" s="82"/>
      <c r="BX18" s="82"/>
      <c r="BY18" s="82"/>
      <c r="BZ18" s="82"/>
      <c r="CA18" s="19"/>
      <c r="CB18" s="19"/>
      <c r="CC18" s="19"/>
      <c r="CD18" s="19"/>
      <c r="CE18" s="19"/>
      <c r="CF18" s="36"/>
      <c r="CG18" s="36"/>
      <c r="CH18" s="36"/>
      <c r="CI18" s="36"/>
      <c r="CJ18" s="38"/>
      <c r="CK18" s="89" t="s">
        <v>12020</v>
      </c>
      <c r="CL18" s="89" t="str">
        <f>IF(SUM(CA:CA)=0,"OK","volume trattato non congruente")</f>
        <v>volume trattato non congruente</v>
      </c>
    </row>
    <row r="19" spans="1:90">
      <c r="A19" s="24"/>
      <c r="B19" s="24"/>
      <c r="C19" s="24"/>
      <c r="D19" s="145"/>
      <c r="E19" s="145"/>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148"/>
      <c r="BF19" s="25"/>
      <c r="BG19" s="25"/>
      <c r="BH19" s="24"/>
      <c r="BI19" s="24"/>
      <c r="BJ19" s="25"/>
      <c r="BK19" s="25"/>
      <c r="BL19" s="25"/>
      <c r="BM19" s="25"/>
      <c r="BN19" s="25"/>
      <c r="BO19" s="82"/>
      <c r="BP19" s="82"/>
      <c r="BQ19" s="82"/>
      <c r="BR19" s="82"/>
      <c r="BS19" s="82"/>
      <c r="BT19" s="82"/>
      <c r="BU19" s="82"/>
      <c r="BV19" s="82"/>
      <c r="BW19" s="82"/>
      <c r="BX19" s="82"/>
      <c r="BY19" s="82"/>
      <c r="BZ19" s="82"/>
      <c r="CA19" s="19"/>
      <c r="CB19" s="19"/>
      <c r="CC19" s="19"/>
      <c r="CD19" s="19"/>
      <c r="CE19" s="19"/>
      <c r="CF19" s="36"/>
      <c r="CG19" s="36"/>
      <c r="CH19" s="36"/>
      <c r="CI19" s="36"/>
      <c r="CJ19" s="38"/>
      <c r="CK19" s="150" t="s">
        <v>12173</v>
      </c>
      <c r="CL19" s="150" t="str">
        <f>IF(SUM(CB:CB)=0,"OK","Rapporto tra volume trattato e volume trattabile non congruente")</f>
        <v>OK</v>
      </c>
    </row>
    <row r="20" spans="1:90">
      <c r="A20" s="24"/>
      <c r="B20" s="24"/>
      <c r="C20" s="24"/>
      <c r="D20" s="145"/>
      <c r="E20" s="145"/>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148"/>
      <c r="BF20" s="25"/>
      <c r="BG20" s="25"/>
      <c r="BH20" s="24"/>
      <c r="BI20" s="24"/>
      <c r="BJ20" s="25"/>
      <c r="BK20" s="25"/>
      <c r="BL20" s="25"/>
      <c r="BM20" s="25"/>
      <c r="BN20" s="25"/>
      <c r="BO20" s="82"/>
      <c r="BP20" s="82"/>
      <c r="BQ20" s="82"/>
      <c r="BR20" s="82"/>
      <c r="BS20" s="82"/>
      <c r="BT20" s="82"/>
      <c r="BU20" s="82"/>
      <c r="BV20" s="82"/>
      <c r="BW20" s="82"/>
      <c r="BX20" s="82"/>
      <c r="BY20" s="82"/>
      <c r="BZ20" s="82"/>
      <c r="CA20" s="19"/>
      <c r="CB20" s="19"/>
      <c r="CC20" s="19"/>
      <c r="CD20" s="19"/>
      <c r="CE20" s="19"/>
      <c r="CF20" s="36"/>
      <c r="CG20" s="36"/>
      <c r="CH20" s="36"/>
      <c r="CI20" s="36"/>
      <c r="CJ20" s="38"/>
      <c r="CK20" s="89" t="s">
        <v>11695</v>
      </c>
      <c r="CL20" s="89" t="str">
        <f>IF(SUM(CC:CC)=0,"OK","indice confidenza non congruente con anno di costruzione")</f>
        <v>OK</v>
      </c>
    </row>
    <row r="21" spans="1:90">
      <c r="A21" s="24"/>
      <c r="B21" s="24"/>
      <c r="C21" s="24"/>
      <c r="D21" s="145"/>
      <c r="E21" s="145"/>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148"/>
      <c r="BF21" s="25"/>
      <c r="BG21" s="25"/>
      <c r="BH21" s="24"/>
      <c r="BI21" s="24"/>
      <c r="BJ21" s="25"/>
      <c r="BK21" s="25"/>
      <c r="BL21" s="25"/>
      <c r="BM21" s="25"/>
      <c r="BN21" s="25"/>
      <c r="BO21" s="82"/>
      <c r="BP21" s="82"/>
      <c r="BQ21" s="82"/>
      <c r="BR21" s="82"/>
      <c r="BS21" s="82"/>
      <c r="BT21" s="82"/>
      <c r="BU21" s="82"/>
      <c r="BV21" s="82"/>
      <c r="BW21" s="82"/>
      <c r="BX21" s="82"/>
      <c r="BY21" s="82"/>
      <c r="BZ21" s="82"/>
      <c r="CA21" s="19"/>
      <c r="CB21" s="19"/>
      <c r="CC21" s="19"/>
      <c r="CD21" s="19"/>
      <c r="CE21" s="19"/>
      <c r="CF21" s="36"/>
      <c r="CG21" s="36"/>
      <c r="CH21" s="36"/>
      <c r="CI21" s="36"/>
      <c r="CJ21" s="38"/>
      <c r="CK21" s="89" t="s">
        <v>12169</v>
      </c>
      <c r="CL21" s="89" t="str">
        <f>IF(SUM(CD:CD)=0,"OK","indice confidenza non congruente con anno di ristrutt. Op. civili")</f>
        <v>OK</v>
      </c>
    </row>
    <row r="22" spans="1:90">
      <c r="A22" s="24"/>
      <c r="B22" s="24"/>
      <c r="C22" s="24"/>
      <c r="D22" s="145"/>
      <c r="E22" s="145"/>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148"/>
      <c r="BF22" s="25"/>
      <c r="BG22" s="25"/>
      <c r="BH22" s="24"/>
      <c r="BI22" s="24"/>
      <c r="BJ22" s="25"/>
      <c r="BK22" s="25"/>
      <c r="BL22" s="25"/>
      <c r="BM22" s="25"/>
      <c r="BN22" s="25"/>
      <c r="BO22" s="82"/>
      <c r="BP22" s="82"/>
      <c r="BQ22" s="82"/>
      <c r="BR22" s="82"/>
      <c r="BS22" s="82"/>
      <c r="BT22" s="82"/>
      <c r="BU22" s="82"/>
      <c r="BV22" s="82"/>
      <c r="BW22" s="82"/>
      <c r="BX22" s="82"/>
      <c r="BY22" s="82"/>
      <c r="BZ22" s="82"/>
      <c r="CA22" s="19"/>
      <c r="CB22" s="19"/>
      <c r="CC22" s="19"/>
      <c r="CD22" s="19"/>
      <c r="CE22" s="19"/>
      <c r="CF22" s="36"/>
      <c r="CG22" s="36"/>
      <c r="CH22" s="36"/>
      <c r="CI22" s="36"/>
      <c r="CJ22" s="38"/>
      <c r="CK22" s="89" t="s">
        <v>12170</v>
      </c>
      <c r="CL22" s="89" t="str">
        <f>IF(SUM(CE:CE)=0,"OK","indice confidenza non congruente con anno di ristrutt. Op. elettrom.")</f>
        <v>OK</v>
      </c>
    </row>
    <row r="23" spans="1:90">
      <c r="A23" s="24"/>
      <c r="B23" s="24"/>
      <c r="C23" s="24"/>
      <c r="D23" s="145"/>
      <c r="E23" s="145"/>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148"/>
      <c r="BF23" s="25"/>
      <c r="BG23" s="25"/>
      <c r="BH23" s="24"/>
      <c r="BI23" s="24"/>
      <c r="BJ23" s="25"/>
      <c r="BK23" s="25"/>
      <c r="BL23" s="25"/>
      <c r="BM23" s="25"/>
      <c r="BN23" s="25"/>
      <c r="BO23" s="82"/>
      <c r="BP23" s="82"/>
      <c r="BQ23" s="82"/>
      <c r="BR23" s="82"/>
      <c r="BS23" s="82"/>
      <c r="BT23" s="82"/>
      <c r="BU23" s="82"/>
      <c r="BV23" s="82"/>
      <c r="BW23" s="82"/>
      <c r="BX23" s="82"/>
      <c r="BY23" s="82"/>
      <c r="BZ23" s="82"/>
      <c r="CA23" s="19"/>
      <c r="CB23" s="19"/>
      <c r="CC23" s="19"/>
      <c r="CD23" s="19"/>
      <c r="CE23" s="19"/>
      <c r="CF23" s="36"/>
      <c r="CG23" s="36"/>
      <c r="CH23" s="36"/>
      <c r="CI23" s="36"/>
      <c r="CJ23" s="38"/>
      <c r="CK23" s="126" t="s">
        <v>12174</v>
      </c>
      <c r="CL23" s="151" t="str">
        <f>IF(SUM(CF:CF)=0,"OK","conservazione opere CIVILI non congruente con anno di ristrutturazione &gt;=2018")</f>
        <v>OK</v>
      </c>
    </row>
    <row r="24" spans="1:90">
      <c r="A24" s="24"/>
      <c r="B24" s="24"/>
      <c r="C24" s="24"/>
      <c r="D24" s="145"/>
      <c r="E24" s="145"/>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148"/>
      <c r="BF24" s="25"/>
      <c r="BG24" s="25"/>
      <c r="BH24" s="24"/>
      <c r="BI24" s="24"/>
      <c r="BJ24" s="25"/>
      <c r="BK24" s="25"/>
      <c r="BL24" s="25"/>
      <c r="BM24" s="25"/>
      <c r="BN24" s="25"/>
      <c r="BO24" s="82"/>
      <c r="BP24" s="82"/>
      <c r="BQ24" s="82"/>
      <c r="BR24" s="82"/>
      <c r="BS24" s="82"/>
      <c r="BT24" s="82"/>
      <c r="BU24" s="82"/>
      <c r="BV24" s="82"/>
      <c r="BW24" s="82"/>
      <c r="BX24" s="82"/>
      <c r="BY24" s="82"/>
      <c r="BZ24" s="82"/>
      <c r="CA24" s="19"/>
      <c r="CB24" s="19"/>
      <c r="CC24" s="19"/>
      <c r="CD24" s="19"/>
      <c r="CE24" s="19"/>
      <c r="CF24" s="36"/>
      <c r="CG24" s="36"/>
      <c r="CH24" s="36"/>
      <c r="CI24" s="36"/>
      <c r="CJ24" s="38"/>
      <c r="CK24" s="126" t="s">
        <v>12175</v>
      </c>
      <c r="CL24" s="151" t="str">
        <f>IF(SUM(CF:CF)=0,"OK","conservazione opere ELETTROM non congruente con anno di ristrutturazione &gt;=2018")</f>
        <v>OK</v>
      </c>
    </row>
    <row r="25" spans="1:90">
      <c r="A25" s="24"/>
      <c r="B25" s="24"/>
      <c r="C25" s="24"/>
      <c r="D25" s="145"/>
      <c r="E25" s="145"/>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148"/>
      <c r="BF25" s="25"/>
      <c r="BG25" s="25"/>
      <c r="BH25" s="24"/>
      <c r="BI25" s="24"/>
      <c r="BJ25" s="25"/>
      <c r="BK25" s="25"/>
      <c r="BL25" s="25"/>
      <c r="BM25" s="25"/>
      <c r="BN25" s="25"/>
      <c r="BO25" s="82"/>
      <c r="BP25" s="82"/>
      <c r="BQ25" s="82"/>
      <c r="BR25" s="82"/>
      <c r="BS25" s="82"/>
      <c r="BT25" s="82"/>
      <c r="BU25" s="82"/>
      <c r="BV25" s="82"/>
      <c r="BW25" s="82"/>
      <c r="BX25" s="82"/>
      <c r="BY25" s="82"/>
      <c r="BZ25" s="82"/>
      <c r="CA25" s="19"/>
      <c r="CB25" s="19"/>
      <c r="CC25" s="19"/>
      <c r="CD25" s="19"/>
      <c r="CE25" s="19"/>
      <c r="CF25" s="36"/>
      <c r="CG25" s="36"/>
      <c r="CH25" s="36"/>
      <c r="CI25" s="36"/>
      <c r="CJ25" s="38"/>
      <c r="CK25" s="127" t="s">
        <v>11698</v>
      </c>
      <c r="CL25" s="151" t="str">
        <f>IF(SUM(CH:CH)=0,"OK","Anno ristrutt. e/o stato di conservazione non congruenti con anno di costruzione &gt;=2014")</f>
        <v>OK</v>
      </c>
    </row>
    <row r="26" spans="89:90">
      <c r="CK26" s="127" t="s">
        <v>11699</v>
      </c>
      <c r="CL26" s="151" t="str">
        <f>IF(SUM(CI:CI)=0,"OK","Errore: celle vuote in corrispondenza di opera costruita in anno &gt;=2015")</f>
        <v>OK</v>
      </c>
    </row>
    <row r="27" spans="89:90">
      <c r="CK27" s="37" t="s">
        <v>11700</v>
      </c>
      <c r="CL27" s="41" t="str">
        <f>IF(SUM(CJ:CJ)=0,"OK","Errore: verifica completezza su nuove opere")</f>
        <v>OK</v>
      </c>
    </row>
  </sheetData>
  <pageMargins left="0.75" right="0.75" top="1" bottom="1" header="0.511811023622047" footer="0.511811023622047"/>
  <pageSetup paperSize="9" orientation="portrait" horizontalDpi="300" verticalDpi="300"/>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B14"/>
  <sheetViews>
    <sheetView topLeftCell="K1" workbookViewId="0">
      <selection activeCell="R4" sqref="R4"/>
    </sheetView>
  </sheetViews>
  <sheetFormatPr defaultColWidth="8.71428571428571" defaultRowHeight="12.75"/>
  <cols>
    <col min="1" max="1" width="28.7142857142857" style="3" customWidth="1"/>
    <col min="2" max="2" width="27" style="3" customWidth="1"/>
    <col min="3" max="13" width="12.7142857142857" style="3" customWidth="1"/>
    <col min="15" max="15" width="9.14285714285714" style="32" customWidth="1"/>
    <col min="16" max="16" width="11" style="32" customWidth="1"/>
    <col min="17" max="18" width="9.14285714285714" style="32" customWidth="1"/>
    <col min="19" max="19" width="10.2857142857143" style="32" customWidth="1"/>
    <col min="20" max="21" width="9.14285714285714" style="32" customWidth="1"/>
    <col min="22" max="22" width="9.57142857142857" style="32" customWidth="1"/>
    <col min="23" max="23" width="12.4285714285714" style="32" customWidth="1"/>
    <col min="24" max="25" width="9.14285714285714" style="32" customWidth="1"/>
    <col min="27" max="27" width="51.5714285714286" style="113" customWidth="1"/>
    <col min="28" max="28" width="63.1428571428571" style="113" customWidth="1"/>
  </cols>
  <sheetData>
    <row r="1" ht="42.6" customHeight="1" spans="1:25">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12" t="s">
        <v>11559</v>
      </c>
      <c r="O1" s="13"/>
      <c r="P1" s="13"/>
      <c r="Q1" s="13"/>
      <c r="R1" s="13"/>
      <c r="S1" s="13"/>
      <c r="T1" s="13"/>
      <c r="U1" s="13"/>
      <c r="V1" s="13"/>
      <c r="W1" s="13"/>
      <c r="X1" s="13"/>
      <c r="Y1" s="13"/>
    </row>
    <row r="2" ht="100.7" customHeight="1" spans="1:25">
      <c r="A2" s="9" t="s">
        <v>11709</v>
      </c>
      <c r="B2" s="9" t="s">
        <v>11597</v>
      </c>
      <c r="C2" s="9" t="s">
        <v>11893</v>
      </c>
      <c r="D2" s="9" t="s">
        <v>11596</v>
      </c>
      <c r="E2" s="9" t="s">
        <v>11894</v>
      </c>
      <c r="F2" s="9" t="s">
        <v>11895</v>
      </c>
      <c r="G2" s="9" t="s">
        <v>11896</v>
      </c>
      <c r="H2" s="9" t="s">
        <v>11897</v>
      </c>
      <c r="I2" s="9" t="s">
        <v>11898</v>
      </c>
      <c r="J2" s="9" t="s">
        <v>11624</v>
      </c>
      <c r="K2" s="9" t="s">
        <v>11899</v>
      </c>
      <c r="L2" s="9" t="s">
        <v>11900</v>
      </c>
      <c r="M2" s="9" t="s">
        <v>11901</v>
      </c>
      <c r="N2" s="14"/>
      <c r="O2" s="13" t="s">
        <v>11883</v>
      </c>
      <c r="P2" s="13" t="s">
        <v>11566</v>
      </c>
      <c r="Q2" s="13" t="s">
        <v>11884</v>
      </c>
      <c r="R2" s="13" t="s">
        <v>11885</v>
      </c>
      <c r="S2" s="13" t="s">
        <v>11886</v>
      </c>
      <c r="T2" s="47" t="s">
        <v>11887</v>
      </c>
      <c r="U2" s="13" t="s">
        <v>11888</v>
      </c>
      <c r="V2" s="13" t="s">
        <v>11889</v>
      </c>
      <c r="W2" s="13" t="s">
        <v>11890</v>
      </c>
      <c r="X2" s="13" t="s">
        <v>11891</v>
      </c>
      <c r="Y2" s="13" t="s">
        <v>11892</v>
      </c>
    </row>
    <row r="3" ht="60" spans="1:25">
      <c r="A3" s="10" t="s">
        <v>12176</v>
      </c>
      <c r="B3" s="10" t="s">
        <v>12177</v>
      </c>
      <c r="C3" s="10" t="s">
        <v>12178</v>
      </c>
      <c r="D3" s="10" t="s">
        <v>12179</v>
      </c>
      <c r="E3" s="10" t="s">
        <v>12180</v>
      </c>
      <c r="F3" s="10" t="s">
        <v>12181</v>
      </c>
      <c r="G3" s="10" t="s">
        <v>12182</v>
      </c>
      <c r="H3" s="10" t="s">
        <v>12183</v>
      </c>
      <c r="I3" s="10" t="s">
        <v>12184</v>
      </c>
      <c r="J3" s="10" t="s">
        <v>12185</v>
      </c>
      <c r="K3" s="10" t="s">
        <v>12186</v>
      </c>
      <c r="L3" s="10" t="s">
        <v>12187</v>
      </c>
      <c r="M3" s="10" t="s">
        <v>12188</v>
      </c>
      <c r="N3" s="15"/>
      <c r="O3" s="46" t="s">
        <v>11915</v>
      </c>
      <c r="P3" s="16" t="s">
        <v>11916</v>
      </c>
      <c r="Q3" s="16" t="s">
        <v>11523</v>
      </c>
      <c r="R3" s="16" t="s">
        <v>11917</v>
      </c>
      <c r="S3" s="16" t="s">
        <v>11696</v>
      </c>
      <c r="T3" s="16" t="s">
        <v>11697</v>
      </c>
      <c r="U3" s="16" t="s">
        <v>11918</v>
      </c>
      <c r="V3" s="16" t="s">
        <v>11919</v>
      </c>
      <c r="W3" s="16" t="s">
        <v>11920</v>
      </c>
      <c r="X3" s="16" t="s">
        <v>11877</v>
      </c>
      <c r="Y3" s="16" t="s">
        <v>11921</v>
      </c>
    </row>
    <row r="4" spans="14:28">
      <c r="N4" s="3"/>
      <c r="O4" s="32">
        <f>+IF(AND(B4&gt;0,B4&lt;6),0,1)</f>
        <v>1</v>
      </c>
      <c r="P4" s="32">
        <f>IF(OR(C4=9999,C4&lt;=('[2]Input anno'!$A$1)),0,1)</f>
        <v>0</v>
      </c>
      <c r="Q4" s="32">
        <f>IF(OR(D4=9800,D4=9999,D4&lt;='[2]Input anno'!$A$1),0,1)</f>
        <v>0</v>
      </c>
      <c r="R4" s="19">
        <f>+IF(C4&lt;&gt;9999,IF(C4&lt;D4,0,1),0)</f>
        <v>1</v>
      </c>
      <c r="S4" s="32">
        <f>+IF(D4&lt;9800,IF(D4&gt;=2014,IF(J4&lt;="A",0,1),0),IF(D4=9999,IF(J4="X",0,1),IF(J4="A",0,1)))</f>
        <v>0</v>
      </c>
      <c r="T4" s="19">
        <f>+IF(AND(D4&lt;&gt;9800,D4&lt;&gt;9999),IF(AND(D4&gt;=2018,B4&lt;4),1,0),0)</f>
        <v>0</v>
      </c>
      <c r="U4" s="19">
        <f>+IF(AND(D4&lt;&gt;9800,D4&lt;&gt;9999),IF(D4&gt;=2014,IF(J4&lt;&gt;"A",1,0),0),0)</f>
        <v>0</v>
      </c>
      <c r="V4" s="32">
        <f>+IF(E4&gt;0,0,1)</f>
        <v>1</v>
      </c>
      <c r="W4" s="32">
        <f>+IF(F4&gt;0,0,1)</f>
        <v>1</v>
      </c>
      <c r="X4" s="32">
        <f>+IF(G4&gt;0,0,1)</f>
        <v>1</v>
      </c>
      <c r="Y4" s="32">
        <f>+IF(OR(H4=0,H4=1,H4="S",H4="N"),0,1)</f>
        <v>0</v>
      </c>
      <c r="AA4" s="21" t="s">
        <v>11915</v>
      </c>
      <c r="AB4" s="49" t="str">
        <f>IF(SUM(O:O)=0,"OK","stato di conservazione non congruente con codifiche ammesse")</f>
        <v>stato di conservazione non congruente con codifiche ammesse</v>
      </c>
    </row>
    <row r="5" spans="14:28">
      <c r="N5" s="3"/>
      <c r="R5" s="19"/>
      <c r="T5" s="19"/>
      <c r="U5" s="19"/>
      <c r="AA5" s="49" t="s">
        <v>11874</v>
      </c>
      <c r="AB5" s="49" t="str">
        <f>IF(SUM(P:P)=0,"OK","errore su anno installazione")</f>
        <v>OK</v>
      </c>
    </row>
    <row r="6" spans="14:28">
      <c r="N6" s="3"/>
      <c r="R6" s="19"/>
      <c r="T6" s="19"/>
      <c r="U6" s="19"/>
      <c r="AA6" s="49" t="s">
        <v>11523</v>
      </c>
      <c r="AB6" s="49" t="str">
        <f>IF(SUM(Q:Q)=0,"OK","errore su anni ristrutturazione")</f>
        <v>OK</v>
      </c>
    </row>
    <row r="7" spans="14:28">
      <c r="N7" s="3"/>
      <c r="R7" s="19"/>
      <c r="T7" s="19"/>
      <c r="U7" s="19"/>
      <c r="AA7" s="49" t="s">
        <v>11922</v>
      </c>
      <c r="AB7" s="49" t="str">
        <f>IF(SUM(R:R)=0,"OK","anno installazione non congruente con anno ristrutturazione")</f>
        <v>anno installazione non congruente con anno ristrutturazione</v>
      </c>
    </row>
    <row r="8" spans="14:28">
      <c r="N8" s="3"/>
      <c r="R8" s="19"/>
      <c r="T8" s="19"/>
      <c r="U8" s="19"/>
      <c r="AA8" s="49" t="s">
        <v>11923</v>
      </c>
      <c r="AB8" s="49" t="str">
        <f>IF(SUM(S:S)=0,"OK","indice confidenza non congruente con anno installazione")</f>
        <v>OK</v>
      </c>
    </row>
    <row r="9" spans="14:28">
      <c r="N9" s="3"/>
      <c r="R9" s="19"/>
      <c r="T9" s="19"/>
      <c r="U9" s="19"/>
      <c r="AA9" s="49" t="s">
        <v>11924</v>
      </c>
      <c r="AB9" s="49" t="str">
        <f>IF(SUM(T:T)=0,"OK","stato conservazione non congruente con anno ristrutturazione")</f>
        <v>OK</v>
      </c>
    </row>
    <row r="10" spans="14:28">
      <c r="N10" s="3"/>
      <c r="R10" s="19"/>
      <c r="T10" s="19"/>
      <c r="U10" s="19"/>
      <c r="AA10" s="49" t="s">
        <v>11925</v>
      </c>
      <c r="AB10" s="49" t="str">
        <f>IF(SUM(T:T)=0,"OK","indice confidenza non congruente con anno ristrutturazione")</f>
        <v>OK</v>
      </c>
    </row>
    <row r="11" spans="14:28">
      <c r="N11" s="3"/>
      <c r="R11" s="19"/>
      <c r="T11" s="19"/>
      <c r="U11" s="19"/>
      <c r="AA11" s="21" t="s">
        <v>341</v>
      </c>
      <c r="AB11" s="49" t="str">
        <f>IF(SUM(V:V)=0,"OK","potenza errata")</f>
        <v>potenza errata</v>
      </c>
    </row>
    <row r="12" spans="14:28">
      <c r="N12" s="3"/>
      <c r="R12" s="19"/>
      <c r="T12" s="19"/>
      <c r="U12" s="19"/>
      <c r="AA12" s="21" t="s">
        <v>343</v>
      </c>
      <c r="AB12" s="49" t="str">
        <f>IF(SUM(W:W)=0,"OK","portata errata")</f>
        <v>portata errata</v>
      </c>
    </row>
    <row r="13" spans="14:28">
      <c r="N13" s="3"/>
      <c r="R13" s="19"/>
      <c r="T13" s="19"/>
      <c r="U13" s="19"/>
      <c r="AA13" s="21" t="s">
        <v>345</v>
      </c>
      <c r="AB13" s="49" t="str">
        <f>IF(SUM(X:X)=0,"OK","prevalenza errata")</f>
        <v>prevalenza errata</v>
      </c>
    </row>
    <row r="14" spans="18:28">
      <c r="R14" s="19"/>
      <c r="T14" s="19"/>
      <c r="U14" s="19"/>
      <c r="AA14" s="21" t="s">
        <v>11921</v>
      </c>
      <c r="AB14" s="49" t="str">
        <f>IF(SUM(Y:Y)=0,"OK","funzione di riserva errata")</f>
        <v>OK</v>
      </c>
    </row>
  </sheetData>
  <conditionalFormatting sqref="N3:N102">
    <cfRule type="duplicateValues" dxfId="0" priority="2"/>
  </conditionalFormatting>
  <pageMargins left="0.75" right="0.75" top="1" bottom="1" header="0.511811023622047" footer="0.511811023622047"/>
  <pageSetup paperSize="9" orientation="landscape" horizontalDpi="300" verticalDpi="300"/>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17"/>
  <sheetViews>
    <sheetView topLeftCell="AM1" workbookViewId="0">
      <selection activeCell="AZ18" sqref="AZ18"/>
    </sheetView>
  </sheetViews>
  <sheetFormatPr defaultColWidth="10.7142857142857" defaultRowHeight="12.75"/>
  <cols>
    <col min="1" max="1" width="32.1428571428571" style="3" customWidth="1"/>
    <col min="2" max="2" width="40" style="3" customWidth="1"/>
    <col min="3" max="3" width="49.7142857142857" style="3" customWidth="1"/>
    <col min="4" max="5" width="10.7142857142857" style="3"/>
    <col min="6" max="6" width="15.5714285714286" style="3" customWidth="1"/>
    <col min="7" max="14" width="10.7142857142857" style="3"/>
    <col min="15" max="17" width="16" customWidth="1"/>
    <col min="18" max="18" width="9.14285714285714" customWidth="1"/>
    <col min="19" max="19" width="11.8571428571429" customWidth="1"/>
    <col min="20" max="20" width="12.2857142857143" customWidth="1"/>
    <col min="21" max="29" width="9.14285714285714" customWidth="1"/>
    <col min="30" max="30" width="11.5714285714286" customWidth="1"/>
    <col min="31" max="36" width="9.14285714285714" customWidth="1"/>
    <col min="37" max="37" width="18.2857142857143" style="32" customWidth="1"/>
    <col min="38" max="40" width="15.8571428571429" style="32" customWidth="1"/>
    <col min="41" max="45" width="16.2857142857143" style="32" customWidth="1"/>
    <col min="46" max="46" width="19.4285714285714" style="32" customWidth="1"/>
    <col min="47" max="48" width="16.2857142857143" style="32" customWidth="1"/>
    <col min="49" max="49" width="17" style="82" customWidth="1"/>
    <col min="50" max="50" width="19.4285714285714" style="82" customWidth="1"/>
    <col min="51" max="51" width="9.14285714285714" customWidth="1"/>
    <col min="52" max="52" width="54.5714285714286" style="11" customWidth="1"/>
    <col min="53" max="53" width="41.7142857142857" style="11" customWidth="1"/>
    <col min="54" max="54" width="67.2857142857143" customWidth="1"/>
    <col min="55" max="62" width="9.14285714285714" customWidth="1"/>
    <col min="63" max="1024" width="10.7142857142857" style="3"/>
  </cols>
  <sheetData>
    <row r="1" s="1" customFormat="1" ht="96" spans="1:53">
      <c r="A1" s="8" t="s">
        <v>11505</v>
      </c>
      <c r="B1" s="8" t="s">
        <v>11506</v>
      </c>
      <c r="C1" s="8" t="s">
        <v>12189</v>
      </c>
      <c r="D1" s="27" t="s">
        <v>11511</v>
      </c>
      <c r="E1" s="27" t="s">
        <v>11512</v>
      </c>
      <c r="F1" s="8" t="s">
        <v>12190</v>
      </c>
      <c r="G1" s="8" t="s">
        <v>12191</v>
      </c>
      <c r="H1" s="131" t="s">
        <v>12192</v>
      </c>
      <c r="I1" s="27" t="s">
        <v>11529</v>
      </c>
      <c r="J1" s="27" t="s">
        <v>12193</v>
      </c>
      <c r="K1" s="27" t="s">
        <v>12194</v>
      </c>
      <c r="L1" s="27" t="s">
        <v>12195</v>
      </c>
      <c r="M1" s="27" t="s">
        <v>12196</v>
      </c>
      <c r="N1" s="27" t="s">
        <v>12197</v>
      </c>
      <c r="O1" s="27" t="s">
        <v>12198</v>
      </c>
      <c r="P1" s="27" t="s">
        <v>12199</v>
      </c>
      <c r="Q1" s="27" t="s">
        <v>12200</v>
      </c>
      <c r="R1" s="27" t="s">
        <v>12201</v>
      </c>
      <c r="S1" s="27" t="s">
        <v>12202</v>
      </c>
      <c r="T1" s="27" t="s">
        <v>12203</v>
      </c>
      <c r="U1" s="8" t="s">
        <v>11540</v>
      </c>
      <c r="V1" s="27" t="s">
        <v>12204</v>
      </c>
      <c r="W1" s="8" t="s">
        <v>11541</v>
      </c>
      <c r="X1" s="131" t="s">
        <v>12205</v>
      </c>
      <c r="Y1" s="27" t="s">
        <v>12206</v>
      </c>
      <c r="Z1" s="8" t="s">
        <v>11548</v>
      </c>
      <c r="AA1" s="8" t="s">
        <v>12207</v>
      </c>
      <c r="AB1" s="8" t="s">
        <v>12208</v>
      </c>
      <c r="AC1" s="131" t="s">
        <v>12209</v>
      </c>
      <c r="AD1" s="27" t="s">
        <v>12210</v>
      </c>
      <c r="AE1" s="27" t="s">
        <v>12211</v>
      </c>
      <c r="AF1" s="27" t="s">
        <v>12212</v>
      </c>
      <c r="AG1" s="27" t="s">
        <v>12213</v>
      </c>
      <c r="AH1" s="27" t="s">
        <v>12214</v>
      </c>
      <c r="AI1" s="8" t="s">
        <v>11558</v>
      </c>
      <c r="AJ1" s="12" t="s">
        <v>11559</v>
      </c>
      <c r="AK1" s="13" t="s">
        <v>12215</v>
      </c>
      <c r="AL1" s="13" t="s">
        <v>12215</v>
      </c>
      <c r="AM1" s="13" t="s">
        <v>12216</v>
      </c>
      <c r="AN1" s="13"/>
      <c r="AO1" s="13" t="s">
        <v>12060</v>
      </c>
      <c r="AP1" s="13" t="s">
        <v>11802</v>
      </c>
      <c r="AQ1" s="13" t="s">
        <v>11802</v>
      </c>
      <c r="AR1" s="13" t="s">
        <v>12217</v>
      </c>
      <c r="AS1" s="13" t="s">
        <v>12218</v>
      </c>
      <c r="AT1" s="13" t="s">
        <v>12219</v>
      </c>
      <c r="AU1" s="13" t="s">
        <v>12220</v>
      </c>
      <c r="AV1" s="13" t="s">
        <v>11802</v>
      </c>
      <c r="AW1" s="13"/>
      <c r="AX1" s="13" t="s">
        <v>12221</v>
      </c>
      <c r="AZ1" s="135"/>
      <c r="BA1" s="135"/>
    </row>
    <row r="2" s="2" customFormat="1" ht="33.75" customHeight="1" spans="1:53">
      <c r="A2" s="9" t="s">
        <v>12222</v>
      </c>
      <c r="B2" s="9" t="s">
        <v>11579</v>
      </c>
      <c r="C2" s="9" t="s">
        <v>11580</v>
      </c>
      <c r="D2" s="29" t="s">
        <v>11584</v>
      </c>
      <c r="E2" s="29" t="s">
        <v>11585</v>
      </c>
      <c r="F2" s="9" t="s">
        <v>12223</v>
      </c>
      <c r="G2" s="9" t="s">
        <v>12224</v>
      </c>
      <c r="H2" s="132" t="s">
        <v>563</v>
      </c>
      <c r="I2" s="29" t="s">
        <v>12225</v>
      </c>
      <c r="J2" s="29" t="s">
        <v>12226</v>
      </c>
      <c r="K2" s="29" t="s">
        <v>12227</v>
      </c>
      <c r="L2" s="29" t="s">
        <v>12228</v>
      </c>
      <c r="M2" s="29" t="s">
        <v>12229</v>
      </c>
      <c r="N2" s="29" t="s">
        <v>12230</v>
      </c>
      <c r="O2" s="29" t="s">
        <v>12231</v>
      </c>
      <c r="P2" s="29" t="s">
        <v>12232</v>
      </c>
      <c r="Q2" s="29" t="s">
        <v>12233</v>
      </c>
      <c r="R2" s="29" t="s">
        <v>12234</v>
      </c>
      <c r="S2" s="29" t="s">
        <v>12235</v>
      </c>
      <c r="T2" s="29" t="s">
        <v>12236</v>
      </c>
      <c r="U2" s="9" t="s">
        <v>11613</v>
      </c>
      <c r="V2" s="29" t="s">
        <v>12237</v>
      </c>
      <c r="W2" s="9" t="s">
        <v>11614</v>
      </c>
      <c r="X2" s="132" t="s">
        <v>82</v>
      </c>
      <c r="Y2" s="29" t="s">
        <v>12238</v>
      </c>
      <c r="Z2" s="9" t="s">
        <v>11621</v>
      </c>
      <c r="AA2" s="9" t="s">
        <v>12239</v>
      </c>
      <c r="AB2" s="9" t="s">
        <v>12240</v>
      </c>
      <c r="AC2" s="132" t="s">
        <v>220</v>
      </c>
      <c r="AD2" s="29" t="s">
        <v>12241</v>
      </c>
      <c r="AE2" s="29" t="s">
        <v>12242</v>
      </c>
      <c r="AF2" s="29" t="s">
        <v>12243</v>
      </c>
      <c r="AG2" s="29" t="s">
        <v>12244</v>
      </c>
      <c r="AH2" s="29" t="s">
        <v>12245</v>
      </c>
      <c r="AI2" s="9" t="s">
        <v>11631</v>
      </c>
      <c r="AJ2" s="14"/>
      <c r="AK2" s="17"/>
      <c r="AL2" s="17"/>
      <c r="AM2" s="17"/>
      <c r="AN2" s="17"/>
      <c r="AO2" s="17"/>
      <c r="AP2" s="17"/>
      <c r="AQ2" s="17"/>
      <c r="AR2" s="17"/>
      <c r="AS2" s="17"/>
      <c r="AT2" s="17"/>
      <c r="AU2" s="17"/>
      <c r="AV2" s="17"/>
      <c r="AW2" s="17"/>
      <c r="AX2" s="17"/>
      <c r="AZ2" s="136"/>
      <c r="BA2" s="136"/>
    </row>
    <row r="3" s="130" customFormat="1" ht="50.25" customHeight="1" spans="1:53">
      <c r="A3" s="10" t="s">
        <v>12246</v>
      </c>
      <c r="B3" s="10" t="s">
        <v>12247</v>
      </c>
      <c r="C3" s="10" t="s">
        <v>12248</v>
      </c>
      <c r="D3" s="10">
        <v>112500</v>
      </c>
      <c r="E3" s="10">
        <v>112600</v>
      </c>
      <c r="F3" s="10" t="s">
        <v>12249</v>
      </c>
      <c r="G3" s="10" t="s">
        <v>12250</v>
      </c>
      <c r="H3" s="10" t="s">
        <v>12251</v>
      </c>
      <c r="I3" s="10">
        <v>117690</v>
      </c>
      <c r="J3" s="10">
        <v>117700</v>
      </c>
      <c r="K3" s="10">
        <v>116600</v>
      </c>
      <c r="L3" s="10">
        <v>116700</v>
      </c>
      <c r="M3" s="10">
        <v>116800</v>
      </c>
      <c r="N3" s="10">
        <v>117800</v>
      </c>
      <c r="O3" s="10">
        <v>117900</v>
      </c>
      <c r="P3" s="10">
        <v>118000</v>
      </c>
      <c r="Q3" s="10">
        <v>118100</v>
      </c>
      <c r="R3" s="10">
        <v>118200</v>
      </c>
      <c r="S3" s="10">
        <v>118300</v>
      </c>
      <c r="T3" s="10">
        <v>118400</v>
      </c>
      <c r="U3" s="10" t="s">
        <v>12252</v>
      </c>
      <c r="V3" s="10">
        <v>116900</v>
      </c>
      <c r="W3" s="10" t="s">
        <v>12253</v>
      </c>
      <c r="X3" s="10" t="s">
        <v>12254</v>
      </c>
      <c r="Y3" s="10">
        <v>112700</v>
      </c>
      <c r="Z3" s="10" t="s">
        <v>12255</v>
      </c>
      <c r="AA3" s="10" t="s">
        <v>12256</v>
      </c>
      <c r="AB3" s="10" t="s">
        <v>12257</v>
      </c>
      <c r="AC3" s="10" t="s">
        <v>12258</v>
      </c>
      <c r="AD3" s="10">
        <v>118490</v>
      </c>
      <c r="AE3" s="10">
        <v>118500</v>
      </c>
      <c r="AF3" s="10">
        <v>118600</v>
      </c>
      <c r="AG3" s="10">
        <v>118700</v>
      </c>
      <c r="AH3" s="10">
        <v>118800</v>
      </c>
      <c r="AI3" s="10" t="s">
        <v>12259</v>
      </c>
      <c r="AJ3" s="15"/>
      <c r="AK3" s="134" t="s">
        <v>12190</v>
      </c>
      <c r="AL3" s="78" t="s">
        <v>12191</v>
      </c>
      <c r="AM3" s="78" t="s">
        <v>566</v>
      </c>
      <c r="AN3" s="78" t="s">
        <v>12260</v>
      </c>
      <c r="AO3" s="78" t="s">
        <v>12168</v>
      </c>
      <c r="AP3" s="78" t="s">
        <v>604</v>
      </c>
      <c r="AQ3" s="78" t="s">
        <v>12261</v>
      </c>
      <c r="AR3" s="78"/>
      <c r="AS3" s="78" t="s">
        <v>12262</v>
      </c>
      <c r="AT3" s="78" t="s">
        <v>12263</v>
      </c>
      <c r="AU3" s="78"/>
      <c r="AV3" s="78" t="s">
        <v>12264</v>
      </c>
      <c r="AW3" s="137" t="s">
        <v>12265</v>
      </c>
      <c r="AX3" s="137" t="s">
        <v>12266</v>
      </c>
      <c r="AZ3" s="138"/>
      <c r="BA3" s="138"/>
    </row>
    <row r="4" s="3" customFormat="1" spans="3:62">
      <c r="C4" s="11"/>
      <c r="L4" s="24"/>
      <c r="N4" s="115"/>
      <c r="O4" s="115"/>
      <c r="P4" s="133"/>
      <c r="Q4" s="133"/>
      <c r="R4" s="115"/>
      <c r="S4" s="115"/>
      <c r="T4" s="115"/>
      <c r="AK4" s="32">
        <f>+IF(Z4=1,IF(F4&gt;0,0,1),0)</f>
        <v>0</v>
      </c>
      <c r="AL4" s="32">
        <f>+IF(Z4&lt;3,IF(G4&gt;0,0,1),0)</f>
        <v>1</v>
      </c>
      <c r="AM4" s="32">
        <f>+IF(Z4&lt;3,IF(H4&lt;=G4,0,1),0)</f>
        <v>0</v>
      </c>
      <c r="AN4" s="32">
        <f>IF(Z4&lt;3,IF(AND(K4&lt;=J4,J4&lt;=I4),0,1),0)</f>
        <v>0</v>
      </c>
      <c r="AO4" s="82">
        <f>+IF(Z4&lt;3,IF(AND(U4&gt;0,U4&lt;5),0,1),0)</f>
        <v>1</v>
      </c>
      <c r="AP4" s="82">
        <f>IF(Z4&lt;3,IF(V4&gt;0,0,1),0)</f>
        <v>1</v>
      </c>
      <c r="AQ4" s="82">
        <f>IF(Z4&lt;3,IF(N4&gt;0,0,1),0)</f>
        <v>1</v>
      </c>
      <c r="AR4" s="82">
        <f>IF(Z4&lt;3,IF(AND(P4&lt;=O4,O4&lt;=N4),0,1),0)</f>
        <v>0</v>
      </c>
      <c r="AS4" s="82">
        <f>IF(Z4&lt;3,IF(Q4&lt;=N4,0,1),0)</f>
        <v>0</v>
      </c>
      <c r="AT4" s="82">
        <f>IF(Z4&lt;3,IF(Q4=0,IF(OR(R4=0,R4=""),0,1),IF(R4&gt;Q4,0,1)),0)</f>
        <v>0</v>
      </c>
      <c r="AU4" s="82">
        <f>IF(Z4&lt;3,IF(AND(T4&lt;=S4,S4&lt;=R4),0,1),0)</f>
        <v>0</v>
      </c>
      <c r="AV4" s="82">
        <f>IF(Z4&lt;3,IF(Y4&gt;=0,0,1),0)</f>
        <v>0</v>
      </c>
      <c r="AW4" s="139">
        <f>SUMIF(Addut_tronchi!A:A,B4,Addut_tronchi!H:H)</f>
        <v>0</v>
      </c>
      <c r="AX4" s="140">
        <f>+IF(Z4&lt;3,TRUNC(AW4-G4),0)</f>
        <v>0</v>
      </c>
      <c r="AY4"/>
      <c r="AZ4" s="88" t="s">
        <v>558</v>
      </c>
      <c r="BA4" s="89" t="str">
        <f>+IF(SUM(AK:AK)=0,"OK","errore su portata media addotta")</f>
        <v>OK</v>
      </c>
      <c r="BB4"/>
      <c r="BC4"/>
      <c r="BD4"/>
      <c r="BE4"/>
      <c r="BF4"/>
      <c r="BG4"/>
      <c r="BH4"/>
      <c r="BI4"/>
      <c r="BJ4"/>
    </row>
    <row r="5" s="3" customFormat="1" spans="3:62">
      <c r="C5" s="11"/>
      <c r="L5" s="24"/>
      <c r="N5" s="55"/>
      <c r="P5"/>
      <c r="Q5"/>
      <c r="AK5" s="32"/>
      <c r="AL5" s="32"/>
      <c r="AM5" s="32"/>
      <c r="AN5" s="32"/>
      <c r="AO5" s="82"/>
      <c r="AP5" s="82"/>
      <c r="AQ5" s="82"/>
      <c r="AR5" s="82"/>
      <c r="AS5" s="82"/>
      <c r="AT5" s="82"/>
      <c r="AU5" s="82"/>
      <c r="AV5" s="82"/>
      <c r="AW5" s="139"/>
      <c r="AX5" s="140"/>
      <c r="AY5"/>
      <c r="AZ5" s="88" t="s">
        <v>12267</v>
      </c>
      <c r="BA5" s="89" t="str">
        <f>+IF(SUM(AL:AL)=0,"OK","errore su lunghezza totale")</f>
        <v>errore su lunghezza totale</v>
      </c>
      <c r="BB5"/>
      <c r="BC5"/>
      <c r="BD5"/>
      <c r="BE5"/>
      <c r="BF5"/>
      <c r="BG5"/>
      <c r="BH5"/>
      <c r="BI5"/>
      <c r="BJ5"/>
    </row>
    <row r="6" s="3" customFormat="1" spans="3:62">
      <c r="C6" s="11"/>
      <c r="L6" s="24"/>
      <c r="N6" s="55"/>
      <c r="P6"/>
      <c r="Q6"/>
      <c r="AK6" s="32"/>
      <c r="AL6" s="32"/>
      <c r="AM6" s="32"/>
      <c r="AN6" s="32"/>
      <c r="AO6" s="82"/>
      <c r="AP6" s="82"/>
      <c r="AQ6" s="82"/>
      <c r="AR6" s="82"/>
      <c r="AS6" s="82"/>
      <c r="AT6" s="82"/>
      <c r="AU6" s="82"/>
      <c r="AV6" s="82"/>
      <c r="AW6" s="139"/>
      <c r="AX6" s="140"/>
      <c r="AY6"/>
      <c r="AZ6" s="88" t="s">
        <v>566</v>
      </c>
      <c r="BA6" s="89" t="str">
        <f>+IF(SUM(AM:AM)=0,"OK","errore su lunghezza rete telecontrollata")</f>
        <v>OK</v>
      </c>
      <c r="BB6"/>
      <c r="BC6"/>
      <c r="BD6"/>
      <c r="BE6"/>
      <c r="BF6"/>
      <c r="BG6"/>
      <c r="BH6"/>
      <c r="BI6"/>
      <c r="BJ6"/>
    </row>
    <row r="7" s="3" customFormat="1" spans="3:62">
      <c r="C7" s="11"/>
      <c r="L7" s="24"/>
      <c r="N7" s="55"/>
      <c r="P7"/>
      <c r="Q7"/>
      <c r="AK7" s="32"/>
      <c r="AL7" s="32"/>
      <c r="AM7" s="32"/>
      <c r="AN7" s="32"/>
      <c r="AO7" s="82"/>
      <c r="AP7" s="82"/>
      <c r="AQ7" s="82"/>
      <c r="AR7" s="82"/>
      <c r="AS7" s="82"/>
      <c r="AT7" s="82"/>
      <c r="AU7" s="82"/>
      <c r="AV7" s="82"/>
      <c r="AW7" s="139"/>
      <c r="AX7" s="140"/>
      <c r="AY7"/>
      <c r="AZ7" s="88" t="s">
        <v>12268</v>
      </c>
      <c r="BA7" s="89" t="str">
        <f>+IF(SUM(AN:AN)=0,"OK","errore di congruenza dei volumi")</f>
        <v>OK</v>
      </c>
      <c r="BB7"/>
      <c r="BC7"/>
      <c r="BD7"/>
      <c r="BE7"/>
      <c r="BF7"/>
      <c r="BG7"/>
      <c r="BH7"/>
      <c r="BI7"/>
      <c r="BJ7"/>
    </row>
    <row r="8" s="3" customFormat="1" spans="3:62">
      <c r="C8" s="11"/>
      <c r="L8" s="24"/>
      <c r="N8" s="55"/>
      <c r="P8"/>
      <c r="Q8"/>
      <c r="AK8" s="32"/>
      <c r="AL8" s="32"/>
      <c r="AM8" s="32"/>
      <c r="AN8" s="32"/>
      <c r="AO8" s="82"/>
      <c r="AP8" s="82"/>
      <c r="AQ8" s="82"/>
      <c r="AR8" s="82"/>
      <c r="AS8" s="82"/>
      <c r="AT8" s="82"/>
      <c r="AU8" s="82"/>
      <c r="AV8" s="82"/>
      <c r="AW8" s="139"/>
      <c r="AX8" s="140"/>
      <c r="AY8"/>
      <c r="AZ8" s="88" t="s">
        <v>12168</v>
      </c>
      <c r="BA8" s="89" t="str">
        <f>+IF(SUM(AO:AO)=0,"OK","errore su tipo telecontrollo")</f>
        <v>errore su tipo telecontrollo</v>
      </c>
      <c r="BB8"/>
      <c r="BC8"/>
      <c r="BD8"/>
      <c r="BE8"/>
      <c r="BF8"/>
      <c r="BG8"/>
      <c r="BH8"/>
      <c r="BI8"/>
      <c r="BJ8"/>
    </row>
    <row r="9" s="3" customFormat="1" spans="3:62">
      <c r="C9" s="11"/>
      <c r="L9" s="24"/>
      <c r="N9" s="55"/>
      <c r="P9"/>
      <c r="Q9"/>
      <c r="AK9" s="32"/>
      <c r="AL9" s="32"/>
      <c r="AM9" s="32"/>
      <c r="AN9" s="32"/>
      <c r="AO9" s="82"/>
      <c r="AP9" s="82"/>
      <c r="AQ9" s="82"/>
      <c r="AR9" s="82"/>
      <c r="AS9" s="82"/>
      <c r="AT9" s="82"/>
      <c r="AU9" s="82"/>
      <c r="AV9" s="82"/>
      <c r="AW9" s="139"/>
      <c r="AX9" s="140"/>
      <c r="AY9"/>
      <c r="AZ9" s="88" t="s">
        <v>604</v>
      </c>
      <c r="BA9" s="89" t="str">
        <f>+IF(SUM(AP:AP)=0,"OK","errore su utenze dotate di misuratore")</f>
        <v>errore su utenze dotate di misuratore</v>
      </c>
      <c r="BB9"/>
      <c r="BC9"/>
      <c r="BD9"/>
      <c r="BE9"/>
      <c r="BF9"/>
      <c r="BG9"/>
      <c r="BH9"/>
      <c r="BI9"/>
      <c r="BJ9"/>
    </row>
    <row r="10" s="3" customFormat="1" spans="3:62">
      <c r="C10" s="11"/>
      <c r="L10" s="24"/>
      <c r="N10" s="55"/>
      <c r="P10"/>
      <c r="Q10"/>
      <c r="AK10" s="32"/>
      <c r="AL10" s="32"/>
      <c r="AM10" s="32"/>
      <c r="AN10" s="32"/>
      <c r="AO10" s="82"/>
      <c r="AP10" s="82"/>
      <c r="AQ10" s="82"/>
      <c r="AR10" s="82"/>
      <c r="AS10" s="82"/>
      <c r="AT10" s="82"/>
      <c r="AU10" s="82"/>
      <c r="AV10" s="82"/>
      <c r="AW10" s="139"/>
      <c r="AX10" s="140"/>
      <c r="AY10"/>
      <c r="AZ10" s="88" t="s">
        <v>12269</v>
      </c>
      <c r="BA10" s="89" t="str">
        <f>+IF(SUM(AQ:AQ)=0,"OK","errore utenti diretti")</f>
        <v>errore utenti diretti</v>
      </c>
      <c r="BB10"/>
      <c r="BC10"/>
      <c r="BD10"/>
      <c r="BE10"/>
      <c r="BF10"/>
      <c r="BG10"/>
      <c r="BH10"/>
      <c r="BI10"/>
      <c r="BJ10"/>
    </row>
    <row r="11" s="3" customFormat="1" spans="3:62">
      <c r="C11" s="11"/>
      <c r="L11" s="24"/>
      <c r="N11" s="55"/>
      <c r="P11"/>
      <c r="Q11"/>
      <c r="AK11" s="32"/>
      <c r="AL11" s="32"/>
      <c r="AM11" s="32"/>
      <c r="AN11" s="32"/>
      <c r="AO11" s="82"/>
      <c r="AP11" s="82"/>
      <c r="AQ11" s="82"/>
      <c r="AR11" s="82"/>
      <c r="AS11" s="82"/>
      <c r="AT11" s="82"/>
      <c r="AU11" s="82"/>
      <c r="AV11" s="82"/>
      <c r="AW11" s="139"/>
      <c r="AX11" s="140"/>
      <c r="AY11"/>
      <c r="AZ11" s="88" t="s">
        <v>12217</v>
      </c>
      <c r="BA11" s="89" t="str">
        <f>+IF(SUM(AR:AR)=0,"OK","errore utenti diretti")</f>
        <v>OK</v>
      </c>
      <c r="BB11"/>
      <c r="BC11"/>
      <c r="BD11"/>
      <c r="BE11"/>
      <c r="BF11"/>
      <c r="BG11"/>
      <c r="BH11"/>
      <c r="BI11"/>
      <c r="BJ11"/>
    </row>
    <row r="12" s="3" customFormat="1" spans="3:62">
      <c r="C12" s="11"/>
      <c r="L12" s="24"/>
      <c r="N12" s="55"/>
      <c r="P12"/>
      <c r="Q12"/>
      <c r="AK12" s="32"/>
      <c r="AL12" s="32"/>
      <c r="AM12" s="32"/>
      <c r="AN12" s="32"/>
      <c r="AO12" s="82"/>
      <c r="AP12" s="82"/>
      <c r="AQ12" s="82"/>
      <c r="AR12" s="82"/>
      <c r="AS12" s="82"/>
      <c r="AT12" s="82"/>
      <c r="AU12" s="82"/>
      <c r="AV12" s="82"/>
      <c r="AW12" s="139"/>
      <c r="AX12" s="140"/>
      <c r="AY12"/>
      <c r="AZ12" s="88" t="s">
        <v>12270</v>
      </c>
      <c r="BA12" s="89" t="str">
        <f>+IF(SUM(AS:AS)=0,"OK","errore utenze condominiali")</f>
        <v>OK</v>
      </c>
      <c r="BB12"/>
      <c r="BC12"/>
      <c r="BD12"/>
      <c r="BE12"/>
      <c r="BF12"/>
      <c r="BG12"/>
      <c r="BH12"/>
      <c r="BI12"/>
      <c r="BJ12"/>
    </row>
    <row r="13" s="3" customFormat="1" spans="3:62">
      <c r="C13" s="11"/>
      <c r="L13" s="24"/>
      <c r="N13" s="55"/>
      <c r="P13"/>
      <c r="Q13"/>
      <c r="AK13" s="32"/>
      <c r="AL13" s="32"/>
      <c r="AM13" s="32"/>
      <c r="AN13" s="32"/>
      <c r="AO13" s="82"/>
      <c r="AP13" s="82"/>
      <c r="AQ13" s="82"/>
      <c r="AR13" s="82"/>
      <c r="AS13" s="82"/>
      <c r="AT13" s="82"/>
      <c r="AU13" s="82"/>
      <c r="AV13" s="82"/>
      <c r="AW13" s="139"/>
      <c r="AX13" s="140"/>
      <c r="AY13"/>
      <c r="AZ13" s="88" t="s">
        <v>12271</v>
      </c>
      <c r="BA13" s="89" t="str">
        <f>+IF(SUM(AT:AT)=0,"OK","errore su utenze condominiali/utenze indirette")</f>
        <v>OK</v>
      </c>
      <c r="BB13"/>
      <c r="BC13"/>
      <c r="BD13"/>
      <c r="BE13"/>
      <c r="BF13"/>
      <c r="BG13"/>
      <c r="BH13"/>
      <c r="BI13"/>
      <c r="BJ13"/>
    </row>
    <row r="14" s="3" customFormat="1" spans="3:62">
      <c r="C14" s="11"/>
      <c r="L14" s="24"/>
      <c r="N14" s="55"/>
      <c r="P14"/>
      <c r="Q14"/>
      <c r="AK14" s="32"/>
      <c r="AL14" s="32"/>
      <c r="AM14" s="32"/>
      <c r="AN14" s="32"/>
      <c r="AO14" s="82"/>
      <c r="AP14" s="82"/>
      <c r="AQ14" s="82"/>
      <c r="AR14" s="82"/>
      <c r="AS14" s="82"/>
      <c r="AT14" s="82"/>
      <c r="AU14" s="82"/>
      <c r="AV14" s="82"/>
      <c r="AW14" s="139"/>
      <c r="AX14" s="140"/>
      <c r="AY14"/>
      <c r="AZ14" s="88" t="s">
        <v>12220</v>
      </c>
      <c r="BA14" s="89" t="str">
        <f>+IF(SUM(AU:AU)=0,"OK","errore utenti indiretti")</f>
        <v>OK</v>
      </c>
      <c r="BB14"/>
      <c r="BC14"/>
      <c r="BD14"/>
      <c r="BE14"/>
      <c r="BF14"/>
      <c r="BG14"/>
      <c r="BH14"/>
      <c r="BI14"/>
      <c r="BJ14"/>
    </row>
    <row r="15" s="3" customFormat="1" spans="3:62">
      <c r="C15" s="11"/>
      <c r="L15" s="24"/>
      <c r="N15" s="55"/>
      <c r="P15"/>
      <c r="Q15"/>
      <c r="AK15" s="32"/>
      <c r="AL15" s="32"/>
      <c r="AM15" s="32"/>
      <c r="AN15" s="32"/>
      <c r="AO15" s="82"/>
      <c r="AP15" s="82"/>
      <c r="AQ15" s="82"/>
      <c r="AR15" s="82"/>
      <c r="AS15" s="82"/>
      <c r="AT15" s="82"/>
      <c r="AU15" s="82"/>
      <c r="AV15" s="82"/>
      <c r="AW15" s="139"/>
      <c r="AX15" s="140"/>
      <c r="AY15"/>
      <c r="AZ15" s="88" t="s">
        <v>12272</v>
      </c>
      <c r="BA15" s="89" t="str">
        <f>+IF(SUM(AV:AV)=0,"OK","possibile errore su punti di clorazione")</f>
        <v>OK</v>
      </c>
      <c r="BB15"/>
      <c r="BC15"/>
      <c r="BD15"/>
      <c r="BE15"/>
      <c r="BF15"/>
      <c r="BG15"/>
      <c r="BH15"/>
      <c r="BI15"/>
      <c r="BJ15"/>
    </row>
    <row r="16" s="3" customFormat="1" spans="3:62">
      <c r="C16" s="11"/>
      <c r="L16" s="24"/>
      <c r="N16" s="55"/>
      <c r="P16"/>
      <c r="Q16"/>
      <c r="AK16" s="32"/>
      <c r="AL16" s="32"/>
      <c r="AM16" s="32"/>
      <c r="AN16" s="32"/>
      <c r="AO16" s="82"/>
      <c r="AP16" s="82"/>
      <c r="AQ16" s="82"/>
      <c r="AR16" s="82"/>
      <c r="AS16" s="82"/>
      <c r="AT16" s="82"/>
      <c r="AU16" s="82"/>
      <c r="AV16" s="82"/>
      <c r="AW16" s="139"/>
      <c r="AX16" s="140"/>
      <c r="AY16"/>
      <c r="AZ16" s="88" t="s">
        <v>12265</v>
      </c>
      <c r="BA16" s="89" t="str">
        <f>+IF(SUM(AX:AX)=0,"OK","errore su lunghezza adduttrici disaggregate")</f>
        <v>OK</v>
      </c>
      <c r="BB16"/>
      <c r="BC16"/>
      <c r="BD16"/>
      <c r="BE16"/>
      <c r="BF16"/>
      <c r="BG16"/>
      <c r="BH16"/>
      <c r="BI16"/>
      <c r="BJ16"/>
    </row>
    <row r="17" ht="29.25" customHeight="1" spans="52:53">
      <c r="AZ17" s="109" t="s">
        <v>12273</v>
      </c>
      <c r="BA17" s="81" t="str">
        <f>+IF((SUM(J:J)-SUM(K:K))&lt;=(SUM(J:J)*0.02),"OK","Attenzione:volumi di tipo A12 superiori al 2% del volume erogato")</f>
        <v>OK</v>
      </c>
    </row>
  </sheetData>
  <pageMargins left="0.75" right="0.75" top="1" bottom="1" header="0.511811023622047" footer="0.511811023622047"/>
  <pageSetup paperSize="9" orientation="portrait" horizontalDpi="300" verticalDpi="300"/>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2"/>
  <sheetViews>
    <sheetView zoomScale="90" zoomScaleNormal="90" topLeftCell="K1" workbookViewId="0">
      <selection activeCell="V4" sqref="V4"/>
    </sheetView>
  </sheetViews>
  <sheetFormatPr defaultColWidth="8.85714285714286" defaultRowHeight="12.75"/>
  <cols>
    <col min="1" max="1" width="30" style="11" customWidth="1"/>
    <col min="2" max="2" width="33.1428571428571" style="11" customWidth="1"/>
    <col min="3" max="3" width="23.4285714285714" style="11" customWidth="1"/>
    <col min="4" max="4" width="13.8571428571429" style="11" customWidth="1"/>
    <col min="5" max="5" width="25.2857142857143" style="11" customWidth="1"/>
    <col min="6" max="7" width="13.8571428571429" style="11" customWidth="1"/>
    <col min="8" max="8" width="23.4285714285714" style="86" customWidth="1"/>
    <col min="9" max="9" width="13.8571428571429" style="11" customWidth="1"/>
    <col min="10" max="13" width="8.85714285714286" style="11"/>
    <col min="14" max="14" width="11.2857142857143" style="19" customWidth="1"/>
    <col min="15" max="15" width="22" style="61" customWidth="1"/>
    <col min="16" max="16" width="18.8571428571429" style="61" customWidth="1"/>
    <col min="17" max="18" width="18.4285714285714" style="19" customWidth="1"/>
    <col min="19" max="21" width="12.8571428571429" style="19" customWidth="1"/>
    <col min="22" max="22" width="20.5714285714286" style="19" customWidth="1"/>
    <col min="23" max="23" width="18.4285714285714" style="11" customWidth="1"/>
    <col min="24" max="24" width="23.8571428571429" style="11" customWidth="1"/>
    <col min="25" max="25" width="18.1428571428571" style="3" customWidth="1"/>
    <col min="26" max="26" width="92.8571428571429" style="11" customWidth="1"/>
    <col min="27" max="1024" width="8.85714285714286" style="11"/>
  </cols>
  <sheetData>
    <row r="1" s="3" customFormat="1" ht="72" spans="1:22">
      <c r="A1" s="8" t="s">
        <v>11706</v>
      </c>
      <c r="B1" s="8" t="s">
        <v>12274</v>
      </c>
      <c r="C1" s="8" t="s">
        <v>12275</v>
      </c>
      <c r="D1" s="8" t="s">
        <v>11524</v>
      </c>
      <c r="E1" s="8" t="s">
        <v>11999</v>
      </c>
      <c r="F1" s="8" t="s">
        <v>12276</v>
      </c>
      <c r="G1" s="8" t="s">
        <v>12277</v>
      </c>
      <c r="H1" s="97" t="s">
        <v>12278</v>
      </c>
      <c r="I1" s="8" t="s">
        <v>12279</v>
      </c>
      <c r="J1" s="8" t="s">
        <v>12280</v>
      </c>
      <c r="K1" s="8" t="s">
        <v>12281</v>
      </c>
      <c r="L1" s="8" t="s">
        <v>12282</v>
      </c>
      <c r="M1" s="43" t="s">
        <v>11559</v>
      </c>
      <c r="N1" s="13" t="s">
        <v>12283</v>
      </c>
      <c r="O1" s="13" t="s">
        <v>11883</v>
      </c>
      <c r="P1" s="13"/>
      <c r="Q1" s="65" t="s">
        <v>11802</v>
      </c>
      <c r="R1" s="65"/>
      <c r="S1" s="65" t="s">
        <v>11802</v>
      </c>
      <c r="T1" s="68" t="s">
        <v>12284</v>
      </c>
      <c r="U1" s="68" t="s">
        <v>12285</v>
      </c>
      <c r="V1" s="65"/>
    </row>
    <row r="2" s="3" customFormat="1" ht="30" customHeight="1" spans="1:22">
      <c r="A2" s="9" t="s">
        <v>11709</v>
      </c>
      <c r="B2" s="9" t="s">
        <v>12286</v>
      </c>
      <c r="C2" s="9" t="s">
        <v>12287</v>
      </c>
      <c r="D2" s="9" t="s">
        <v>11597</v>
      </c>
      <c r="E2" s="9" t="s">
        <v>12288</v>
      </c>
      <c r="F2" s="9" t="s">
        <v>12289</v>
      </c>
      <c r="G2" s="9" t="s">
        <v>12290</v>
      </c>
      <c r="H2" s="98" t="s">
        <v>12291</v>
      </c>
      <c r="I2" s="9" t="s">
        <v>12292</v>
      </c>
      <c r="J2" s="9" t="s">
        <v>12293</v>
      </c>
      <c r="K2" s="9" t="s">
        <v>12294</v>
      </c>
      <c r="L2" s="9" t="s">
        <v>12295</v>
      </c>
      <c r="M2" s="44"/>
      <c r="N2" s="17"/>
      <c r="O2" s="17"/>
      <c r="P2" s="17"/>
      <c r="Q2" s="19"/>
      <c r="R2" s="19"/>
      <c r="S2" s="19"/>
      <c r="T2" s="68"/>
      <c r="U2" s="68"/>
      <c r="V2" s="19"/>
    </row>
    <row r="3" s="3" customFormat="1" ht="36" spans="1:22">
      <c r="A3" s="10" t="s">
        <v>12296</v>
      </c>
      <c r="B3" s="10" t="s">
        <v>12297</v>
      </c>
      <c r="C3" s="10" t="s">
        <v>12298</v>
      </c>
      <c r="D3" s="10" t="s">
        <v>12299</v>
      </c>
      <c r="E3" s="10" t="s">
        <v>12300</v>
      </c>
      <c r="F3" s="10" t="s">
        <v>12301</v>
      </c>
      <c r="G3" s="10" t="s">
        <v>12302</v>
      </c>
      <c r="H3" s="99" t="s">
        <v>12303</v>
      </c>
      <c r="I3" s="10" t="s">
        <v>12304</v>
      </c>
      <c r="J3" s="10" t="s">
        <v>12305</v>
      </c>
      <c r="K3" s="10" t="s">
        <v>12306</v>
      </c>
      <c r="L3" s="10" t="s">
        <v>12307</v>
      </c>
      <c r="M3" s="45"/>
      <c r="N3" s="46" t="s">
        <v>12308</v>
      </c>
      <c r="O3" s="16" t="s">
        <v>11915</v>
      </c>
      <c r="P3" s="16" t="s">
        <v>12309</v>
      </c>
      <c r="Q3" s="16" t="s">
        <v>11999</v>
      </c>
      <c r="R3" s="16" t="s">
        <v>642</v>
      </c>
      <c r="S3" s="16" t="s">
        <v>12278</v>
      </c>
      <c r="T3" s="69" t="s">
        <v>12310</v>
      </c>
      <c r="U3" s="69" t="s">
        <v>11699</v>
      </c>
      <c r="V3" s="37" t="s">
        <v>12311</v>
      </c>
    </row>
    <row r="4" spans="1:25">
      <c r="A4" s="3"/>
      <c r="B4" s="3"/>
      <c r="C4" s="3"/>
      <c r="D4" s="3"/>
      <c r="E4" s="3"/>
      <c r="F4" s="3"/>
      <c r="G4" s="3"/>
      <c r="I4" s="24"/>
      <c r="J4" s="24"/>
      <c r="K4" s="3"/>
      <c r="L4" s="3"/>
      <c r="N4" s="19">
        <f>+IF(AND(C4&gt;0,C4&lt;55),0,1)</f>
        <v>1</v>
      </c>
      <c r="O4" s="19">
        <f>+IF(AND(D4&gt;0,D4&lt;6),0,1)</f>
        <v>1</v>
      </c>
      <c r="P4" s="19">
        <f>IF(OR(F4&lt;2014,F4=9999),0,IF(D4&gt;=3,0,1))</f>
        <v>0</v>
      </c>
      <c r="Q4" s="19">
        <f>+IF(E4&gt;0,0,1)</f>
        <v>1</v>
      </c>
      <c r="R4" s="19">
        <f>IF(OR(G4=0,G4=1,G4="S",G4="N"),0,1)</f>
        <v>0</v>
      </c>
      <c r="S4" s="19">
        <f>+IF(H4&gt;0,0,1)</f>
        <v>1</v>
      </c>
      <c r="T4" s="68">
        <f>IF(OR(F4=9999,F4&lt;2015),0,IF(OR(I4="X",J4="X",K4="X",L4="X"),1,0))</f>
        <v>0</v>
      </c>
      <c r="U4" s="68">
        <f>IF(F4=9999,0,IF(F4&gt;=2015,IF(COUNTBLANK(A4:L4)=0,0,1),0))</f>
        <v>0</v>
      </c>
      <c r="V4" s="38">
        <f>+IF(F4='[2]Input anno'!$A$1,COUNTBLANK(A4:L4),0)</f>
        <v>0</v>
      </c>
      <c r="X4" s="128" t="s">
        <v>12312</v>
      </c>
      <c r="Y4" s="129" t="str">
        <f>+IF(SUM(N:N)=0,"OK","errore su materiale")</f>
        <v>errore su materiale</v>
      </c>
    </row>
    <row r="5" spans="1:25">
      <c r="A5" s="3"/>
      <c r="B5" s="3"/>
      <c r="C5" s="3"/>
      <c r="D5" s="3"/>
      <c r="E5" s="3"/>
      <c r="F5" s="3"/>
      <c r="G5" s="3"/>
      <c r="I5" s="24"/>
      <c r="J5" s="24"/>
      <c r="K5" s="3"/>
      <c r="L5" s="3"/>
      <c r="O5" s="19"/>
      <c r="P5" s="19"/>
      <c r="V5" s="38"/>
      <c r="X5" s="128" t="s">
        <v>12313</v>
      </c>
      <c r="Y5" s="129" t="str">
        <f>+IF(SUM(O:O)=0,"OK","errore su stato di conservazione")</f>
        <v>errore su stato di conservazione</v>
      </c>
    </row>
    <row r="6" ht="24" spans="1:25">
      <c r="A6" s="3"/>
      <c r="B6" s="3"/>
      <c r="C6" s="3"/>
      <c r="D6" s="3"/>
      <c r="E6" s="3"/>
      <c r="F6" s="3"/>
      <c r="G6" s="3"/>
      <c r="I6" s="24"/>
      <c r="J6" s="24"/>
      <c r="K6" s="3"/>
      <c r="L6" s="3"/>
      <c r="O6" s="19"/>
      <c r="P6" s="19"/>
      <c r="V6" s="38"/>
      <c r="X6" s="128" t="s">
        <v>12314</v>
      </c>
      <c r="Y6" s="129" t="str">
        <f>+IF(SUM(P:P)=0,"OK","errore su stato di conservazione")</f>
        <v>OK</v>
      </c>
    </row>
    <row r="7" spans="1:25">
      <c r="A7" s="3"/>
      <c r="B7" s="3"/>
      <c r="C7" s="3"/>
      <c r="D7" s="3"/>
      <c r="E7" s="3"/>
      <c r="F7" s="3"/>
      <c r="G7" s="3"/>
      <c r="I7" s="24"/>
      <c r="J7" s="24"/>
      <c r="K7" s="3"/>
      <c r="L7" s="3"/>
      <c r="O7" s="19"/>
      <c r="P7" s="19"/>
      <c r="V7" s="38"/>
      <c r="X7" s="128" t="s">
        <v>12315</v>
      </c>
      <c r="Y7" s="129" t="str">
        <f>+IF(SUM(Q:Q)=0,"OK","errore su diametro")</f>
        <v>errore su diametro</v>
      </c>
    </row>
    <row r="8" spans="1:25">
      <c r="A8" s="3"/>
      <c r="B8" s="3"/>
      <c r="C8" s="3"/>
      <c r="D8" s="3"/>
      <c r="E8" s="3"/>
      <c r="F8" s="3"/>
      <c r="G8" s="3"/>
      <c r="I8" s="24"/>
      <c r="J8" s="24"/>
      <c r="K8" s="3"/>
      <c r="L8" s="3"/>
      <c r="O8" s="19"/>
      <c r="P8" s="19"/>
      <c r="V8" s="38"/>
      <c r="X8" s="128" t="s">
        <v>12316</v>
      </c>
      <c r="Y8" s="129" t="str">
        <f>+IF(SUM(R:R)=0,"OK","errore compilazione campo")</f>
        <v>OK</v>
      </c>
    </row>
    <row r="9" spans="1:25">
      <c r="A9" s="3"/>
      <c r="B9" s="3"/>
      <c r="C9" s="3"/>
      <c r="D9" s="3"/>
      <c r="E9" s="3"/>
      <c r="F9" s="3"/>
      <c r="G9" s="3"/>
      <c r="I9" s="24"/>
      <c r="J9" s="24"/>
      <c r="K9" s="3"/>
      <c r="L9" s="3"/>
      <c r="O9" s="19"/>
      <c r="P9" s="19"/>
      <c r="V9" s="38"/>
      <c r="X9" s="128" t="s">
        <v>12317</v>
      </c>
      <c r="Y9" s="129" t="str">
        <f>+IF(SUM(S:S)=0,"OK","errore su lunghezza")</f>
        <v>errore su lunghezza</v>
      </c>
    </row>
    <row r="10" ht="24" spans="1:25">
      <c r="A10" s="3"/>
      <c r="B10" s="3"/>
      <c r="C10" s="3"/>
      <c r="D10" s="3"/>
      <c r="E10" s="3"/>
      <c r="F10" s="3"/>
      <c r="G10" s="3"/>
      <c r="I10" s="24"/>
      <c r="J10" s="24"/>
      <c r="K10" s="3"/>
      <c r="L10" s="3"/>
      <c r="O10" s="19"/>
      <c r="P10" s="19"/>
      <c r="V10" s="38"/>
      <c r="X10" s="72" t="s">
        <v>12318</v>
      </c>
      <c r="Y10" s="68" t="str">
        <f>IF(SUM(T:T)=0,"OK","Indici di confidenza errati")</f>
        <v>OK</v>
      </c>
    </row>
    <row r="11" spans="1:25">
      <c r="A11" s="3"/>
      <c r="B11" s="3"/>
      <c r="C11" s="3"/>
      <c r="D11" s="3"/>
      <c r="E11" s="3"/>
      <c r="F11" s="3"/>
      <c r="G11" s="3"/>
      <c r="I11" s="24"/>
      <c r="J11" s="24"/>
      <c r="K11" s="3"/>
      <c r="L11" s="3"/>
      <c r="O11" s="19"/>
      <c r="P11" s="19"/>
      <c r="V11" s="38"/>
      <c r="X11" s="72" t="s">
        <v>11699</v>
      </c>
      <c r="Y11" s="68" t="str">
        <f>IF(SUM(U:U)=0,"OK","Errore: celle vuote in corrispondenza di opera costruita in anno &gt;=2015")</f>
        <v>OK</v>
      </c>
    </row>
    <row r="12" ht="36.75" customHeight="1" spans="1:25">
      <c r="A12" s="3"/>
      <c r="B12" s="3"/>
      <c r="C12" s="3"/>
      <c r="D12" s="3"/>
      <c r="E12" s="3"/>
      <c r="F12" s="3"/>
      <c r="G12" s="3"/>
      <c r="I12" s="24"/>
      <c r="J12" s="24"/>
      <c r="K12" s="3"/>
      <c r="L12" s="3"/>
      <c r="O12" s="19"/>
      <c r="P12" s="19"/>
      <c r="V12" s="38"/>
      <c r="X12" s="72" t="s">
        <v>12319</v>
      </c>
      <c r="Y12" s="71" t="str">
        <f>+IF(SUM(V:V)=0,"OK","errore, dati nuovi tronchi non completi")</f>
        <v>OK</v>
      </c>
    </row>
  </sheetData>
  <pageMargins left="0.75" right="0.75" top="1" bottom="1" header="0.511811023622047" footer="0.511811023622047"/>
  <pageSetup paperSize="9" orientation="portrait" horizontalDpi="300" verticalDpi="300"/>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27"/>
  <sheetViews>
    <sheetView topLeftCell="AY1" workbookViewId="0">
      <selection activeCell="BC27" sqref="BC27:BD27"/>
    </sheetView>
  </sheetViews>
  <sheetFormatPr defaultColWidth="10.7142857142857" defaultRowHeight="12.75"/>
  <cols>
    <col min="1" max="1" width="37.2857142857143" style="3" customWidth="1"/>
    <col min="2" max="2" width="26.2857142857143" style="3" customWidth="1"/>
    <col min="3" max="3" width="32.2857142857143" style="3" customWidth="1"/>
    <col min="4" max="4" width="13.8571428571429" style="3" customWidth="1"/>
    <col min="5" max="5" width="15.7142857142857" style="3" customWidth="1"/>
    <col min="6" max="7" width="10.7142857142857" style="3"/>
    <col min="8" max="8" width="27" style="3" customWidth="1"/>
    <col min="9" max="26" width="10.7142857142857" style="3"/>
    <col min="27" max="27" width="17.2857142857143" style="3" customWidth="1"/>
    <col min="28" max="30" width="9.14285714285714" customWidth="1"/>
    <col min="31" max="32" width="12.7142857142857" customWidth="1"/>
    <col min="33" max="33" width="19.8571428571429" style="32" customWidth="1"/>
    <col min="34" max="34" width="16.5714285714286" style="32" customWidth="1"/>
    <col min="35" max="35" width="15.2857142857143" style="32" customWidth="1"/>
    <col min="36" max="36" width="16.7142857142857" style="32" customWidth="1"/>
    <col min="37" max="37" width="21.8571428571429" style="32" customWidth="1"/>
    <col min="38" max="38" width="17.5714285714286" style="32" customWidth="1"/>
    <col min="39" max="39" width="14.8571428571429" style="32" customWidth="1"/>
    <col min="40" max="40" width="13.8571428571429" style="32" customWidth="1"/>
    <col min="41" max="41" width="26.1428571428571" style="32" customWidth="1"/>
    <col min="42" max="42" width="19.1428571428571" style="32" customWidth="1"/>
    <col min="43" max="43" width="22.4285714285714" style="32" customWidth="1"/>
    <col min="44" max="44" width="19" style="32" customWidth="1"/>
    <col min="45" max="45" width="20.2857142857143" style="19" customWidth="1"/>
    <col min="46" max="48" width="21" style="19" customWidth="1"/>
    <col min="49" max="49" width="19.8571428571429" style="19" customWidth="1"/>
    <col min="50" max="50" width="25.1428571428571" style="19" customWidth="1"/>
    <col min="51" max="51" width="20.1428571428571" style="19" customWidth="1"/>
    <col min="52" max="52" width="19" style="19" customWidth="1"/>
    <col min="53" max="53" width="17.8571428571429" style="19" customWidth="1"/>
    <col min="54" max="54" width="16.2857142857143" style="3" customWidth="1"/>
    <col min="55" max="55" width="59.4285714285714" style="119" customWidth="1"/>
    <col min="56" max="56" width="23.4285714285714" style="119" customWidth="1"/>
    <col min="57" max="1024" width="10.7142857142857" style="3"/>
  </cols>
  <sheetData>
    <row r="1" s="1" customFormat="1" ht="105.75" customHeight="1" spans="1:56">
      <c r="A1" s="8" t="s">
        <v>11505</v>
      </c>
      <c r="B1" s="8" t="s">
        <v>11506</v>
      </c>
      <c r="C1" s="8" t="s">
        <v>11507</v>
      </c>
      <c r="D1" s="8" t="s">
        <v>11508</v>
      </c>
      <c r="E1" s="8" t="s">
        <v>11509</v>
      </c>
      <c r="F1" s="8" t="s">
        <v>11510</v>
      </c>
      <c r="G1" s="27" t="s">
        <v>11511</v>
      </c>
      <c r="H1" s="27" t="s">
        <v>11512</v>
      </c>
      <c r="I1" s="8" t="s">
        <v>11513</v>
      </c>
      <c r="J1" s="8" t="s">
        <v>11514</v>
      </c>
      <c r="K1" s="8" t="s">
        <v>11515</v>
      </c>
      <c r="L1" s="8" t="s">
        <v>11522</v>
      </c>
      <c r="M1" s="8" t="s">
        <v>11523</v>
      </c>
      <c r="N1" s="8" t="s">
        <v>11524</v>
      </c>
      <c r="O1" s="8" t="s">
        <v>12320</v>
      </c>
      <c r="P1" s="8" t="s">
        <v>12275</v>
      </c>
      <c r="Q1" s="8" t="s">
        <v>12321</v>
      </c>
      <c r="R1" s="8" t="s">
        <v>12322</v>
      </c>
      <c r="S1" s="8" t="s">
        <v>11540</v>
      </c>
      <c r="T1" s="8" t="s">
        <v>12323</v>
      </c>
      <c r="U1" s="8" t="s">
        <v>11541</v>
      </c>
      <c r="V1" s="8" t="s">
        <v>11545</v>
      </c>
      <c r="W1" s="8" t="s">
        <v>11546</v>
      </c>
      <c r="X1" s="8" t="s">
        <v>11547</v>
      </c>
      <c r="Y1" s="8" t="s">
        <v>11548</v>
      </c>
      <c r="Z1" s="8" t="s">
        <v>11550</v>
      </c>
      <c r="AA1" s="8" t="s">
        <v>11551</v>
      </c>
      <c r="AB1" s="8" t="s">
        <v>12324</v>
      </c>
      <c r="AC1" s="8" t="s">
        <v>11558</v>
      </c>
      <c r="AD1" s="12" t="s">
        <v>11559</v>
      </c>
      <c r="AE1" s="13" t="s">
        <v>11560</v>
      </c>
      <c r="AF1" s="13" t="s">
        <v>11561</v>
      </c>
      <c r="AG1" s="13" t="s">
        <v>11562</v>
      </c>
      <c r="AH1" s="13" t="s">
        <v>11566</v>
      </c>
      <c r="AI1" s="13" t="s">
        <v>11567</v>
      </c>
      <c r="AJ1" s="13" t="s">
        <v>11568</v>
      </c>
      <c r="AK1" s="13"/>
      <c r="AL1" s="13" t="s">
        <v>11883</v>
      </c>
      <c r="AM1" s="13" t="s">
        <v>12325</v>
      </c>
      <c r="AN1" s="13" t="s">
        <v>12326</v>
      </c>
      <c r="AO1" s="121" t="s">
        <v>672</v>
      </c>
      <c r="AP1" s="13" t="s">
        <v>12060</v>
      </c>
      <c r="AQ1" s="13" t="s">
        <v>11886</v>
      </c>
      <c r="AR1" s="13" t="s">
        <v>12327</v>
      </c>
      <c r="AS1" s="13"/>
      <c r="AT1" s="13" t="s">
        <v>11572</v>
      </c>
      <c r="AU1" s="13" t="s">
        <v>11572</v>
      </c>
      <c r="AV1" s="47" t="s">
        <v>12328</v>
      </c>
      <c r="AW1" s="13" t="s">
        <v>11573</v>
      </c>
      <c r="AX1" s="13" t="s">
        <v>11574</v>
      </c>
      <c r="AY1" s="33" t="s">
        <v>11575</v>
      </c>
      <c r="AZ1" s="34" t="s">
        <v>11576</v>
      </c>
      <c r="BA1" s="34" t="s">
        <v>11577</v>
      </c>
      <c r="BC1" s="116"/>
      <c r="BD1" s="116"/>
    </row>
    <row r="2" s="2" customFormat="1" ht="71.25" customHeight="1" spans="1:53">
      <c r="A2" s="9" t="s">
        <v>12329</v>
      </c>
      <c r="B2" s="9" t="s">
        <v>11579</v>
      </c>
      <c r="C2" s="9" t="s">
        <v>11580</v>
      </c>
      <c r="D2" s="9" t="s">
        <v>11581</v>
      </c>
      <c r="E2" s="9" t="s">
        <v>11582</v>
      </c>
      <c r="F2" s="9" t="s">
        <v>11583</v>
      </c>
      <c r="G2" s="29" t="s">
        <v>11584</v>
      </c>
      <c r="H2" s="29" t="s">
        <v>11585</v>
      </c>
      <c r="I2" s="9" t="s">
        <v>11586</v>
      </c>
      <c r="J2" s="9" t="s">
        <v>11587</v>
      </c>
      <c r="K2" s="9" t="s">
        <v>11588</v>
      </c>
      <c r="L2" s="9" t="s">
        <v>11595</v>
      </c>
      <c r="M2" s="9" t="s">
        <v>11596</v>
      </c>
      <c r="N2" s="9" t="s">
        <v>11597</v>
      </c>
      <c r="O2" s="9" t="s">
        <v>12330</v>
      </c>
      <c r="P2" s="9" t="s">
        <v>12287</v>
      </c>
      <c r="Q2" s="9" t="s">
        <v>12331</v>
      </c>
      <c r="R2" s="9" t="s">
        <v>12332</v>
      </c>
      <c r="S2" s="9" t="s">
        <v>11613</v>
      </c>
      <c r="T2" s="9" t="s">
        <v>12333</v>
      </c>
      <c r="U2" s="9" t="s">
        <v>11614</v>
      </c>
      <c r="V2" s="9" t="s">
        <v>11618</v>
      </c>
      <c r="W2" s="9" t="s">
        <v>11619</v>
      </c>
      <c r="X2" s="9" t="s">
        <v>11620</v>
      </c>
      <c r="Y2" s="9" t="s">
        <v>11621</v>
      </c>
      <c r="Z2" s="9" t="s">
        <v>11623</v>
      </c>
      <c r="AA2" s="9" t="s">
        <v>11624</v>
      </c>
      <c r="AB2" s="9" t="s">
        <v>12334</v>
      </c>
      <c r="AC2" s="9" t="s">
        <v>11631</v>
      </c>
      <c r="AD2" s="14"/>
      <c r="AE2" s="13"/>
      <c r="AF2" s="13"/>
      <c r="AG2" s="17"/>
      <c r="AH2" s="17"/>
      <c r="AI2" s="17"/>
      <c r="AJ2" s="17"/>
      <c r="AK2" s="17"/>
      <c r="AL2" s="17"/>
      <c r="AM2" s="120" t="s">
        <v>12335</v>
      </c>
      <c r="AN2" s="17"/>
      <c r="AP2" s="17"/>
      <c r="AQ2" s="17"/>
      <c r="AR2" s="17"/>
      <c r="AS2" s="17"/>
      <c r="AT2" s="17"/>
      <c r="AU2" s="17"/>
      <c r="AV2" s="108"/>
      <c r="AW2" s="17"/>
      <c r="AX2" s="17"/>
      <c r="AY2" s="34"/>
      <c r="AZ2" s="34"/>
      <c r="BA2" s="34"/>
    </row>
    <row r="3" s="1" customFormat="1" ht="41.25" customHeight="1" spans="1:54">
      <c r="A3" s="10">
        <v>43500</v>
      </c>
      <c r="B3" s="10" t="s">
        <v>12336</v>
      </c>
      <c r="C3" s="10" t="s">
        <v>12337</v>
      </c>
      <c r="D3" s="10" t="s">
        <v>12338</v>
      </c>
      <c r="E3" s="10" t="s">
        <v>12339</v>
      </c>
      <c r="F3" s="10" t="s">
        <v>12340</v>
      </c>
      <c r="G3" s="10">
        <v>112800</v>
      </c>
      <c r="H3" s="10">
        <v>112900</v>
      </c>
      <c r="I3" s="10" t="s">
        <v>12341</v>
      </c>
      <c r="J3" s="10" t="s">
        <v>12342</v>
      </c>
      <c r="K3" s="10" t="s">
        <v>12343</v>
      </c>
      <c r="L3" s="10" t="s">
        <v>12344</v>
      </c>
      <c r="M3" s="10" t="s">
        <v>12345</v>
      </c>
      <c r="N3" s="10" t="s">
        <v>12346</v>
      </c>
      <c r="O3" s="10" t="s">
        <v>12347</v>
      </c>
      <c r="P3" s="10" t="s">
        <v>12348</v>
      </c>
      <c r="Q3" s="10" t="s">
        <v>12349</v>
      </c>
      <c r="R3" s="10" t="s">
        <v>12350</v>
      </c>
      <c r="S3" s="10" t="s">
        <v>12351</v>
      </c>
      <c r="T3" s="10" t="s">
        <v>12352</v>
      </c>
      <c r="U3" s="10" t="s">
        <v>12353</v>
      </c>
      <c r="V3" s="10" t="s">
        <v>12354</v>
      </c>
      <c r="W3" s="10" t="s">
        <v>12355</v>
      </c>
      <c r="X3" s="10" t="s">
        <v>12356</v>
      </c>
      <c r="Y3" s="10" t="s">
        <v>12357</v>
      </c>
      <c r="Z3" s="10" t="s">
        <v>12358</v>
      </c>
      <c r="AA3" s="10" t="s">
        <v>12359</v>
      </c>
      <c r="AB3" s="10" t="s">
        <v>12360</v>
      </c>
      <c r="AC3" s="10" t="s">
        <v>12361</v>
      </c>
      <c r="AD3" s="15"/>
      <c r="AE3" s="16"/>
      <c r="AF3" s="16"/>
      <c r="AG3" s="16" t="s">
        <v>11683</v>
      </c>
      <c r="AH3" s="16" t="s">
        <v>11522</v>
      </c>
      <c r="AI3" s="16" t="s">
        <v>11523</v>
      </c>
      <c r="AJ3" s="16" t="s">
        <v>11686</v>
      </c>
      <c r="AK3" s="16" t="s">
        <v>11687</v>
      </c>
      <c r="AL3" s="16" t="s">
        <v>11915</v>
      </c>
      <c r="AM3" s="16" t="s">
        <v>665</v>
      </c>
      <c r="AN3" s="16" t="s">
        <v>12362</v>
      </c>
      <c r="AO3" s="16" t="s">
        <v>12363</v>
      </c>
      <c r="AP3" s="16" t="s">
        <v>12168</v>
      </c>
      <c r="AQ3" s="16" t="s">
        <v>11696</v>
      </c>
      <c r="AR3" s="16" t="s">
        <v>12364</v>
      </c>
      <c r="AS3" s="16" t="s">
        <v>11692</v>
      </c>
      <c r="AT3" s="16" t="s">
        <v>11693</v>
      </c>
      <c r="AU3" s="16" t="s">
        <v>11694</v>
      </c>
      <c r="AV3" s="122"/>
      <c r="AW3" s="16" t="s">
        <v>11695</v>
      </c>
      <c r="AX3" s="16" t="s">
        <v>11696</v>
      </c>
      <c r="AY3" s="35" t="s">
        <v>11697</v>
      </c>
      <c r="AZ3" s="35" t="s">
        <v>11698</v>
      </c>
      <c r="BA3" s="35" t="s">
        <v>11699</v>
      </c>
      <c r="BB3" s="37" t="s">
        <v>11700</v>
      </c>
    </row>
    <row r="4" spans="4:56">
      <c r="D4" s="50"/>
      <c r="E4" s="50"/>
      <c r="AA4" s="55"/>
      <c r="AE4" s="6">
        <f>IF(AND(D4&gt;4678396.48217382,D4&lt;4924789.13601513),0,1)</f>
        <v>1</v>
      </c>
      <c r="AF4" s="6">
        <f>IF(AND(E4&gt;1554744.35667513,E4&lt;1771650.40247209),0,1)</f>
        <v>1</v>
      </c>
      <c r="AG4" s="19">
        <f>+IF(Y4&lt;3,IF(I4="",0,IF(I4&gt;0,0,1)),0)</f>
        <v>0</v>
      </c>
      <c r="AH4" s="32">
        <f>IF(Y4&lt;3,IF(OR(L4=9999,L4&lt;=('[2]Input anno'!$A$1)),0,1),0)</f>
        <v>0</v>
      </c>
      <c r="AI4" s="32">
        <f>IF(Y4&lt;3,IF(OR(M4=9800,M4=9999,M4&lt;='[2]Input anno'!$A$1),0,1),0)</f>
        <v>0</v>
      </c>
      <c r="AJ4" s="32">
        <f>+IF(Y4=3,IF(L4='[2]Input anno'!$A$1,0,1),0)</f>
        <v>0</v>
      </c>
      <c r="AK4" s="19">
        <f>+IF(Y4&lt;3,IF(L4&lt;&gt;9999,IF(L4&lt;M4,0,1),0),0)</f>
        <v>1</v>
      </c>
      <c r="AL4" s="32">
        <f>+IF(Y4&lt;3,IF(OR(N4=1,N4=2,N4=3,N4=4,N4=5),0,1),0)</f>
        <v>1</v>
      </c>
      <c r="AM4" s="32">
        <f>+IF(Y4&lt;3,IF(AND(O4&gt;0,O4&lt;5),0,1),0)</f>
        <v>1</v>
      </c>
      <c r="AN4" s="32">
        <f>+IF(Y4&lt;3,IF(AND(P4&gt;0,P4&lt;55),0,1),0)</f>
        <v>1</v>
      </c>
      <c r="AO4" s="32">
        <f>+IF(Y4&lt;3,(IF(O4=3,IF(R4&gt;0,0,1),IF(R4&gt;0,1,0))),0)</f>
        <v>0</v>
      </c>
      <c r="AP4" s="32">
        <f>+IF(Y4&lt;3,IF(AND(S4&gt;0,S4&lt;5),0,1),0)</f>
        <v>1</v>
      </c>
      <c r="AQ4" s="32">
        <f>+IF(Y4&lt;3,IF(L4=9800,IF(Z4="A",0,1),0),0)</f>
        <v>0</v>
      </c>
      <c r="AR4" s="32">
        <f>+IF(Y4&lt;3,IF(AND(V4&gt;0,V4&lt;7),0,1),0)</f>
        <v>1</v>
      </c>
      <c r="AS4" s="32">
        <f>+IF(Y4&lt;3,IF(AND(W4&lt;&gt;9800,W4&lt;&gt;9999),IF(W4&lt;X4,0,1),0),0)</f>
        <v>1</v>
      </c>
      <c r="AT4" s="32">
        <f>+IF(Y4&lt;3,IF(AND(W4&lt;&gt;9800,W4&lt;&gt;9999),IF(W4&lt;='[2]Input anno'!$A$1,0,1),0),0)</f>
        <v>0</v>
      </c>
      <c r="AU4" s="19">
        <f>+IF(Y4&lt;3,IF(AND(X4&lt;&gt;9800,X4&lt;&gt;9999),IF(X4&lt;='[2]Input anno'!$A$1,0,1),0),0)</f>
        <v>0</v>
      </c>
      <c r="AV4" s="123">
        <f>IF(W4=9800,IF(AND(V4="1",X4=9800),0,1),0)</f>
        <v>0</v>
      </c>
      <c r="AW4" s="19">
        <f>+IF(Y4&lt;3,IF(L4&lt;&gt;9999,IF(L4&gt;=2014,IF(Z4="A",0,1),0),IF(Z4="X",0,1)),0)</f>
        <v>0</v>
      </c>
      <c r="AX4" s="19">
        <f>+IF(Y4&lt;3,IF(M4&lt;9800,IF(M4&gt;=2014,IF(AA4="A",0,1),0),IF(M4=9999,IF(AA4="X",0,1),IF(AA4="A",0,1))),0)</f>
        <v>0</v>
      </c>
      <c r="AY4" s="36">
        <f>+IF(Y4&lt;3,IF(AND(M4&lt;&gt;9800,M4&lt;&gt;9999),IF(AND(M4&gt;=2019,N4&lt;4),1,0),0),0)</f>
        <v>0</v>
      </c>
      <c r="AZ4" s="36">
        <f>+IF(Y4&lt;3,IF(L4=9999,0,IF(L4&gt;=2014,IF(AND(M4&gt;L4,N4&gt;=4),0,1),0)),0)</f>
        <v>0</v>
      </c>
      <c r="BA4" s="36">
        <f>+IF(Y4&lt;3,IF(L4=9999,0,IF(L4&gt;=2015,IF(COUNTBLANK(B4:AC4)=0,0,1),0)),0)</f>
        <v>0</v>
      </c>
      <c r="BB4" s="38">
        <f>+IF(AND(L4='[2]Input anno'!$A$1,Y4=1),COUNTBLANK(B4:AC4),0)</f>
        <v>0</v>
      </c>
      <c r="BC4" s="84" t="s">
        <v>11560</v>
      </c>
      <c r="BD4" s="84" t="str">
        <f>IF(SUM(AE:AE)=0,"OK","errore su coordinata Nord")</f>
        <v>errore su coordinata Nord</v>
      </c>
    </row>
    <row r="5" spans="4:56">
      <c r="D5" s="50"/>
      <c r="E5" s="50"/>
      <c r="AA5" s="55"/>
      <c r="AE5" s="25"/>
      <c r="AF5" s="25"/>
      <c r="AG5" s="19"/>
      <c r="AK5" s="19"/>
      <c r="AS5" s="32"/>
      <c r="AT5" s="32"/>
      <c r="AY5" s="36"/>
      <c r="AZ5" s="36"/>
      <c r="BA5" s="36"/>
      <c r="BB5" s="38"/>
      <c r="BC5" s="84" t="s">
        <v>11561</v>
      </c>
      <c r="BD5" s="84" t="str">
        <f>IF(SUM(AF:AF)=0,"OK","errore su coordinata Est")</f>
        <v>errore su coordinata Est</v>
      </c>
    </row>
    <row r="6" spans="4:56">
      <c r="D6" s="50"/>
      <c r="E6" s="50"/>
      <c r="AA6" s="55"/>
      <c r="AE6" s="25"/>
      <c r="AF6" s="25"/>
      <c r="AG6" s="19"/>
      <c r="AK6" s="19"/>
      <c r="AS6" s="32"/>
      <c r="AT6" s="32"/>
      <c r="AY6" s="36"/>
      <c r="AZ6" s="36"/>
      <c r="BA6" s="36"/>
      <c r="BB6" s="38"/>
      <c r="BC6" s="84" t="s">
        <v>11701</v>
      </c>
      <c r="BD6" s="84" t="str">
        <f>IF(SUM(AG:AG)=0,"OK","errore su QUOTA")</f>
        <v>OK</v>
      </c>
    </row>
    <row r="7" spans="4:56">
      <c r="D7" s="50"/>
      <c r="E7" s="50"/>
      <c r="AA7" s="55"/>
      <c r="AE7" s="25"/>
      <c r="AF7" s="25"/>
      <c r="AG7" s="19"/>
      <c r="AK7" s="19"/>
      <c r="AS7" s="32"/>
      <c r="AT7" s="32"/>
      <c r="AY7" s="36"/>
      <c r="AZ7" s="36"/>
      <c r="BA7" s="36"/>
      <c r="BB7" s="38"/>
      <c r="BC7" s="84" t="s">
        <v>11522</v>
      </c>
      <c r="BD7" s="84" t="str">
        <f>IF(SUM(AH:AH)=0,"OK","errore su anno costruzione")</f>
        <v>OK</v>
      </c>
    </row>
    <row r="8" spans="4:56">
      <c r="D8" s="50"/>
      <c r="E8" s="50"/>
      <c r="AA8" s="55"/>
      <c r="AE8" s="25"/>
      <c r="AF8" s="25"/>
      <c r="AG8" s="19"/>
      <c r="AK8" s="19"/>
      <c r="AS8" s="32"/>
      <c r="AT8" s="32"/>
      <c r="AY8" s="36"/>
      <c r="AZ8" s="36"/>
      <c r="BA8" s="36"/>
      <c r="BB8" s="38"/>
      <c r="BC8" s="84" t="s">
        <v>11523</v>
      </c>
      <c r="BD8" s="84" t="str">
        <f>IF(SUM(AI:AI)=0,"OK","errore su anno ristrutturazione")</f>
        <v>OK</v>
      </c>
    </row>
    <row r="9" spans="4:56">
      <c r="D9" s="50"/>
      <c r="E9" s="50"/>
      <c r="AA9" s="55"/>
      <c r="AE9" s="25"/>
      <c r="AF9" s="25"/>
      <c r="AG9" s="19"/>
      <c r="AK9" s="19"/>
      <c r="AS9" s="32"/>
      <c r="AT9" s="32"/>
      <c r="AY9" s="36"/>
      <c r="AZ9" s="36"/>
      <c r="BA9" s="36"/>
      <c r="BB9" s="38"/>
      <c r="BC9" s="84" t="s">
        <v>11686</v>
      </c>
      <c r="BD9" s="84" t="str">
        <f>IF(SUM(AJ:AJ)=0,"OK","errore congruenza su anno costruzione pari a 3")</f>
        <v>OK</v>
      </c>
    </row>
    <row r="10" spans="4:56">
      <c r="D10" s="50"/>
      <c r="E10" s="50"/>
      <c r="AA10" s="55"/>
      <c r="AE10" s="25"/>
      <c r="AF10" s="25"/>
      <c r="AG10" s="19"/>
      <c r="AK10" s="19"/>
      <c r="AS10" s="32"/>
      <c r="AT10" s="32"/>
      <c r="AY10" s="36"/>
      <c r="AZ10" s="36"/>
      <c r="BA10" s="36"/>
      <c r="BB10" s="38"/>
      <c r="BC10" s="84" t="s">
        <v>11704</v>
      </c>
      <c r="BD10" s="84" t="str">
        <f>IF(SUM(AK:AK)=0,"OK","anno costruzione non congruente con anno ristrutturazione")</f>
        <v>anno costruzione non congruente con anno ristrutturazione</v>
      </c>
    </row>
    <row r="11" spans="4:56">
      <c r="D11" s="50"/>
      <c r="E11" s="50"/>
      <c r="AA11" s="55"/>
      <c r="AE11" s="25"/>
      <c r="AF11" s="25"/>
      <c r="AG11" s="19"/>
      <c r="AK11" s="19"/>
      <c r="AS11" s="32"/>
      <c r="AT11" s="32"/>
      <c r="AY11" s="36"/>
      <c r="AZ11" s="36"/>
      <c r="BA11" s="36"/>
      <c r="BB11" s="38"/>
      <c r="BC11" s="56" t="s">
        <v>11915</v>
      </c>
      <c r="BD11" s="84" t="str">
        <f>IF(SUM(AL:AL)=0,"OK","stato di conservazione non congruente con codifiche ammesse")</f>
        <v>stato di conservazione non congruente con codifiche ammesse</v>
      </c>
    </row>
    <row r="12" spans="4:56">
      <c r="D12" s="50"/>
      <c r="E12" s="50"/>
      <c r="AA12" s="55"/>
      <c r="AE12" s="25"/>
      <c r="AF12" s="25"/>
      <c r="AG12" s="19"/>
      <c r="AK12" s="19"/>
      <c r="AS12" s="32"/>
      <c r="AT12" s="32"/>
      <c r="AY12" s="36"/>
      <c r="AZ12" s="36"/>
      <c r="BA12" s="36"/>
      <c r="BB12" s="38"/>
      <c r="BC12" s="56" t="s">
        <v>665</v>
      </c>
      <c r="BD12" s="84" t="str">
        <f>IF(SUM(AM:AM)=0,"OK","tipo di serbatoio non congruente con codifiche ammesse")</f>
        <v>tipo di serbatoio non congruente con codifiche ammesse</v>
      </c>
    </row>
    <row r="13" spans="4:56">
      <c r="D13" s="50"/>
      <c r="E13" s="50"/>
      <c r="AA13" s="55"/>
      <c r="AE13" s="25"/>
      <c r="AF13" s="25"/>
      <c r="AG13" s="19"/>
      <c r="AK13" s="19"/>
      <c r="AS13" s="32"/>
      <c r="AT13" s="32"/>
      <c r="AY13" s="36"/>
      <c r="AZ13" s="36"/>
      <c r="BA13" s="36"/>
      <c r="BB13" s="38"/>
      <c r="BC13" s="56" t="s">
        <v>12362</v>
      </c>
      <c r="BD13" s="84" t="str">
        <f>IF(SUM(AN:AN)=0,"OK","tipo di materiale non congruente con codifiche ammesse")</f>
        <v>tipo di materiale non congruente con codifiche ammesse</v>
      </c>
    </row>
    <row r="14" spans="4:56">
      <c r="D14" s="50"/>
      <c r="E14" s="50"/>
      <c r="AA14" s="55"/>
      <c r="AE14" s="25"/>
      <c r="AF14" s="25"/>
      <c r="AG14" s="19"/>
      <c r="AK14" s="19"/>
      <c r="AS14" s="32"/>
      <c r="AT14" s="32"/>
      <c r="AY14" s="36"/>
      <c r="AZ14" s="36"/>
      <c r="BA14" s="36"/>
      <c r="BB14" s="38"/>
      <c r="BC14" s="56" t="s">
        <v>12363</v>
      </c>
      <c r="BD14" s="84" t="str">
        <f>IF(SUM(AO:AO)=0,"OK","quota serbatoio non congruente con tipologia serbatoio")</f>
        <v>OK</v>
      </c>
    </row>
    <row r="15" spans="4:56">
      <c r="D15" s="50"/>
      <c r="E15" s="50"/>
      <c r="AA15" s="55"/>
      <c r="AE15" s="25"/>
      <c r="AF15" s="25"/>
      <c r="AG15" s="19"/>
      <c r="AK15" s="19"/>
      <c r="AS15" s="32"/>
      <c r="AT15" s="32"/>
      <c r="AY15" s="36"/>
      <c r="AZ15" s="36"/>
      <c r="BA15" s="36"/>
      <c r="BB15" s="38"/>
      <c r="BC15" s="56" t="s">
        <v>12168</v>
      </c>
      <c r="BD15" s="84" t="str">
        <f>IF(SUM(AP:AP)=0,"OK","tipo telecontrollo non congruente con codifica ammessa")</f>
        <v>tipo telecontrollo non congruente con codifica ammessa</v>
      </c>
    </row>
    <row r="16" spans="4:56">
      <c r="D16" s="50"/>
      <c r="E16" s="50"/>
      <c r="AA16" s="55"/>
      <c r="AE16" s="25"/>
      <c r="AF16" s="25"/>
      <c r="AG16" s="19"/>
      <c r="AK16" s="19"/>
      <c r="AS16" s="32"/>
      <c r="AT16" s="32"/>
      <c r="AY16" s="36"/>
      <c r="AZ16" s="36"/>
      <c r="BA16" s="36"/>
      <c r="BB16" s="38"/>
      <c r="BC16" s="56" t="s">
        <v>11696</v>
      </c>
      <c r="BD16" s="84" t="str">
        <f>IF(SUM(AQ:AQ)=0,"OK","indice di confidenza non congruente con anno di ristrutturazione")</f>
        <v>OK</v>
      </c>
    </row>
    <row r="17" spans="4:56">
      <c r="D17" s="50"/>
      <c r="E17" s="50"/>
      <c r="AA17" s="55"/>
      <c r="AE17" s="25"/>
      <c r="AF17" s="25"/>
      <c r="AG17" s="19"/>
      <c r="AK17" s="19"/>
      <c r="AS17" s="32"/>
      <c r="AT17" s="32"/>
      <c r="AY17" s="36"/>
      <c r="AZ17" s="36"/>
      <c r="BA17" s="36"/>
      <c r="BB17" s="38"/>
      <c r="BC17" s="56" t="s">
        <v>12364</v>
      </c>
      <c r="BD17" s="84" t="str">
        <f>IF(SUM(AR:AR)=0,"OK","tipo clorazione non congruente con codifica ammessa")</f>
        <v>tipo clorazione non congruente con codifica ammessa</v>
      </c>
    </row>
    <row r="18" spans="4:56">
      <c r="D18" s="50"/>
      <c r="E18" s="50"/>
      <c r="AA18" s="55"/>
      <c r="AE18" s="25"/>
      <c r="AF18" s="25"/>
      <c r="AG18" s="19"/>
      <c r="AK18" s="19"/>
      <c r="AS18" s="32"/>
      <c r="AT18" s="32"/>
      <c r="AY18" s="36"/>
      <c r="AZ18" s="36"/>
      <c r="BA18" s="36"/>
      <c r="BB18" s="38"/>
      <c r="BC18" s="56" t="s">
        <v>11692</v>
      </c>
      <c r="BD18" s="84" t="str">
        <f>IF(SUM(AS:AS)=0,"OK","anno installaz cloratore non congruente con anno di ristrutt cloratore")</f>
        <v>anno installaz cloratore non congruente con anno di ristrutt cloratore</v>
      </c>
    </row>
    <row r="19" spans="4:56">
      <c r="D19" s="50"/>
      <c r="E19" s="50"/>
      <c r="AA19" s="55"/>
      <c r="AE19" s="25"/>
      <c r="AF19" s="25"/>
      <c r="AG19" s="19"/>
      <c r="AK19" s="19"/>
      <c r="AS19" s="32"/>
      <c r="AT19" s="32"/>
      <c r="AY19" s="36"/>
      <c r="AZ19" s="36"/>
      <c r="BA19" s="36"/>
      <c r="BB19" s="38"/>
      <c r="BC19" s="56" t="s">
        <v>11693</v>
      </c>
      <c r="BD19" s="84" t="str">
        <f>IF(SUM(AT:AT)=0,"OK","anno installaz cloratore non corretto")</f>
        <v>OK</v>
      </c>
    </row>
    <row r="20" spans="4:56">
      <c r="D20" s="50"/>
      <c r="E20" s="50"/>
      <c r="AA20" s="55"/>
      <c r="AE20" s="25"/>
      <c r="AF20" s="25"/>
      <c r="AG20" s="19"/>
      <c r="AK20" s="19"/>
      <c r="AS20" s="32"/>
      <c r="AT20" s="32"/>
      <c r="AY20" s="36"/>
      <c r="AZ20" s="36"/>
      <c r="BA20" s="36"/>
      <c r="BB20" s="38"/>
      <c r="BC20" s="56" t="s">
        <v>11694</v>
      </c>
      <c r="BD20" s="84" t="str">
        <f>IF(SUM(AU:AU)=0,"OK","anno ristruttur cloratore non corretto")</f>
        <v>OK</v>
      </c>
    </row>
    <row r="21" spans="4:56">
      <c r="D21" s="50"/>
      <c r="E21" s="50"/>
      <c r="AA21" s="55"/>
      <c r="AE21" s="25"/>
      <c r="AF21" s="25"/>
      <c r="AG21" s="19"/>
      <c r="AK21" s="19"/>
      <c r="AS21" s="32"/>
      <c r="AT21" s="32"/>
      <c r="AY21" s="36"/>
      <c r="AZ21" s="36"/>
      <c r="BA21" s="36"/>
      <c r="BB21" s="38"/>
      <c r="BC21" s="124" t="s">
        <v>12365</v>
      </c>
      <c r="BD21" s="125" t="str">
        <f>IF(SUM(AV:AV)=0,"OK","Mancata congruenza nella compilazione dei dati")</f>
        <v>OK</v>
      </c>
    </row>
    <row r="22" spans="4:56">
      <c r="D22" s="50"/>
      <c r="E22" s="50"/>
      <c r="AA22" s="55"/>
      <c r="AE22" s="25"/>
      <c r="AF22" s="25"/>
      <c r="AG22" s="19"/>
      <c r="AK22" s="19"/>
      <c r="AS22" s="32"/>
      <c r="AT22" s="32"/>
      <c r="AY22" s="36"/>
      <c r="AZ22" s="36"/>
      <c r="BA22" s="36"/>
      <c r="BB22" s="38"/>
      <c r="BC22" s="56" t="s">
        <v>12366</v>
      </c>
      <c r="BD22" s="84" t="str">
        <f>IF(SUM(AW:AW)=0,"OK","indice di confidenza non congruente con anno di costruzione")</f>
        <v>OK</v>
      </c>
    </row>
    <row r="23" spans="4:56">
      <c r="D23" s="50"/>
      <c r="E23" s="50"/>
      <c r="AA23" s="55"/>
      <c r="AE23" s="25"/>
      <c r="AF23" s="25"/>
      <c r="AG23" s="19"/>
      <c r="AK23" s="19"/>
      <c r="AS23" s="32"/>
      <c r="AT23" s="32"/>
      <c r="AY23" s="36"/>
      <c r="AZ23" s="36"/>
      <c r="BA23" s="36"/>
      <c r="BB23" s="38"/>
      <c r="BC23" s="56" t="s">
        <v>11696</v>
      </c>
      <c r="BD23" s="84" t="str">
        <f>IF(SUM(AX:AX)=0,"OK","indice di confidenza non congruente con anno di ristrutturazione")</f>
        <v>OK</v>
      </c>
    </row>
    <row r="24" spans="4:56">
      <c r="D24" s="50"/>
      <c r="E24" s="50"/>
      <c r="AA24" s="55"/>
      <c r="AE24" s="25"/>
      <c r="AF24" s="25"/>
      <c r="AG24" s="19"/>
      <c r="AK24" s="19"/>
      <c r="AS24" s="32"/>
      <c r="AT24" s="32"/>
      <c r="AY24" s="36"/>
      <c r="AZ24" s="36"/>
      <c r="BA24" s="36"/>
      <c r="BB24" s="38"/>
      <c r="BC24" s="126" t="s">
        <v>11705</v>
      </c>
      <c r="BD24" s="126" t="str">
        <f>IF(SUM(AY:AY)=0,"OK","conservazione non congruente con anno di ristrutturazione &gt;=2018")</f>
        <v>OK</v>
      </c>
    </row>
    <row r="25" spans="4:56">
      <c r="D25" s="50"/>
      <c r="E25" s="50"/>
      <c r="AA25" s="55"/>
      <c r="AE25" s="25"/>
      <c r="AF25" s="25"/>
      <c r="AG25" s="19"/>
      <c r="AK25" s="19"/>
      <c r="AS25" s="32"/>
      <c r="AT25" s="32"/>
      <c r="AY25" s="36"/>
      <c r="AZ25" s="36"/>
      <c r="BA25" s="36"/>
      <c r="BB25" s="38"/>
      <c r="BC25" s="127" t="s">
        <v>11698</v>
      </c>
      <c r="BD25" s="126" t="str">
        <f>IF(SUM(AZ:AZ)=0,"OK","Anno ristrutt. e/o stato di conservazione non congruenti con anno di costruzione &gt;=2014")</f>
        <v>OK</v>
      </c>
    </row>
    <row r="26" spans="4:56">
      <c r="D26" s="50"/>
      <c r="E26" s="50"/>
      <c r="AA26" s="55"/>
      <c r="AE26" s="25"/>
      <c r="AF26" s="25"/>
      <c r="AG26" s="19"/>
      <c r="AK26" s="19"/>
      <c r="AS26" s="32"/>
      <c r="AT26" s="32"/>
      <c r="AY26" s="36"/>
      <c r="AZ26" s="36"/>
      <c r="BA26" s="36"/>
      <c r="BB26" s="38"/>
      <c r="BC26" s="127" t="s">
        <v>11699</v>
      </c>
      <c r="BD26" s="126" t="str">
        <f>IF(SUM(BA:BA)=0,"OK","Errore: celle vuote in corrispondenza di opera costruita in anno &gt;=2015")</f>
        <v>OK</v>
      </c>
    </row>
    <row r="27" spans="55:56">
      <c r="BC27" s="37" t="s">
        <v>11700</v>
      </c>
      <c r="BD27" s="41" t="str">
        <f>IF(SUM(BB:BB)=0,"OK","Errore: verifica completezza su nuove opere")</f>
        <v>OK</v>
      </c>
    </row>
  </sheetData>
  <pageMargins left="0.75" right="0.75" top="1" bottom="1" header="0.511811023622047" footer="0.511811023622047"/>
  <pageSetup paperSize="9" orientation="portrait" horizontalDpi="300" verticalDpi="300"/>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28"/>
  <sheetViews>
    <sheetView topLeftCell="AW3" workbookViewId="0">
      <selection activeCell="BE28" sqref="BE28:BF28"/>
    </sheetView>
  </sheetViews>
  <sheetFormatPr defaultColWidth="10.7142857142857" defaultRowHeight="12.75"/>
  <cols>
    <col min="1" max="1" width="33.8571428571429" style="3" customWidth="1"/>
    <col min="2" max="2" width="50.4285714285714" style="3" customWidth="1"/>
    <col min="3" max="3" width="29.2857142857143" style="3" customWidth="1"/>
    <col min="4" max="4" width="33.8571428571429" style="3" customWidth="1"/>
    <col min="5" max="5" width="32.7142857142857" style="3" customWidth="1"/>
    <col min="6" max="7" width="10.7142857142857" style="3"/>
    <col min="8" max="8" width="26.2857142857143" style="3" customWidth="1"/>
    <col min="9" max="25" width="10.7142857142857" style="3"/>
    <col min="26" max="31" width="9.14285714285714" customWidth="1"/>
    <col min="32" max="33" width="12.7142857142857" customWidth="1"/>
    <col min="34" max="34" width="11.8571428571429" style="113" customWidth="1"/>
    <col min="35" max="35" width="13.4285714285714" style="113" customWidth="1"/>
    <col min="36" max="37" width="16.4285714285714" style="113" customWidth="1"/>
    <col min="38" max="38" width="14.2857142857143" style="113" customWidth="1"/>
    <col min="39" max="39" width="13.7142857142857" style="113" customWidth="1"/>
    <col min="40" max="42" width="18.4285714285714" style="113" customWidth="1"/>
    <col min="43" max="43" width="15.7142857142857" style="113" customWidth="1"/>
    <col min="44" max="44" width="15.2857142857143" style="113" customWidth="1"/>
    <col min="45" max="45" width="19" style="32" customWidth="1"/>
    <col min="46" max="46" width="20.2857142857143" style="19" customWidth="1"/>
    <col min="47" max="48" width="21" style="19" customWidth="1"/>
    <col min="49" max="49" width="20.7142857142857" style="42" customWidth="1"/>
    <col min="50" max="50" width="23.5714285714286" style="42" customWidth="1"/>
    <col min="51" max="51" width="28" style="42" customWidth="1"/>
    <col min="52" max="52" width="20.2857142857143" style="19" customWidth="1"/>
    <col min="53" max="53" width="19.7142857142857" style="19" customWidth="1"/>
    <col min="54" max="54" width="17.1428571428571" style="19" customWidth="1"/>
    <col min="55" max="55" width="19" style="19" customWidth="1"/>
    <col min="56" max="56" width="14.2857142857143" style="113" customWidth="1"/>
    <col min="57" max="57" width="51.4285714285714" style="114" customWidth="1"/>
    <col min="58" max="58" width="25.1428571428571" style="114" customWidth="1"/>
    <col min="59" max="59" width="41.4285714285714" customWidth="1"/>
    <col min="60" max="67" width="9.14285714285714" customWidth="1"/>
    <col min="68" max="1024" width="10.7142857142857" style="3"/>
  </cols>
  <sheetData>
    <row r="1" s="1" customFormat="1" ht="141" customHeight="1" spans="1:58">
      <c r="A1" s="8" t="s">
        <v>11505</v>
      </c>
      <c r="B1" s="8" t="s">
        <v>11506</v>
      </c>
      <c r="C1" s="8" t="s">
        <v>11507</v>
      </c>
      <c r="D1" s="8" t="s">
        <v>11508</v>
      </c>
      <c r="E1" s="8" t="s">
        <v>11509</v>
      </c>
      <c r="F1" s="8" t="s">
        <v>11510</v>
      </c>
      <c r="G1" s="27" t="s">
        <v>11511</v>
      </c>
      <c r="H1" s="27" t="s">
        <v>11512</v>
      </c>
      <c r="I1" s="8" t="s">
        <v>11513</v>
      </c>
      <c r="J1" s="8" t="s">
        <v>11514</v>
      </c>
      <c r="K1" s="8" t="s">
        <v>11515</v>
      </c>
      <c r="L1" s="8" t="s">
        <v>11522</v>
      </c>
      <c r="M1" s="8" t="s">
        <v>12015</v>
      </c>
      <c r="N1" s="8" t="s">
        <v>12016</v>
      </c>
      <c r="O1" s="8" t="s">
        <v>12017</v>
      </c>
      <c r="P1" s="8" t="s">
        <v>12018</v>
      </c>
      <c r="Q1" s="8" t="s">
        <v>11792</v>
      </c>
      <c r="R1" s="8" t="s">
        <v>11793</v>
      </c>
      <c r="S1" s="8" t="s">
        <v>11540</v>
      </c>
      <c r="T1" s="8" t="s">
        <v>11796</v>
      </c>
      <c r="U1" s="8" t="s">
        <v>11541</v>
      </c>
      <c r="V1" s="27" t="s">
        <v>11545</v>
      </c>
      <c r="W1" s="27" t="s">
        <v>11546</v>
      </c>
      <c r="X1" s="27" t="s">
        <v>11547</v>
      </c>
      <c r="Y1" s="8" t="s">
        <v>11548</v>
      </c>
      <c r="Z1" s="8" t="s">
        <v>11550</v>
      </c>
      <c r="AA1" s="8" t="s">
        <v>12052</v>
      </c>
      <c r="AB1" s="8" t="s">
        <v>12053</v>
      </c>
      <c r="AC1" s="8" t="s">
        <v>11799</v>
      </c>
      <c r="AD1" s="8" t="s">
        <v>11558</v>
      </c>
      <c r="AE1" s="12" t="s">
        <v>11559</v>
      </c>
      <c r="AF1" s="13" t="s">
        <v>11560</v>
      </c>
      <c r="AG1" s="13" t="s">
        <v>11561</v>
      </c>
      <c r="AH1" s="13" t="s">
        <v>11562</v>
      </c>
      <c r="AI1" s="13" t="s">
        <v>11566</v>
      </c>
      <c r="AJ1" s="13" t="s">
        <v>12367</v>
      </c>
      <c r="AK1" s="13" t="s">
        <v>12367</v>
      </c>
      <c r="AL1" s="13" t="s">
        <v>11568</v>
      </c>
      <c r="AM1" s="13" t="s">
        <v>11885</v>
      </c>
      <c r="AN1" s="13" t="s">
        <v>12368</v>
      </c>
      <c r="AO1" s="13" t="s">
        <v>12368</v>
      </c>
      <c r="AP1" s="13" t="s">
        <v>12059</v>
      </c>
      <c r="AQ1" s="13" t="s">
        <v>12059</v>
      </c>
      <c r="AR1" s="13" t="s">
        <v>12060</v>
      </c>
      <c r="AS1" s="13" t="s">
        <v>12327</v>
      </c>
      <c r="AT1" s="13"/>
      <c r="AU1" s="13" t="s">
        <v>11572</v>
      </c>
      <c r="AV1" s="13" t="s">
        <v>11572</v>
      </c>
      <c r="AW1" s="13" t="s">
        <v>11573</v>
      </c>
      <c r="AX1" s="13" t="s">
        <v>12064</v>
      </c>
      <c r="AY1" s="13" t="s">
        <v>12065</v>
      </c>
      <c r="AZ1" s="33" t="s">
        <v>12066</v>
      </c>
      <c r="BA1" s="33" t="s">
        <v>12067</v>
      </c>
      <c r="BB1" s="34" t="s">
        <v>11576</v>
      </c>
      <c r="BC1" s="34" t="s">
        <v>11577</v>
      </c>
      <c r="BD1" s="116"/>
      <c r="BE1" s="117"/>
      <c r="BF1" s="117"/>
    </row>
    <row r="2" s="1" customFormat="1" ht="43.5" customHeight="1" spans="1:56">
      <c r="A2" s="9" t="s">
        <v>12369</v>
      </c>
      <c r="B2" s="9" t="s">
        <v>11579</v>
      </c>
      <c r="C2" s="9" t="s">
        <v>11580</v>
      </c>
      <c r="D2" s="9" t="s">
        <v>11581</v>
      </c>
      <c r="E2" s="9" t="s">
        <v>11582</v>
      </c>
      <c r="F2" s="9" t="s">
        <v>11583</v>
      </c>
      <c r="G2" s="29" t="s">
        <v>11584</v>
      </c>
      <c r="H2" s="29" t="s">
        <v>11585</v>
      </c>
      <c r="I2" s="9" t="s">
        <v>11586</v>
      </c>
      <c r="J2" s="9" t="s">
        <v>11587</v>
      </c>
      <c r="K2" s="9" t="s">
        <v>11588</v>
      </c>
      <c r="L2" s="9" t="s">
        <v>11595</v>
      </c>
      <c r="M2" s="9" t="s">
        <v>12070</v>
      </c>
      <c r="N2" s="9" t="s">
        <v>12071</v>
      </c>
      <c r="O2" s="9" t="s">
        <v>12072</v>
      </c>
      <c r="P2" s="9" t="s">
        <v>12073</v>
      </c>
      <c r="Q2" s="9" t="s">
        <v>11815</v>
      </c>
      <c r="R2" s="9" t="s">
        <v>11816</v>
      </c>
      <c r="S2" s="9" t="s">
        <v>11613</v>
      </c>
      <c r="T2" s="9" t="s">
        <v>11819</v>
      </c>
      <c r="U2" s="9" t="s">
        <v>11614</v>
      </c>
      <c r="V2" s="29" t="s">
        <v>11618</v>
      </c>
      <c r="W2" s="29" t="s">
        <v>11619</v>
      </c>
      <c r="X2" s="29" t="s">
        <v>11620</v>
      </c>
      <c r="Y2" s="9" t="s">
        <v>11621</v>
      </c>
      <c r="Z2" s="9" t="s">
        <v>11623</v>
      </c>
      <c r="AA2" s="9" t="s">
        <v>12104</v>
      </c>
      <c r="AB2" s="9" t="s">
        <v>12105</v>
      </c>
      <c r="AC2" s="9" t="s">
        <v>11822</v>
      </c>
      <c r="AD2" s="9" t="s">
        <v>11631</v>
      </c>
      <c r="AE2" s="14"/>
      <c r="AF2" s="13"/>
      <c r="AG2" s="13"/>
      <c r="AH2" s="17"/>
      <c r="AI2" s="17"/>
      <c r="AJ2" s="17"/>
      <c r="AK2" s="17"/>
      <c r="AL2" s="17"/>
      <c r="AM2" s="17"/>
      <c r="AN2" s="17"/>
      <c r="AO2" s="17"/>
      <c r="AP2" s="17"/>
      <c r="AQ2" s="17"/>
      <c r="AR2" s="17"/>
      <c r="AS2" s="17"/>
      <c r="AT2" s="17"/>
      <c r="AU2" s="17"/>
      <c r="AV2" s="17"/>
      <c r="AW2" s="17"/>
      <c r="AX2" s="17"/>
      <c r="AY2" s="17"/>
      <c r="AZ2" s="34"/>
      <c r="BA2" s="34"/>
      <c r="BB2" s="34"/>
      <c r="BC2" s="34"/>
      <c r="BD2" s="116"/>
    </row>
    <row r="3" s="2" customFormat="1" ht="74.25" customHeight="1" spans="1:56">
      <c r="A3" s="10" t="s">
        <v>12370</v>
      </c>
      <c r="B3" s="10" t="s">
        <v>12371</v>
      </c>
      <c r="C3" s="10" t="s">
        <v>12372</v>
      </c>
      <c r="D3" s="10" t="s">
        <v>12373</v>
      </c>
      <c r="E3" s="10" t="s">
        <v>12374</v>
      </c>
      <c r="F3" s="10" t="s">
        <v>12375</v>
      </c>
      <c r="G3" s="10">
        <v>113000</v>
      </c>
      <c r="H3" s="10">
        <v>113100</v>
      </c>
      <c r="I3" s="10" t="s">
        <v>12376</v>
      </c>
      <c r="J3" s="10" t="s">
        <v>12377</v>
      </c>
      <c r="K3" s="10" t="s">
        <v>12378</v>
      </c>
      <c r="L3" s="10" t="s">
        <v>12379</v>
      </c>
      <c r="M3" s="10" t="s">
        <v>12380</v>
      </c>
      <c r="N3" s="10" t="s">
        <v>12381</v>
      </c>
      <c r="O3" s="10" t="s">
        <v>12382</v>
      </c>
      <c r="P3" s="10" t="s">
        <v>12383</v>
      </c>
      <c r="Q3" s="10" t="s">
        <v>12384</v>
      </c>
      <c r="R3" s="10" t="s">
        <v>12385</v>
      </c>
      <c r="S3" s="10" t="s">
        <v>12386</v>
      </c>
      <c r="T3" s="10" t="s">
        <v>12387</v>
      </c>
      <c r="U3" s="10" t="s">
        <v>12388</v>
      </c>
      <c r="V3" s="10">
        <v>113200</v>
      </c>
      <c r="W3" s="10">
        <v>113300</v>
      </c>
      <c r="X3" s="10">
        <v>113400</v>
      </c>
      <c r="Y3" s="10" t="s">
        <v>12389</v>
      </c>
      <c r="Z3" s="10" t="s">
        <v>12390</v>
      </c>
      <c r="AA3" s="10" t="s">
        <v>12391</v>
      </c>
      <c r="AB3" s="10" t="s">
        <v>12392</v>
      </c>
      <c r="AC3" s="10" t="s">
        <v>12393</v>
      </c>
      <c r="AD3" s="10" t="s">
        <v>12394</v>
      </c>
      <c r="AE3" s="15"/>
      <c r="AF3" s="16"/>
      <c r="AG3" s="16"/>
      <c r="AH3" s="46" t="s">
        <v>11683</v>
      </c>
      <c r="AI3" s="16" t="s">
        <v>11522</v>
      </c>
      <c r="AJ3" s="16" t="s">
        <v>12395</v>
      </c>
      <c r="AK3" s="16" t="s">
        <v>12396</v>
      </c>
      <c r="AL3" s="16" t="s">
        <v>11686</v>
      </c>
      <c r="AM3" s="16" t="s">
        <v>11687</v>
      </c>
      <c r="AN3" s="16" t="s">
        <v>12397</v>
      </c>
      <c r="AO3" s="16" t="s">
        <v>12398</v>
      </c>
      <c r="AP3" s="16" t="s">
        <v>307</v>
      </c>
      <c r="AQ3" s="16" t="s">
        <v>11871</v>
      </c>
      <c r="AR3" s="16" t="s">
        <v>12168</v>
      </c>
      <c r="AS3" s="16" t="s">
        <v>12364</v>
      </c>
      <c r="AT3" s="16" t="s">
        <v>11692</v>
      </c>
      <c r="AU3" s="16" t="s">
        <v>11693</v>
      </c>
      <c r="AV3" s="16" t="s">
        <v>11694</v>
      </c>
      <c r="AW3" s="16" t="s">
        <v>11695</v>
      </c>
      <c r="AX3" s="16" t="s">
        <v>12169</v>
      </c>
      <c r="AY3" s="16" t="s">
        <v>12170</v>
      </c>
      <c r="AZ3" s="35" t="s">
        <v>12171</v>
      </c>
      <c r="BA3" s="35" t="s">
        <v>12172</v>
      </c>
      <c r="BB3" s="35" t="s">
        <v>11698</v>
      </c>
      <c r="BC3" s="35" t="s">
        <v>11699</v>
      </c>
      <c r="BD3" s="37" t="s">
        <v>11700</v>
      </c>
    </row>
    <row r="4" spans="4:58">
      <c r="D4" s="50"/>
      <c r="E4" s="50"/>
      <c r="Y4" s="115"/>
      <c r="AF4" s="6">
        <f>IF(AND(D4&gt;4678396.48217382,D4&lt;4924789.13601513),0,1)</f>
        <v>1</v>
      </c>
      <c r="AG4" s="6">
        <f>IF(AND(E4&gt;1554744.35667513,E4&lt;1771650.40247209),0,1)</f>
        <v>1</v>
      </c>
      <c r="AH4" s="19">
        <f>+IF(Y4&lt;3,IF(I4="",0,IF(I4&gt;0,0,1)),0)</f>
        <v>0</v>
      </c>
      <c r="AI4" s="32">
        <f>IF(Y4&lt;3,IF(OR(L4=9999,L4&lt;=('[2]Input anno'!$A$1)),0,1),0)</f>
        <v>0</v>
      </c>
      <c r="AJ4" s="32">
        <f>IF(Y4&lt;3,IF(OR(M4=9999,M4=9800,M4&lt;='[2]Input anno'!$A$1),0,1),0)</f>
        <v>0</v>
      </c>
      <c r="AK4" s="32">
        <f>IF(Z4&lt;3,IF(OR(O4=9999,O4=9800,O4&lt;='[2]Input anno'!$A$1),0,1),0)</f>
        <v>0</v>
      </c>
      <c r="AL4" s="32">
        <f>+IF(Y4=3,IF(L4='[2]Input anno'!$A$1,0,1),0)</f>
        <v>0</v>
      </c>
      <c r="AM4" s="19">
        <f>+IF(Y4&lt;3,IF(L4&lt;&gt;9999,IF(AND(L4&lt;M4,L4&lt;O4),0,1),0),0)</f>
        <v>1</v>
      </c>
      <c r="AN4" s="32">
        <f>+IF(Y4&lt;3,IF(OR(N4=1,N4=2,N4=3,N4=4,N4=5),0,1),0)</f>
        <v>1</v>
      </c>
      <c r="AO4" s="32">
        <f>+IF(Y4&lt;3,IF(OR(P4=1,P4=2,P4=3,P4=4,P4=5),0,1),0)</f>
        <v>1</v>
      </c>
      <c r="AP4" s="32">
        <f>+IF(Y4=1,IF(Q4&gt;0,0,1),0)</f>
        <v>0</v>
      </c>
      <c r="AQ4" s="32">
        <f>+IF(Y4=1,IF(R4&gt;0,0,1),0)</f>
        <v>0</v>
      </c>
      <c r="AR4" s="32">
        <f>+IF(Y4&lt;3,IF(AND(S4&gt;0,S4&lt;5),0,1),0)</f>
        <v>1</v>
      </c>
      <c r="AS4" s="32">
        <f>+IF(Y4&lt;3,IF(AND(V4&gt;0,V4&lt;7),0,1),0)</f>
        <v>1</v>
      </c>
      <c r="AT4" s="32">
        <f>+IF(Y4&lt;3,IF(AND(W4&lt;&gt;9800,W4&lt;&gt;9999),IF(W4&lt;X4,0,1),0),0)</f>
        <v>1</v>
      </c>
      <c r="AU4" s="32">
        <f>+IF(Y4&lt;3,IF(AND(W4&lt;&gt;9800,W4&lt;&gt;9999),IF(W4&lt;='[3]Input anno'!$A$1,0,1),0),0)</f>
        <v>0</v>
      </c>
      <c r="AV4" s="19">
        <f>+IF(Y4&lt;3,IF(AND(X4&lt;&gt;9800,X4&lt;&gt;9999),IF(X4&lt;='[3]Input anno'!$A$1,0,1),0),0)</f>
        <v>0</v>
      </c>
      <c r="AW4" s="19">
        <f>+IF(Y4&lt;3,IF(L4&lt;&gt;9999,IF(L4&gt;=2014,IF(Z4="A",0,1),0),IF(Z4="X",0,1)),0)</f>
        <v>0</v>
      </c>
      <c r="AX4" s="19">
        <f>+IF(Y4&lt;3,IF(M4&lt;9800,IF(M4&gt;=2014,IF(AA4="A",0,1),0),IF(M4=9999,IF(AA4="X",0,1),IF(AA4="A",0,1))),0)</f>
        <v>0</v>
      </c>
      <c r="AY4" s="19">
        <f>+IF(Y4&lt;3,IF(O4&lt;9800,IF(O4&gt;=2014,IF(AB4="A",0,1),0),IF(O4=9999,IF(AB4="X",0,1),IF(AB4="A",0,1))),0)</f>
        <v>0</v>
      </c>
      <c r="AZ4" s="36">
        <f>+IF(Y4&lt;3,IF(AND(M4&lt;&gt;9800,M4&lt;&gt;9999),IF(AND(M4&gt;=2019,N4&lt;4),1,0),0),0)</f>
        <v>0</v>
      </c>
      <c r="BA4" s="36">
        <f>+IF(Y4&lt;3,IF(AND(O4&lt;&gt;9800,O4&lt;&gt;9999),IF(AND(O4&gt;=2019,P4&lt;4),1,0),0),0)</f>
        <v>0</v>
      </c>
      <c r="BB4" s="36">
        <f>+IF(Y4&lt;3,IF(L4=9999,0,IF(L4&gt;=2014,IF(AND(M4&gt;L4,O4&gt;L4,N4&gt;=4,P4&gt;=4),0,1),0)),0)</f>
        <v>0</v>
      </c>
      <c r="BC4" s="36">
        <f>+IF(Y4&lt;3,IF(L4=9999,0,IF(L4&gt;=2015,IF(COUNTBLANK(B4:AD4)=0,0,1),0)),0)</f>
        <v>0</v>
      </c>
      <c r="BD4" s="38">
        <f>+IF(AND(L4='[2]Input anno'!$A$1,Y4=1),COUNTBLANK(B4:AD4),0)</f>
        <v>0</v>
      </c>
      <c r="BE4" s="84" t="s">
        <v>11560</v>
      </c>
      <c r="BF4" s="84" t="str">
        <f>IF(SUM(AF:AF)=0,"OK","errore su coordinata Nord")</f>
        <v>errore su coordinata Nord</v>
      </c>
    </row>
    <row r="5" spans="4:58">
      <c r="D5" s="50"/>
      <c r="E5" s="50"/>
      <c r="Y5" s="55"/>
      <c r="AF5" s="25"/>
      <c r="AG5" s="25"/>
      <c r="AH5" s="19"/>
      <c r="AI5" s="32"/>
      <c r="AJ5" s="32"/>
      <c r="AK5" s="32"/>
      <c r="AL5" s="32"/>
      <c r="AM5" s="19"/>
      <c r="AN5" s="32"/>
      <c r="AO5" s="32"/>
      <c r="AP5" s="32"/>
      <c r="AQ5" s="32"/>
      <c r="AR5" s="32"/>
      <c r="AT5" s="32"/>
      <c r="AU5" s="32"/>
      <c r="AW5" s="19"/>
      <c r="AX5" s="19"/>
      <c r="AY5" s="19"/>
      <c r="AZ5" s="36"/>
      <c r="BA5" s="36"/>
      <c r="BB5" s="36"/>
      <c r="BC5" s="36"/>
      <c r="BD5" s="38"/>
      <c r="BE5" s="84" t="s">
        <v>11561</v>
      </c>
      <c r="BF5" s="84" t="str">
        <f>IF(SUM(AG:AG)=0,"OK","errore su coordinata Est")</f>
        <v>errore su coordinata Est</v>
      </c>
    </row>
    <row r="6" spans="4:58">
      <c r="D6" s="50"/>
      <c r="E6" s="50"/>
      <c r="Y6" s="55"/>
      <c r="AF6" s="25"/>
      <c r="AG6" s="25"/>
      <c r="AH6" s="19"/>
      <c r="AI6" s="32"/>
      <c r="AJ6" s="32"/>
      <c r="AK6" s="32"/>
      <c r="AL6" s="32"/>
      <c r="AM6" s="19"/>
      <c r="AN6" s="32"/>
      <c r="AO6" s="32"/>
      <c r="AP6" s="32"/>
      <c r="AQ6" s="32"/>
      <c r="AR6" s="32"/>
      <c r="AT6" s="32"/>
      <c r="AU6" s="32"/>
      <c r="AW6" s="19"/>
      <c r="AX6" s="19"/>
      <c r="AY6" s="19"/>
      <c r="AZ6" s="36"/>
      <c r="BA6" s="36"/>
      <c r="BB6" s="36"/>
      <c r="BC6" s="36"/>
      <c r="BD6" s="38"/>
      <c r="BE6" s="89" t="s">
        <v>11701</v>
      </c>
      <c r="BF6" s="89" t="str">
        <f>IF(SUM(AH:AH)=0,"OK","errore su QUOTA")</f>
        <v>OK</v>
      </c>
    </row>
    <row r="7" spans="4:58">
      <c r="D7" s="50"/>
      <c r="E7" s="50"/>
      <c r="Y7" s="55"/>
      <c r="AF7" s="25"/>
      <c r="AG7" s="25"/>
      <c r="AH7" s="19"/>
      <c r="AI7" s="32"/>
      <c r="AJ7" s="32"/>
      <c r="AK7" s="32"/>
      <c r="AL7" s="32"/>
      <c r="AM7" s="19"/>
      <c r="AN7" s="32"/>
      <c r="AO7" s="32"/>
      <c r="AP7" s="32"/>
      <c r="AQ7" s="32"/>
      <c r="AR7" s="32"/>
      <c r="AT7" s="32"/>
      <c r="AU7" s="32"/>
      <c r="AW7" s="19"/>
      <c r="AX7" s="19"/>
      <c r="AY7" s="19"/>
      <c r="AZ7" s="36"/>
      <c r="BA7" s="36"/>
      <c r="BB7" s="36"/>
      <c r="BC7" s="36"/>
      <c r="BD7" s="38"/>
      <c r="BE7" s="89" t="s">
        <v>11522</v>
      </c>
      <c r="BF7" s="89" t="str">
        <f>IF(SUM(AI:AI)=0,"OK","errore su anno costruzione")</f>
        <v>OK</v>
      </c>
    </row>
    <row r="8" spans="4:58">
      <c r="D8" s="50"/>
      <c r="E8" s="50"/>
      <c r="Y8" s="55"/>
      <c r="AF8" s="25"/>
      <c r="AG8" s="25"/>
      <c r="AH8" s="19"/>
      <c r="AI8" s="32"/>
      <c r="AJ8" s="32"/>
      <c r="AK8" s="32"/>
      <c r="AL8" s="32"/>
      <c r="AM8" s="19"/>
      <c r="AN8" s="32"/>
      <c r="AO8" s="32"/>
      <c r="AP8" s="32"/>
      <c r="AQ8" s="32"/>
      <c r="AR8" s="32"/>
      <c r="AT8" s="32"/>
      <c r="AU8" s="32"/>
      <c r="AW8" s="19"/>
      <c r="AX8" s="19"/>
      <c r="AY8" s="19"/>
      <c r="AZ8" s="36"/>
      <c r="BA8" s="36"/>
      <c r="BB8" s="36"/>
      <c r="BC8" s="36"/>
      <c r="BD8" s="38"/>
      <c r="BE8" s="89" t="s">
        <v>12399</v>
      </c>
      <c r="BF8" s="89" t="str">
        <f>IF(SUM(AJ:AJ)=0,"OK","errore su anni ristrutturazione")</f>
        <v>OK</v>
      </c>
    </row>
    <row r="9" spans="4:58">
      <c r="D9" s="50"/>
      <c r="E9" s="50"/>
      <c r="Y9" s="55"/>
      <c r="AF9" s="25"/>
      <c r="AG9" s="25"/>
      <c r="AH9" s="19"/>
      <c r="AI9" s="32"/>
      <c r="AJ9" s="32"/>
      <c r="AK9" s="32"/>
      <c r="AL9" s="32"/>
      <c r="AM9" s="19"/>
      <c r="AN9" s="32"/>
      <c r="AO9" s="32"/>
      <c r="AP9" s="32"/>
      <c r="AQ9" s="32"/>
      <c r="AR9" s="32"/>
      <c r="AT9" s="32"/>
      <c r="AU9" s="32"/>
      <c r="AW9" s="19"/>
      <c r="AX9" s="19"/>
      <c r="AY9" s="19"/>
      <c r="AZ9" s="36"/>
      <c r="BA9" s="36"/>
      <c r="BB9" s="36"/>
      <c r="BC9" s="36"/>
      <c r="BD9" s="38"/>
      <c r="BE9" s="89" t="s">
        <v>12400</v>
      </c>
      <c r="BF9" s="89" t="str">
        <f>IF(SUM(AK:AK)=0,"OK","errore su anni ristrutturazione")</f>
        <v>OK</v>
      </c>
    </row>
    <row r="10" spans="4:58">
      <c r="D10" s="50"/>
      <c r="E10" s="50"/>
      <c r="Y10" s="55"/>
      <c r="AF10" s="25"/>
      <c r="AG10" s="25"/>
      <c r="AH10" s="19"/>
      <c r="AI10" s="32"/>
      <c r="AJ10" s="32"/>
      <c r="AK10" s="32"/>
      <c r="AL10" s="32"/>
      <c r="AM10" s="19"/>
      <c r="AN10" s="32"/>
      <c r="AO10" s="32"/>
      <c r="AP10" s="32"/>
      <c r="AQ10" s="32"/>
      <c r="AR10" s="32"/>
      <c r="AT10" s="32"/>
      <c r="AU10" s="32"/>
      <c r="AW10" s="19"/>
      <c r="AX10" s="19"/>
      <c r="AY10" s="19"/>
      <c r="AZ10" s="36"/>
      <c r="BA10" s="36"/>
      <c r="BB10" s="36"/>
      <c r="BC10" s="36"/>
      <c r="BD10" s="38"/>
      <c r="BE10" s="89" t="s">
        <v>11686</v>
      </c>
      <c r="BF10" s="89" t="str">
        <f>IF(SUM(AL:AL)=0,"OK","errore congruenza su anno costruzione pari a 3")</f>
        <v>OK</v>
      </c>
    </row>
    <row r="11" spans="4:58">
      <c r="D11" s="50"/>
      <c r="E11" s="50"/>
      <c r="Y11" s="55"/>
      <c r="AF11" s="25"/>
      <c r="AG11" s="25"/>
      <c r="AH11" s="19"/>
      <c r="AI11" s="32"/>
      <c r="AJ11" s="32"/>
      <c r="AK11" s="32"/>
      <c r="AL11" s="32"/>
      <c r="AM11" s="19"/>
      <c r="AN11" s="32"/>
      <c r="AO11" s="32"/>
      <c r="AP11" s="32"/>
      <c r="AQ11" s="32"/>
      <c r="AR11" s="32"/>
      <c r="AT11" s="32"/>
      <c r="AU11" s="32"/>
      <c r="AW11" s="19"/>
      <c r="AX11" s="19"/>
      <c r="AY11" s="19"/>
      <c r="AZ11" s="36"/>
      <c r="BA11" s="36"/>
      <c r="BB11" s="36"/>
      <c r="BC11" s="36"/>
      <c r="BD11" s="38"/>
      <c r="BE11" s="89" t="s">
        <v>11704</v>
      </c>
      <c r="BF11" s="89" t="str">
        <f>IF(SUM(AM:AM)=0,"OK","anno costruzione non congruente con anno ristrutturazione")</f>
        <v>anno costruzione non congruente con anno ristrutturazione</v>
      </c>
    </row>
    <row r="12" spans="4:58">
      <c r="D12" s="50"/>
      <c r="E12" s="50"/>
      <c r="Y12" s="55"/>
      <c r="AF12" s="25"/>
      <c r="AG12" s="25"/>
      <c r="AH12" s="19"/>
      <c r="AI12" s="32"/>
      <c r="AJ12" s="32"/>
      <c r="AK12" s="32"/>
      <c r="AL12" s="32"/>
      <c r="AM12" s="19"/>
      <c r="AN12" s="32"/>
      <c r="AO12" s="32"/>
      <c r="AP12" s="32"/>
      <c r="AQ12" s="32"/>
      <c r="AR12" s="32"/>
      <c r="AT12" s="32"/>
      <c r="AU12" s="32"/>
      <c r="AW12" s="19"/>
      <c r="AX12" s="19"/>
      <c r="AY12" s="19"/>
      <c r="AZ12" s="36"/>
      <c r="BA12" s="36"/>
      <c r="BB12" s="36"/>
      <c r="BC12" s="36"/>
      <c r="BD12" s="38"/>
      <c r="BE12" s="81" t="s">
        <v>12401</v>
      </c>
      <c r="BF12" s="89" t="str">
        <f>IF(SUM(AN:AN)=0,"OK","stato di conservazione non congruente con codifiche ammesse")</f>
        <v>stato di conservazione non congruente con codifiche ammesse</v>
      </c>
    </row>
    <row r="13" spans="4:58">
      <c r="D13" s="50"/>
      <c r="E13" s="50"/>
      <c r="Y13" s="55"/>
      <c r="AF13" s="25"/>
      <c r="AG13" s="25"/>
      <c r="AH13" s="19"/>
      <c r="AI13" s="32"/>
      <c r="AJ13" s="32"/>
      <c r="AK13" s="32"/>
      <c r="AL13" s="32"/>
      <c r="AM13" s="19"/>
      <c r="AN13" s="32"/>
      <c r="AO13" s="32"/>
      <c r="AP13" s="32"/>
      <c r="AQ13" s="32"/>
      <c r="AR13" s="32"/>
      <c r="AT13" s="32"/>
      <c r="AU13" s="32"/>
      <c r="AW13" s="19"/>
      <c r="AX13" s="19"/>
      <c r="AY13" s="19"/>
      <c r="AZ13" s="36"/>
      <c r="BA13" s="36"/>
      <c r="BB13" s="36"/>
      <c r="BC13" s="36"/>
      <c r="BD13" s="38"/>
      <c r="BE13" s="81" t="s">
        <v>12398</v>
      </c>
      <c r="BF13" s="89" t="str">
        <f>IF(SUM(AO:AO)=0,"OK","stato di conservazione non congruente con codifiche ammesse")</f>
        <v>stato di conservazione non congruente con codifiche ammesse</v>
      </c>
    </row>
    <row r="14" spans="4:58">
      <c r="D14" s="50"/>
      <c r="E14" s="50"/>
      <c r="Y14" s="55"/>
      <c r="AF14" s="25"/>
      <c r="AG14" s="25"/>
      <c r="AH14" s="19"/>
      <c r="AI14" s="32"/>
      <c r="AJ14" s="32"/>
      <c r="AK14" s="32"/>
      <c r="AL14" s="32"/>
      <c r="AM14" s="19"/>
      <c r="AN14" s="32"/>
      <c r="AO14" s="32"/>
      <c r="AP14" s="32"/>
      <c r="AQ14" s="32"/>
      <c r="AR14" s="32"/>
      <c r="AT14" s="32"/>
      <c r="AU14" s="32"/>
      <c r="AW14" s="19"/>
      <c r="AX14" s="19"/>
      <c r="AY14" s="19"/>
      <c r="AZ14" s="36"/>
      <c r="BA14" s="36"/>
      <c r="BB14" s="36"/>
      <c r="BC14" s="36"/>
      <c r="BD14" s="38"/>
      <c r="BE14" s="81" t="s">
        <v>307</v>
      </c>
      <c r="BF14" s="89" t="str">
        <f>IF(SUM(AP:AP)=0,"OK","potenza installata non congruente con stato impianto")</f>
        <v>OK</v>
      </c>
    </row>
    <row r="15" spans="4:58">
      <c r="D15" s="50"/>
      <c r="E15" s="50"/>
      <c r="Y15" s="55"/>
      <c r="AF15" s="25"/>
      <c r="AG15" s="25"/>
      <c r="AH15" s="19"/>
      <c r="AI15" s="32"/>
      <c r="AJ15" s="32"/>
      <c r="AK15" s="32"/>
      <c r="AL15" s="32"/>
      <c r="AM15" s="19"/>
      <c r="AN15" s="32"/>
      <c r="AO15" s="32"/>
      <c r="AP15" s="32"/>
      <c r="AQ15" s="32"/>
      <c r="AR15" s="32"/>
      <c r="AT15" s="32"/>
      <c r="AU15" s="32"/>
      <c r="AW15" s="19"/>
      <c r="AX15" s="19"/>
      <c r="AY15" s="19"/>
      <c r="AZ15" s="36"/>
      <c r="BA15" s="36"/>
      <c r="BB15" s="36"/>
      <c r="BC15" s="36"/>
      <c r="BD15" s="38"/>
      <c r="BE15" s="81" t="s">
        <v>11871</v>
      </c>
      <c r="BF15" s="89" t="str">
        <f>IF(SUM(AQ:AQ)=0,"OK","consumo energia non congruente con stato impianto")</f>
        <v>OK</v>
      </c>
    </row>
    <row r="16" spans="4:58">
      <c r="D16" s="50"/>
      <c r="E16" s="50"/>
      <c r="Y16" s="55"/>
      <c r="AF16" s="25"/>
      <c r="AG16" s="25"/>
      <c r="AH16" s="19"/>
      <c r="AI16" s="32"/>
      <c r="AJ16" s="32"/>
      <c r="AK16" s="32"/>
      <c r="AL16" s="32"/>
      <c r="AM16" s="19"/>
      <c r="AN16" s="32"/>
      <c r="AO16" s="32"/>
      <c r="AP16" s="32"/>
      <c r="AQ16" s="32"/>
      <c r="AR16" s="32"/>
      <c r="AT16" s="32"/>
      <c r="AU16" s="32"/>
      <c r="AW16" s="19"/>
      <c r="AX16" s="19"/>
      <c r="AY16" s="19"/>
      <c r="AZ16" s="36"/>
      <c r="BA16" s="36"/>
      <c r="BB16" s="36"/>
      <c r="BC16" s="36"/>
      <c r="BD16" s="38"/>
      <c r="BE16" s="81" t="s">
        <v>12168</v>
      </c>
      <c r="BF16" s="89" t="str">
        <f>IF(SUM(AR:AR)=0,"OK","tipo telecontrollo non congruente con codifica ammessa")</f>
        <v>tipo telecontrollo non congruente con codifica ammessa</v>
      </c>
    </row>
    <row r="17" spans="4:58">
      <c r="D17" s="50"/>
      <c r="E17" s="50"/>
      <c r="Z17" s="3"/>
      <c r="AA17" s="55"/>
      <c r="AE17" s="25"/>
      <c r="AF17" s="25"/>
      <c r="AG17" s="19"/>
      <c r="AH17" s="32"/>
      <c r="AI17" s="32"/>
      <c r="AJ17" s="32"/>
      <c r="AK17" s="19"/>
      <c r="AL17" s="32"/>
      <c r="AM17" s="32"/>
      <c r="AN17" s="32"/>
      <c r="AO17" s="32"/>
      <c r="AP17" s="32"/>
      <c r="AQ17" s="32"/>
      <c r="AR17" s="32"/>
      <c r="AT17" s="32"/>
      <c r="AW17" s="19"/>
      <c r="AX17" s="36"/>
      <c r="AY17" s="36"/>
      <c r="AZ17" s="36"/>
      <c r="BA17" s="38"/>
      <c r="BB17" s="3"/>
      <c r="BC17" s="3"/>
      <c r="BD17" s="3"/>
      <c r="BE17" s="56" t="s">
        <v>12364</v>
      </c>
      <c r="BF17" s="84" t="str">
        <f>IF(SUM(AS:AS)=0,"OK","tipo clorazione non congruente con codifica ammessa")</f>
        <v>tipo clorazione non congruente con codifica ammessa</v>
      </c>
    </row>
    <row r="18" spans="4:58">
      <c r="D18" s="50"/>
      <c r="E18" s="50"/>
      <c r="Z18" s="3"/>
      <c r="AA18" s="55"/>
      <c r="AE18" s="25"/>
      <c r="AF18" s="25"/>
      <c r="AG18" s="19"/>
      <c r="AH18" s="32"/>
      <c r="AI18" s="32"/>
      <c r="AJ18" s="32"/>
      <c r="AK18" s="19"/>
      <c r="AL18" s="32"/>
      <c r="AM18" s="32"/>
      <c r="AN18" s="32"/>
      <c r="AO18" s="32"/>
      <c r="AP18" s="32"/>
      <c r="AQ18" s="32"/>
      <c r="AR18" s="32"/>
      <c r="AT18" s="32"/>
      <c r="AW18" s="19"/>
      <c r="AX18" s="36"/>
      <c r="AY18" s="36"/>
      <c r="AZ18" s="36"/>
      <c r="BA18" s="38"/>
      <c r="BB18" s="3"/>
      <c r="BC18" s="3"/>
      <c r="BD18" s="3"/>
      <c r="BE18" s="56" t="s">
        <v>11692</v>
      </c>
      <c r="BF18" s="84" t="str">
        <f>IF(SUM(AT:AT)=0,"OK","anno installaz cloratore non congruente con anno di ristrutt cloratore")</f>
        <v>anno installaz cloratore non congruente con anno di ristrutt cloratore</v>
      </c>
    </row>
    <row r="19" spans="4:58">
      <c r="D19" s="50"/>
      <c r="E19" s="50"/>
      <c r="Z19" s="3"/>
      <c r="AA19" s="55"/>
      <c r="AE19" s="25"/>
      <c r="AF19" s="25"/>
      <c r="AG19" s="19"/>
      <c r="AH19" s="32"/>
      <c r="AI19" s="32"/>
      <c r="AJ19" s="32"/>
      <c r="AK19" s="19"/>
      <c r="AL19" s="32"/>
      <c r="AM19" s="32"/>
      <c r="AN19" s="32"/>
      <c r="AO19" s="32"/>
      <c r="AP19" s="32"/>
      <c r="AQ19" s="32"/>
      <c r="AR19" s="32"/>
      <c r="AT19" s="32"/>
      <c r="AW19" s="19"/>
      <c r="AX19" s="36"/>
      <c r="AY19" s="36"/>
      <c r="AZ19" s="36"/>
      <c r="BA19" s="38"/>
      <c r="BB19" s="3"/>
      <c r="BC19" s="3"/>
      <c r="BD19" s="3"/>
      <c r="BE19" s="56" t="s">
        <v>11693</v>
      </c>
      <c r="BF19" s="84" t="str">
        <f>IF(SUM(AU:AU)=0,"OK","anno installaz cloratore non corretto")</f>
        <v>OK</v>
      </c>
    </row>
    <row r="20" spans="4:58">
      <c r="D20" s="50"/>
      <c r="E20" s="50"/>
      <c r="Z20" s="3"/>
      <c r="AA20" s="55"/>
      <c r="AE20" s="25"/>
      <c r="AF20" s="25"/>
      <c r="AG20" s="19"/>
      <c r="AH20" s="32"/>
      <c r="AI20" s="32"/>
      <c r="AJ20" s="32"/>
      <c r="AK20" s="19"/>
      <c r="AL20" s="32"/>
      <c r="AM20" s="32"/>
      <c r="AN20" s="32"/>
      <c r="AO20" s="32"/>
      <c r="AP20" s="32"/>
      <c r="AQ20" s="32"/>
      <c r="AR20" s="32"/>
      <c r="AT20" s="32"/>
      <c r="AW20" s="19"/>
      <c r="AX20" s="36"/>
      <c r="AY20" s="36"/>
      <c r="AZ20" s="36"/>
      <c r="BA20" s="38"/>
      <c r="BB20" s="3"/>
      <c r="BC20" s="3"/>
      <c r="BD20" s="3"/>
      <c r="BE20" s="56" t="s">
        <v>11694</v>
      </c>
      <c r="BF20" s="84" t="str">
        <f>IF(SUM(AV:AV)=0,"OK","anno ristruttur cloratore non corretto")</f>
        <v>OK</v>
      </c>
    </row>
    <row r="21" spans="4:58">
      <c r="D21" s="50"/>
      <c r="E21" s="50"/>
      <c r="Y21" s="55"/>
      <c r="AF21" s="25"/>
      <c r="AG21" s="25"/>
      <c r="AH21" s="19"/>
      <c r="AI21" s="32"/>
      <c r="AJ21" s="32"/>
      <c r="AK21" s="32"/>
      <c r="AL21" s="32"/>
      <c r="AM21" s="19"/>
      <c r="AN21" s="32"/>
      <c r="AO21" s="32"/>
      <c r="AP21" s="32"/>
      <c r="AQ21" s="32"/>
      <c r="AR21" s="32"/>
      <c r="AT21" s="32"/>
      <c r="AW21" s="19"/>
      <c r="AX21" s="19"/>
      <c r="AY21" s="19"/>
      <c r="AZ21" s="36"/>
      <c r="BA21" s="36"/>
      <c r="BB21" s="36"/>
      <c r="BC21" s="36"/>
      <c r="BD21" s="38"/>
      <c r="BE21" s="48" t="s">
        <v>11695</v>
      </c>
      <c r="BF21" s="48" t="str">
        <f>IF(SUM(AW:AW)=0,"OK","indice confidenza non congruente con anno di costruzione")</f>
        <v>OK</v>
      </c>
    </row>
    <row r="22" spans="4:58">
      <c r="D22" s="50"/>
      <c r="E22" s="50"/>
      <c r="Y22" s="55"/>
      <c r="AF22" s="25"/>
      <c r="AG22" s="25"/>
      <c r="AH22" s="19"/>
      <c r="AI22" s="32"/>
      <c r="AJ22" s="32"/>
      <c r="AK22" s="32"/>
      <c r="AL22" s="32"/>
      <c r="AM22" s="19"/>
      <c r="AN22" s="32"/>
      <c r="AO22" s="32"/>
      <c r="AP22" s="32"/>
      <c r="AQ22" s="32"/>
      <c r="AR22" s="32"/>
      <c r="AT22" s="32"/>
      <c r="AW22" s="19"/>
      <c r="AX22" s="19"/>
      <c r="AY22" s="19"/>
      <c r="AZ22" s="36"/>
      <c r="BA22" s="36"/>
      <c r="BB22" s="36"/>
      <c r="BC22" s="36"/>
      <c r="BD22" s="38"/>
      <c r="BE22" s="48" t="s">
        <v>12169</v>
      </c>
      <c r="BF22" s="48" t="str">
        <f>IF(SUM(AX:AX)=0,"OK","indice confidenza non congruente con anno di ristrutt. Op. civili")</f>
        <v>OK</v>
      </c>
    </row>
    <row r="23" spans="4:58">
      <c r="D23" s="50"/>
      <c r="E23" s="50"/>
      <c r="Y23" s="55"/>
      <c r="AF23" s="25"/>
      <c r="AG23" s="25"/>
      <c r="AH23" s="19"/>
      <c r="AI23" s="32"/>
      <c r="AJ23" s="32"/>
      <c r="AK23" s="32"/>
      <c r="AL23" s="32"/>
      <c r="AM23" s="19"/>
      <c r="AN23" s="32"/>
      <c r="AO23" s="32"/>
      <c r="AP23" s="32"/>
      <c r="AQ23" s="32"/>
      <c r="AR23" s="32"/>
      <c r="AT23" s="32"/>
      <c r="AW23" s="19"/>
      <c r="AX23" s="19"/>
      <c r="AY23" s="19"/>
      <c r="AZ23" s="36"/>
      <c r="BA23" s="36"/>
      <c r="BB23" s="36"/>
      <c r="BC23" s="36"/>
      <c r="BD23" s="38"/>
      <c r="BE23" s="48" t="s">
        <v>12170</v>
      </c>
      <c r="BF23" s="48" t="str">
        <f>IF(SUM(AY:AY)=0,"OK","indice confidenza non congruente con anno di ristrutt. Op. elettrom.")</f>
        <v>OK</v>
      </c>
    </row>
    <row r="24" spans="4:58">
      <c r="D24" s="50"/>
      <c r="E24" s="50"/>
      <c r="Y24" s="55"/>
      <c r="AF24" s="25"/>
      <c r="AG24" s="25"/>
      <c r="AH24" s="19"/>
      <c r="AI24" s="32"/>
      <c r="AJ24" s="32"/>
      <c r="AK24" s="32"/>
      <c r="AL24" s="32"/>
      <c r="AM24" s="19"/>
      <c r="AN24" s="32"/>
      <c r="AO24" s="32"/>
      <c r="AP24" s="32"/>
      <c r="AQ24" s="32"/>
      <c r="AR24" s="32"/>
      <c r="AT24" s="32"/>
      <c r="AU24" s="32"/>
      <c r="AW24" s="19"/>
      <c r="AX24" s="19"/>
      <c r="AY24" s="19"/>
      <c r="AZ24" s="36"/>
      <c r="BA24" s="36"/>
      <c r="BB24" s="36"/>
      <c r="BC24" s="36"/>
      <c r="BD24" s="38"/>
      <c r="BE24" s="58" t="s">
        <v>12174</v>
      </c>
      <c r="BF24" s="118" t="str">
        <f>IF(SUM(AZ:AZ)=0,"OK","conservazione opere CIVILI non congruente con anno di ristrutturazione &gt;=2018")</f>
        <v>OK</v>
      </c>
    </row>
    <row r="25" spans="4:58">
      <c r="D25" s="50"/>
      <c r="E25" s="50"/>
      <c r="Y25" s="55"/>
      <c r="AF25" s="25"/>
      <c r="AG25" s="25"/>
      <c r="AH25" s="19"/>
      <c r="AI25" s="32"/>
      <c r="AJ25" s="32"/>
      <c r="AK25" s="32"/>
      <c r="AL25" s="32"/>
      <c r="AM25" s="19"/>
      <c r="AN25" s="32"/>
      <c r="AO25" s="32"/>
      <c r="AP25" s="32"/>
      <c r="AQ25" s="32"/>
      <c r="AR25" s="32"/>
      <c r="AT25" s="32"/>
      <c r="AU25" s="32"/>
      <c r="AW25" s="19"/>
      <c r="AX25" s="19"/>
      <c r="AY25" s="19"/>
      <c r="AZ25" s="36"/>
      <c r="BA25" s="36"/>
      <c r="BB25" s="36"/>
      <c r="BC25" s="36"/>
      <c r="BD25" s="38"/>
      <c r="BE25" s="58" t="s">
        <v>12175</v>
      </c>
      <c r="BF25" s="118" t="str">
        <f>IF(SUM(BA:BA)=0,"OK","conservazione opere ELETTROM non congruente con anno di ristrutturazione &gt;=2018")</f>
        <v>OK</v>
      </c>
    </row>
    <row r="26" spans="4:58">
      <c r="D26" s="50"/>
      <c r="E26" s="50"/>
      <c r="Y26" s="55"/>
      <c r="AF26" s="25"/>
      <c r="AG26" s="25"/>
      <c r="AH26" s="19"/>
      <c r="AI26" s="32"/>
      <c r="AJ26" s="32"/>
      <c r="AK26" s="32"/>
      <c r="AL26" s="32"/>
      <c r="AM26" s="19"/>
      <c r="AN26" s="32"/>
      <c r="AO26" s="32"/>
      <c r="AP26" s="32"/>
      <c r="AQ26" s="32"/>
      <c r="AR26" s="32"/>
      <c r="AT26" s="32"/>
      <c r="AU26" s="32"/>
      <c r="AW26" s="19"/>
      <c r="AX26" s="19"/>
      <c r="AY26" s="19"/>
      <c r="AZ26" s="36"/>
      <c r="BA26" s="36"/>
      <c r="BB26" s="36"/>
      <c r="BC26" s="36"/>
      <c r="BD26" s="38"/>
      <c r="BE26" s="59" t="s">
        <v>11698</v>
      </c>
      <c r="BF26" s="118" t="str">
        <f>IF(SUM(BB:BB)=0,"OK","Anno ristrutt. e/o stato di conservazione non congruenti con anno di costruzione &gt;=2014")</f>
        <v>OK</v>
      </c>
    </row>
    <row r="27" spans="4:58">
      <c r="D27" s="50"/>
      <c r="E27" s="50"/>
      <c r="Y27" s="55"/>
      <c r="AF27" s="25"/>
      <c r="AG27" s="25"/>
      <c r="AH27" s="19"/>
      <c r="AI27" s="32"/>
      <c r="AJ27" s="32"/>
      <c r="AK27" s="32"/>
      <c r="AL27" s="32"/>
      <c r="AM27" s="19"/>
      <c r="AN27" s="32"/>
      <c r="AO27" s="32"/>
      <c r="AP27" s="32"/>
      <c r="AQ27" s="32"/>
      <c r="AR27" s="32"/>
      <c r="AT27" s="32"/>
      <c r="AU27" s="32"/>
      <c r="AW27" s="19"/>
      <c r="AX27" s="19"/>
      <c r="AY27" s="19"/>
      <c r="AZ27" s="36"/>
      <c r="BA27" s="36"/>
      <c r="BB27" s="36"/>
      <c r="BC27" s="36"/>
      <c r="BD27" s="38"/>
      <c r="BE27" s="59" t="s">
        <v>11699</v>
      </c>
      <c r="BF27" s="118" t="str">
        <f>IF(SUM(BC:BC)=0,"OK","Errore: celle vuote in corrispondenza di opera costruita in anno &gt;=2015")</f>
        <v>OK</v>
      </c>
    </row>
    <row r="28" spans="57:58">
      <c r="BE28" s="37" t="s">
        <v>11700</v>
      </c>
      <c r="BF28" s="41" t="str">
        <f>IF(SUM(BD:BD)=0,"OK","Errore: verifica completezza su nuove opere")</f>
        <v>OK</v>
      </c>
    </row>
  </sheetData>
  <pageMargins left="0.75" right="0.75" top="1" bottom="1" header="0.511811023622047" footer="0.511811023622047"/>
  <pageSetup paperSize="9" orientation="portrait" horizontalDpi="300" verticalDpi="300"/>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
  <sheetViews>
    <sheetView topLeftCell="K1" workbookViewId="0">
      <selection activeCell="W4" sqref="W4"/>
    </sheetView>
  </sheetViews>
  <sheetFormatPr defaultColWidth="8.71428571428571" defaultRowHeight="12.75"/>
  <cols>
    <col min="1" max="1" width="31.4285714285714" style="3" customWidth="1"/>
    <col min="2" max="2" width="21.1428571428571" style="3" customWidth="1"/>
    <col min="3" max="3" width="14.5714285714286" style="3" customWidth="1"/>
    <col min="4" max="4" width="14.7142857142857" style="3" customWidth="1"/>
    <col min="5" max="13" width="10" style="3" customWidth="1"/>
    <col min="15" max="15" width="15.1428571428571" style="32" customWidth="1"/>
    <col min="16" max="16" width="12.8571428571429" style="32" customWidth="1"/>
    <col min="17" max="17" width="12.2857142857143" style="32" customWidth="1"/>
    <col min="18" max="18" width="15.4285714285714" style="32" customWidth="1"/>
    <col min="19" max="19" width="17.8571428571429" style="42" customWidth="1"/>
    <col min="20" max="20" width="14.1428571428571" style="32" customWidth="1"/>
    <col min="21" max="21" width="12" style="32" customWidth="1"/>
    <col min="22" max="22" width="11.2857142857143" style="32" customWidth="1"/>
    <col min="23" max="23" width="10.2857142857143" style="32" customWidth="1"/>
    <col min="24" max="24" width="9.14285714285714" style="32" customWidth="1"/>
    <col min="26" max="26" width="46" customWidth="1"/>
    <col min="27" max="27" width="20.5714285714286" customWidth="1"/>
  </cols>
  <sheetData>
    <row r="1" ht="72" spans="1:24">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43" t="s">
        <v>11559</v>
      </c>
      <c r="O1" s="13" t="s">
        <v>11883</v>
      </c>
      <c r="P1" s="13" t="s">
        <v>11566</v>
      </c>
      <c r="Q1" s="13" t="s">
        <v>11884</v>
      </c>
      <c r="R1" s="13" t="s">
        <v>11885</v>
      </c>
      <c r="S1" s="13" t="s">
        <v>12402</v>
      </c>
      <c r="T1" s="47" t="s">
        <v>11575</v>
      </c>
      <c r="U1" s="13" t="s">
        <v>11889</v>
      </c>
      <c r="V1" s="13" t="s">
        <v>11890</v>
      </c>
      <c r="W1" s="13" t="s">
        <v>11891</v>
      </c>
      <c r="X1" s="13" t="s">
        <v>11892</v>
      </c>
    </row>
    <row r="2" ht="78.75" spans="1:20">
      <c r="A2" s="9" t="s">
        <v>11709</v>
      </c>
      <c r="B2" s="9" t="s">
        <v>11597</v>
      </c>
      <c r="C2" s="9" t="s">
        <v>11893</v>
      </c>
      <c r="D2" s="9" t="s">
        <v>11596</v>
      </c>
      <c r="E2" s="9" t="s">
        <v>11894</v>
      </c>
      <c r="F2" s="9" t="s">
        <v>11895</v>
      </c>
      <c r="G2" s="9" t="s">
        <v>11896</v>
      </c>
      <c r="H2" s="9" t="s">
        <v>11897</v>
      </c>
      <c r="I2" s="9" t="s">
        <v>11898</v>
      </c>
      <c r="J2" s="9" t="s">
        <v>11624</v>
      </c>
      <c r="K2" s="9" t="s">
        <v>11899</v>
      </c>
      <c r="L2" s="9" t="s">
        <v>11900</v>
      </c>
      <c r="M2" s="9" t="s">
        <v>11901</v>
      </c>
      <c r="N2" s="44"/>
      <c r="O2" s="17"/>
      <c r="P2" s="17"/>
      <c r="Q2" s="17"/>
      <c r="R2" s="17"/>
      <c r="S2" s="17"/>
      <c r="T2" s="17"/>
    </row>
    <row r="3" ht="36" spans="1:24">
      <c r="A3" s="10" t="s">
        <v>12403</v>
      </c>
      <c r="B3" s="10" t="s">
        <v>12404</v>
      </c>
      <c r="C3" s="10" t="s">
        <v>12405</v>
      </c>
      <c r="D3" s="10" t="s">
        <v>12406</v>
      </c>
      <c r="E3" s="10" t="s">
        <v>12407</v>
      </c>
      <c r="F3" s="10" t="s">
        <v>12408</v>
      </c>
      <c r="G3" s="10" t="s">
        <v>12409</v>
      </c>
      <c r="H3" s="10" t="s">
        <v>12410</v>
      </c>
      <c r="I3" s="10" t="s">
        <v>12411</v>
      </c>
      <c r="J3" s="10" t="s">
        <v>12412</v>
      </c>
      <c r="K3" s="10" t="s">
        <v>12413</v>
      </c>
      <c r="L3" s="10" t="s">
        <v>12414</v>
      </c>
      <c r="M3" s="10" t="s">
        <v>12415</v>
      </c>
      <c r="N3" s="45"/>
      <c r="O3" s="46" t="s">
        <v>11915</v>
      </c>
      <c r="P3" s="16" t="s">
        <v>11916</v>
      </c>
      <c r="Q3" s="16" t="s">
        <v>11523</v>
      </c>
      <c r="R3" s="16" t="s">
        <v>11917</v>
      </c>
      <c r="S3" s="16" t="s">
        <v>12416</v>
      </c>
      <c r="T3" s="16" t="s">
        <v>11697</v>
      </c>
      <c r="U3" s="16" t="s">
        <v>11919</v>
      </c>
      <c r="V3" s="16" t="s">
        <v>11920</v>
      </c>
      <c r="W3" s="16" t="s">
        <v>11877</v>
      </c>
      <c r="X3" s="16" t="s">
        <v>11921</v>
      </c>
    </row>
    <row r="4" spans="15:27">
      <c r="O4" s="32">
        <f>+IF(AND(B4&gt;0,B4&lt;6),0,1)</f>
        <v>1</v>
      </c>
      <c r="P4" s="32">
        <f>IF(OR(C4=9999,C4&lt;=('[2]Input anno'!$A$1)),0,1)</f>
        <v>0</v>
      </c>
      <c r="Q4" s="32">
        <f>IF(OR(D4=9800,D4=9999,D4&lt;='[2]Input anno'!$A$1),0,1)</f>
        <v>0</v>
      </c>
      <c r="R4" s="19">
        <f>+IF(C4&lt;&gt;9999,IF(C4&lt;D4,0,1),0)</f>
        <v>1</v>
      </c>
      <c r="S4" s="19">
        <f>+IF(D4&lt;9800,IF(D4&gt;=2014,IF(J4&lt;="A",0,1),0),IF(D4=9999,IF(J4="X",0,1),IF(J4="A",0,1)))</f>
        <v>0</v>
      </c>
      <c r="T4" s="19">
        <f>+IF(AND(D4&lt;&gt;9800,D4&lt;&gt;9999),IF(AND(D4&gt;=2019,B4&lt;4),1,0),0)</f>
        <v>0</v>
      </c>
      <c r="U4" s="32">
        <f>+IF(E4&gt;0,0,1)</f>
        <v>1</v>
      </c>
      <c r="V4" s="32">
        <f>+IF(F4&gt;0,0,1)</f>
        <v>1</v>
      </c>
      <c r="W4" s="32">
        <f>+IF(G4&gt;0,0,1)</f>
        <v>1</v>
      </c>
      <c r="X4" s="32">
        <f>+IF(OR(H4=0,H4=1,H4="S",H4="N"),0,1)</f>
        <v>0</v>
      </c>
      <c r="Z4" s="111" t="s">
        <v>11915</v>
      </c>
      <c r="AA4" s="89" t="str">
        <f>IF(SUM(O:O)=0,"OK","stato di conservazione non congruente con codifiche ammesse")</f>
        <v>stato di conservazione non congruente con codifiche ammesse</v>
      </c>
    </row>
    <row r="5" spans="18:27">
      <c r="R5" s="19"/>
      <c r="S5" s="19"/>
      <c r="T5" s="19"/>
      <c r="Z5" s="112" t="s">
        <v>11874</v>
      </c>
      <c r="AA5" s="89" t="str">
        <f>IF(SUM(P:P)=0,"OK","errore su anno installazione")</f>
        <v>OK</v>
      </c>
    </row>
    <row r="6" spans="18:27">
      <c r="R6" s="19"/>
      <c r="S6" s="19"/>
      <c r="T6" s="19"/>
      <c r="Z6" s="112" t="s">
        <v>11523</v>
      </c>
      <c r="AA6" s="89" t="str">
        <f>IF(SUM(Q:Q)=0,"OK","errore su anni ristrutturazione")</f>
        <v>OK</v>
      </c>
    </row>
    <row r="7" spans="18:27">
      <c r="R7" s="19"/>
      <c r="S7" s="19"/>
      <c r="T7" s="19"/>
      <c r="Z7" s="112" t="s">
        <v>11922</v>
      </c>
      <c r="AA7" s="89" t="str">
        <f>IF(SUM(R:R)=0,"OK","anno installazione non congruente con anno ristrutturazione")</f>
        <v>anno installazione non congruente con anno ristrutturazione</v>
      </c>
    </row>
    <row r="8" spans="18:27">
      <c r="R8" s="19"/>
      <c r="S8" s="19"/>
      <c r="T8" s="19"/>
      <c r="Z8" s="112" t="s">
        <v>11923</v>
      </c>
      <c r="AA8" s="89" t="str">
        <f>IF(SUM(S:S)=0,"OK","indice confidenza non congruente con anno installazione")</f>
        <v>OK</v>
      </c>
    </row>
    <row r="9" spans="18:27">
      <c r="R9" s="19"/>
      <c r="S9" s="19"/>
      <c r="T9" s="19"/>
      <c r="Z9" s="112" t="s">
        <v>11924</v>
      </c>
      <c r="AA9" s="89" t="str">
        <f>IF(SUM(T:T)=0,"OK","stato conservazione non congruente con anno ristrutturazione")</f>
        <v>OK</v>
      </c>
    </row>
    <row r="10" spans="18:27">
      <c r="R10" s="19"/>
      <c r="S10" s="19"/>
      <c r="T10" s="19"/>
      <c r="Z10" s="111" t="s">
        <v>307</v>
      </c>
      <c r="AA10" s="89" t="str">
        <f>IF(SUM(U:U)=0,"OK","potenza errata")</f>
        <v>potenza errata</v>
      </c>
    </row>
    <row r="11" spans="18:27">
      <c r="R11" s="19"/>
      <c r="S11" s="19"/>
      <c r="T11" s="19"/>
      <c r="Z11" s="111" t="s">
        <v>343</v>
      </c>
      <c r="AA11" s="89" t="str">
        <f>IF(SUM(V:V)=0,"OK","portata errata")</f>
        <v>portata errata</v>
      </c>
    </row>
    <row r="12" spans="18:27">
      <c r="R12" s="19"/>
      <c r="S12" s="19"/>
      <c r="T12" s="19"/>
      <c r="Z12" s="111" t="s">
        <v>345</v>
      </c>
      <c r="AA12" s="89" t="str">
        <f>IF(SUM(W:W)=0,"OK","prevalenza errata")</f>
        <v>prevalenza errata</v>
      </c>
    </row>
    <row r="13" spans="18:27">
      <c r="R13" s="19"/>
      <c r="S13" s="19"/>
      <c r="T13" s="19"/>
      <c r="Z13" s="111" t="s">
        <v>11921</v>
      </c>
      <c r="AA13" s="89" t="str">
        <f>IF(SUM(X:X)=0,"OK","funzione di riserva errata")</f>
        <v>OK</v>
      </c>
    </row>
  </sheetData>
  <pageMargins left="0.75" right="0.75" top="1" bottom="1" header="0.511811023622047" footer="0.511811023622047"/>
  <pageSetup paperSize="9" orientation="portrait" horizontalDpi="300" verticalDpi="300"/>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V27"/>
  <sheetViews>
    <sheetView topLeftCell="BJ1" workbookViewId="0">
      <pane ySplit="3" topLeftCell="A18" activePane="bottomLeft" state="frozen"/>
      <selection/>
      <selection pane="bottomLeft" activeCell="BU28" sqref="BU28:BV28"/>
    </sheetView>
  </sheetViews>
  <sheetFormatPr defaultColWidth="10.7142857142857" defaultRowHeight="12.75"/>
  <cols>
    <col min="1" max="1" width="40.5714285714286" style="3" customWidth="1"/>
    <col min="2" max="2" width="24.7142857142857" style="3" customWidth="1"/>
    <col min="3" max="3" width="28.7142857142857" style="3" customWidth="1"/>
    <col min="4" max="7" width="10.7142857142857" style="3"/>
    <col min="8" max="8" width="12.7142857142857" style="3" customWidth="1"/>
    <col min="9" max="9" width="12.5714285714286" style="3" customWidth="1"/>
    <col min="10" max="10" width="10.7142857142857" style="3"/>
    <col min="11" max="11" width="12.1428571428571" style="3" customWidth="1"/>
    <col min="12" max="13" width="11.5714285714286" style="3" customWidth="1"/>
    <col min="14" max="27" width="10.7142857142857" style="3"/>
    <col min="28" max="45" width="13.7142857142857" customWidth="1"/>
    <col min="46" max="46" width="11" customWidth="1"/>
    <col min="47" max="47" width="5" customWidth="1"/>
    <col min="48" max="48" width="14" customWidth="1"/>
    <col min="49" max="49" width="13.4285714285714" customWidth="1"/>
    <col min="50" max="50" width="12.2857142857143" customWidth="1"/>
    <col min="51" max="53" width="13.5714285714286" customWidth="1"/>
    <col min="54" max="54" width="15.2857142857143" customWidth="1"/>
    <col min="55" max="55" width="13.2857142857143" customWidth="1"/>
    <col min="56" max="58" width="16.2857142857143" style="32" customWidth="1"/>
    <col min="59" max="59" width="19.4285714285714" style="32" customWidth="1"/>
    <col min="60" max="60" width="16.2857142857143" style="32" customWidth="1"/>
    <col min="61" max="61" width="19.2857142857143" customWidth="1"/>
    <col min="62" max="62" width="18.7142857142857" customWidth="1"/>
    <col min="63" max="63" width="11.4285714285714" customWidth="1"/>
    <col min="64" max="64" width="13.4285714285714" customWidth="1"/>
    <col min="65" max="65" width="13.7142857142857" customWidth="1"/>
    <col min="66" max="67" width="11.4285714285714" customWidth="1"/>
    <col min="68" max="68" width="16.2857142857143" style="32" customWidth="1"/>
    <col min="69" max="71" width="20.7142857142857" style="3" customWidth="1"/>
    <col min="72" max="72" width="9.28571428571429" style="3" customWidth="1"/>
    <col min="73" max="73" width="45.7142857142857" style="3" customWidth="1"/>
    <col min="74" max="74" width="54.1428571428571" style="7" customWidth="1"/>
    <col min="75" max="75" width="38.8571428571429" style="7" customWidth="1"/>
    <col min="76" max="1024" width="10.7142857142857" style="3"/>
  </cols>
  <sheetData>
    <row r="1" s="1" customFormat="1" ht="96" spans="1:71">
      <c r="A1" s="8" t="s">
        <v>11505</v>
      </c>
      <c r="B1" s="8" t="s">
        <v>11506</v>
      </c>
      <c r="C1" s="8" t="s">
        <v>12417</v>
      </c>
      <c r="D1" s="27" t="s">
        <v>11511</v>
      </c>
      <c r="E1" s="27" t="s">
        <v>11512</v>
      </c>
      <c r="F1" s="8" t="s">
        <v>12191</v>
      </c>
      <c r="G1" s="26" t="s">
        <v>12192</v>
      </c>
      <c r="H1" s="27" t="s">
        <v>12418</v>
      </c>
      <c r="I1" s="27" t="s">
        <v>12197</v>
      </c>
      <c r="J1" s="27" t="s">
        <v>12198</v>
      </c>
      <c r="K1" s="27" t="s">
        <v>12199</v>
      </c>
      <c r="L1" s="27" t="s">
        <v>12200</v>
      </c>
      <c r="M1" s="27" t="s">
        <v>12201</v>
      </c>
      <c r="N1" s="27" t="s">
        <v>12202</v>
      </c>
      <c r="O1" s="27" t="s">
        <v>12203</v>
      </c>
      <c r="P1" s="26" t="s">
        <v>12419</v>
      </c>
      <c r="Q1" s="26" t="s">
        <v>12204</v>
      </c>
      <c r="R1" s="8" t="s">
        <v>11529</v>
      </c>
      <c r="S1" s="8" t="s">
        <v>12193</v>
      </c>
      <c r="T1" s="8" t="s">
        <v>12194</v>
      </c>
      <c r="U1" s="8" t="s">
        <v>12195</v>
      </c>
      <c r="V1" s="8" t="s">
        <v>12196</v>
      </c>
      <c r="W1" s="8" t="s">
        <v>11796</v>
      </c>
      <c r="X1" s="8" t="s">
        <v>11541</v>
      </c>
      <c r="Y1" s="27" t="s">
        <v>12206</v>
      </c>
      <c r="Z1" s="26" t="s">
        <v>12420</v>
      </c>
      <c r="AA1" s="26" t="s">
        <v>12421</v>
      </c>
      <c r="AB1" s="26" t="s">
        <v>12422</v>
      </c>
      <c r="AC1" s="8" t="s">
        <v>11540</v>
      </c>
      <c r="AD1" s="8" t="s">
        <v>11548</v>
      </c>
      <c r="AE1" s="26" t="s">
        <v>12423</v>
      </c>
      <c r="AF1" s="26" t="s">
        <v>12424</v>
      </c>
      <c r="AG1" s="26" t="s">
        <v>12425</v>
      </c>
      <c r="AH1" s="8" t="s">
        <v>12208</v>
      </c>
      <c r="AI1" s="8" t="s">
        <v>12426</v>
      </c>
      <c r="AJ1" s="8" t="s">
        <v>12211</v>
      </c>
      <c r="AK1" s="8" t="s">
        <v>12212</v>
      </c>
      <c r="AL1" s="8" t="s">
        <v>12427</v>
      </c>
      <c r="AM1" s="8" t="s">
        <v>12428</v>
      </c>
      <c r="AN1" s="27" t="s">
        <v>12429</v>
      </c>
      <c r="AO1" s="26" t="s">
        <v>12430</v>
      </c>
      <c r="AP1" s="26" t="s">
        <v>12209</v>
      </c>
      <c r="AQ1" s="26" t="s">
        <v>12431</v>
      </c>
      <c r="AR1" s="26" t="s">
        <v>12432</v>
      </c>
      <c r="AS1" s="26" t="s">
        <v>12433</v>
      </c>
      <c r="AT1" s="8" t="s">
        <v>11558</v>
      </c>
      <c r="AU1" s="12" t="s">
        <v>11559</v>
      </c>
      <c r="AV1" s="13" t="s">
        <v>12215</v>
      </c>
      <c r="AW1" s="13" t="s">
        <v>12215</v>
      </c>
      <c r="AX1" s="13" t="s">
        <v>12215</v>
      </c>
      <c r="AY1" s="13" t="s">
        <v>12215</v>
      </c>
      <c r="AZ1" s="13"/>
      <c r="BA1" s="13"/>
      <c r="BB1" s="13" t="s">
        <v>12434</v>
      </c>
      <c r="BC1" s="13" t="s">
        <v>12060</v>
      </c>
      <c r="BD1" s="13" t="s">
        <v>11802</v>
      </c>
      <c r="BE1" s="13" t="s">
        <v>12217</v>
      </c>
      <c r="BF1" s="13" t="s">
        <v>12218</v>
      </c>
      <c r="BG1" s="13" t="s">
        <v>12219</v>
      </c>
      <c r="BH1" s="13" t="s">
        <v>12220</v>
      </c>
      <c r="BI1" s="13" t="s">
        <v>12435</v>
      </c>
      <c r="BJ1" s="13" t="s">
        <v>12436</v>
      </c>
      <c r="BK1" s="13" t="s">
        <v>12437</v>
      </c>
      <c r="BL1" s="13"/>
      <c r="BM1" s="13" t="s">
        <v>11802</v>
      </c>
      <c r="BN1" s="13" t="s">
        <v>11802</v>
      </c>
      <c r="BO1" s="13"/>
      <c r="BP1" s="13" t="s">
        <v>11802</v>
      </c>
      <c r="BQ1" s="76"/>
      <c r="BR1" s="13" t="s">
        <v>12221</v>
      </c>
      <c r="BS1" s="13"/>
    </row>
    <row r="2" s="2" customFormat="1" ht="31.5" customHeight="1" spans="1:71">
      <c r="A2" s="9" t="s">
        <v>12438</v>
      </c>
      <c r="B2" s="9" t="s">
        <v>11579</v>
      </c>
      <c r="C2" s="9" t="s">
        <v>11580</v>
      </c>
      <c r="D2" s="29" t="s">
        <v>11584</v>
      </c>
      <c r="E2" s="29" t="s">
        <v>11585</v>
      </c>
      <c r="F2" s="9" t="s">
        <v>12224</v>
      </c>
      <c r="G2" s="28" t="s">
        <v>563</v>
      </c>
      <c r="H2" s="29" t="s">
        <v>12439</v>
      </c>
      <c r="I2" s="29" t="s">
        <v>12230</v>
      </c>
      <c r="J2" s="29" t="s">
        <v>12231</v>
      </c>
      <c r="K2" s="29" t="s">
        <v>12232</v>
      </c>
      <c r="L2" s="29" t="s">
        <v>12233</v>
      </c>
      <c r="M2" s="29" t="s">
        <v>12234</v>
      </c>
      <c r="N2" s="29" t="s">
        <v>12235</v>
      </c>
      <c r="O2" s="29" t="s">
        <v>12236</v>
      </c>
      <c r="P2" s="28" t="s">
        <v>82</v>
      </c>
      <c r="Q2" s="28" t="s">
        <v>82</v>
      </c>
      <c r="R2" s="9" t="s">
        <v>12440</v>
      </c>
      <c r="S2" s="9" t="s">
        <v>12441</v>
      </c>
      <c r="T2" s="9" t="s">
        <v>12442</v>
      </c>
      <c r="U2" s="9" t="s">
        <v>12443</v>
      </c>
      <c r="V2" s="9" t="s">
        <v>12444</v>
      </c>
      <c r="W2" s="9" t="s">
        <v>11819</v>
      </c>
      <c r="X2" s="9" t="s">
        <v>11614</v>
      </c>
      <c r="Y2" s="29" t="s">
        <v>12238</v>
      </c>
      <c r="Z2" s="28" t="s">
        <v>126</v>
      </c>
      <c r="AA2" s="28" t="s">
        <v>82</v>
      </c>
      <c r="AB2" s="28" t="s">
        <v>82</v>
      </c>
      <c r="AC2" s="9" t="s">
        <v>11613</v>
      </c>
      <c r="AD2" s="9" t="s">
        <v>11621</v>
      </c>
      <c r="AE2" s="28" t="s">
        <v>347</v>
      </c>
      <c r="AF2" s="28" t="s">
        <v>347</v>
      </c>
      <c r="AG2" s="28" t="s">
        <v>347</v>
      </c>
      <c r="AH2" s="9" t="s">
        <v>12240</v>
      </c>
      <c r="AI2" s="9" t="s">
        <v>12241</v>
      </c>
      <c r="AJ2" s="9" t="s">
        <v>12242</v>
      </c>
      <c r="AK2" s="9" t="s">
        <v>12243</v>
      </c>
      <c r="AL2" s="9" t="s">
        <v>12445</v>
      </c>
      <c r="AM2" s="9" t="s">
        <v>12446</v>
      </c>
      <c r="AN2" s="29" t="s">
        <v>12447</v>
      </c>
      <c r="AO2" s="28" t="s">
        <v>220</v>
      </c>
      <c r="AP2" s="28" t="s">
        <v>220</v>
      </c>
      <c r="AQ2" s="28" t="s">
        <v>220</v>
      </c>
      <c r="AR2" s="28" t="s">
        <v>220</v>
      </c>
      <c r="AS2" s="28" t="s">
        <v>220</v>
      </c>
      <c r="AT2" s="9" t="s">
        <v>11631</v>
      </c>
      <c r="AU2" s="14"/>
      <c r="AV2" s="17"/>
      <c r="AW2" s="17"/>
      <c r="AX2" s="17"/>
      <c r="AY2" s="17"/>
      <c r="AZ2" s="17"/>
      <c r="BA2" s="17"/>
      <c r="BB2" s="17"/>
      <c r="BC2" s="17"/>
      <c r="BD2" s="17"/>
      <c r="BE2" s="17"/>
      <c r="BF2" s="17"/>
      <c r="BG2" s="17"/>
      <c r="BH2" s="17"/>
      <c r="BI2" s="17"/>
      <c r="BJ2" s="17"/>
      <c r="BK2" s="17"/>
      <c r="BL2" s="17"/>
      <c r="BM2" s="17"/>
      <c r="BN2" s="17"/>
      <c r="BO2" s="17"/>
      <c r="BP2" s="17"/>
      <c r="BQ2" s="77"/>
      <c r="BR2" s="17"/>
      <c r="BS2" s="17"/>
    </row>
    <row r="3" s="1" customFormat="1" ht="48" spans="1:71">
      <c r="A3" s="10" t="s">
        <v>12448</v>
      </c>
      <c r="B3" s="10" t="s">
        <v>12449</v>
      </c>
      <c r="C3" s="10" t="s">
        <v>12450</v>
      </c>
      <c r="D3" s="10">
        <v>113500</v>
      </c>
      <c r="E3" s="10">
        <v>113600</v>
      </c>
      <c r="F3" s="10" t="s">
        <v>12451</v>
      </c>
      <c r="G3" s="10" t="s">
        <v>12452</v>
      </c>
      <c r="H3" s="10">
        <v>118900</v>
      </c>
      <c r="I3" s="10">
        <v>113700</v>
      </c>
      <c r="J3" s="10">
        <v>113800</v>
      </c>
      <c r="K3" s="10">
        <v>113900</v>
      </c>
      <c r="L3" s="10">
        <v>114000</v>
      </c>
      <c r="M3" s="10">
        <v>114100</v>
      </c>
      <c r="N3" s="10">
        <v>114200</v>
      </c>
      <c r="O3" s="10">
        <v>114300</v>
      </c>
      <c r="P3" s="10" t="s">
        <v>12453</v>
      </c>
      <c r="Q3" s="10" t="s">
        <v>12454</v>
      </c>
      <c r="R3" s="10" t="s">
        <v>12455</v>
      </c>
      <c r="S3" s="10" t="s">
        <v>12456</v>
      </c>
      <c r="T3" s="10" t="s">
        <v>12457</v>
      </c>
      <c r="U3" s="10" t="s">
        <v>12458</v>
      </c>
      <c r="V3" s="10" t="s">
        <v>12459</v>
      </c>
      <c r="W3" s="10" t="s">
        <v>12460</v>
      </c>
      <c r="X3" s="10" t="s">
        <v>12461</v>
      </c>
      <c r="Y3" s="10">
        <v>114600</v>
      </c>
      <c r="Z3" s="10" t="s">
        <v>12462</v>
      </c>
      <c r="AA3" s="10" t="s">
        <v>12463</v>
      </c>
      <c r="AB3" s="10" t="s">
        <v>12464</v>
      </c>
      <c r="AC3" s="10" t="s">
        <v>12465</v>
      </c>
      <c r="AD3" s="10" t="s">
        <v>12466</v>
      </c>
      <c r="AE3" s="10" t="s">
        <v>12467</v>
      </c>
      <c r="AF3" s="10" t="s">
        <v>12468</v>
      </c>
      <c r="AG3" s="10" t="s">
        <v>12469</v>
      </c>
      <c r="AH3" s="10" t="s">
        <v>12470</v>
      </c>
      <c r="AI3" s="10" t="s">
        <v>12471</v>
      </c>
      <c r="AJ3" s="10" t="s">
        <v>12472</v>
      </c>
      <c r="AK3" s="10" t="s">
        <v>12473</v>
      </c>
      <c r="AL3" s="10" t="s">
        <v>12474</v>
      </c>
      <c r="AM3" s="10" t="s">
        <v>12475</v>
      </c>
      <c r="AN3" s="10">
        <v>119000</v>
      </c>
      <c r="AO3" s="10" t="s">
        <v>12476</v>
      </c>
      <c r="AP3" s="10" t="s">
        <v>12477</v>
      </c>
      <c r="AQ3" s="10" t="s">
        <v>12478</v>
      </c>
      <c r="AR3" s="10" t="s">
        <v>12479</v>
      </c>
      <c r="AS3" s="10" t="s">
        <v>12480</v>
      </c>
      <c r="AT3" s="10" t="s">
        <v>12481</v>
      </c>
      <c r="AU3" s="15"/>
      <c r="AV3" s="46" t="s">
        <v>12191</v>
      </c>
      <c r="AW3" s="16" t="s">
        <v>11529</v>
      </c>
      <c r="AX3" s="16" t="s">
        <v>12193</v>
      </c>
      <c r="AY3" s="16" t="s">
        <v>12194</v>
      </c>
      <c r="AZ3" s="16" t="s">
        <v>12482</v>
      </c>
      <c r="BA3" s="16" t="s">
        <v>12483</v>
      </c>
      <c r="BB3" s="16" t="s">
        <v>12484</v>
      </c>
      <c r="BC3" s="16" t="s">
        <v>12168</v>
      </c>
      <c r="BD3" s="78" t="s">
        <v>12261</v>
      </c>
      <c r="BE3" s="78"/>
      <c r="BF3" s="78" t="s">
        <v>12262</v>
      </c>
      <c r="BG3" s="78" t="s">
        <v>12263</v>
      </c>
      <c r="BH3" s="78"/>
      <c r="BI3" s="16" t="s">
        <v>12485</v>
      </c>
      <c r="BJ3" s="16" t="s">
        <v>12486</v>
      </c>
      <c r="BK3" s="16" t="s">
        <v>12487</v>
      </c>
      <c r="BL3" s="16" t="s">
        <v>12488</v>
      </c>
      <c r="BM3" s="16" t="s">
        <v>12489</v>
      </c>
      <c r="BN3" s="16" t="s">
        <v>12490</v>
      </c>
      <c r="BO3" s="16" t="s">
        <v>195</v>
      </c>
      <c r="BP3" s="78" t="s">
        <v>12264</v>
      </c>
      <c r="BQ3" s="78" t="s">
        <v>12491</v>
      </c>
      <c r="BR3" s="16" t="s">
        <v>12266</v>
      </c>
      <c r="BS3" s="108" t="s">
        <v>12492</v>
      </c>
    </row>
    <row r="4" spans="46:74">
      <c r="AT4" s="3"/>
      <c r="AV4" s="106">
        <f>+IF(AD4&lt;3,IF(F4&gt;0,0,1),0)</f>
        <v>1</v>
      </c>
      <c r="AW4" s="19">
        <f>+IF(AD4&lt;3,IF(R4&gt;0,0,1),0)</f>
        <v>1</v>
      </c>
      <c r="AX4" s="19">
        <f>+IF(AD4&lt;3,IF(S4&gt;0,0,1),0)</f>
        <v>1</v>
      </c>
      <c r="AY4" s="19">
        <f>+IF(AD4&lt;3,IF(T4&gt;0,0,1),0)</f>
        <v>1</v>
      </c>
      <c r="AZ4" s="19">
        <f>+IF(AD4&lt;3,IF(AW4=0,IF(T4&lt;=R4,0,1),0),0)</f>
        <v>0</v>
      </c>
      <c r="BA4" s="19">
        <f>+IF(AD4&lt;3,IF(AX4=0,IF(S4&lt;=R4,0,1),0),0)</f>
        <v>0</v>
      </c>
      <c r="BB4" s="19">
        <f>+IF(AD4&lt;3,IF(AX4=0,IF(T4&lt;=S4,0,1),0),0)</f>
        <v>0</v>
      </c>
      <c r="BC4" s="107">
        <f>+IF(AD4&lt;3,IF(AND(AC4&gt;0,AC4&lt;5),0,1),0)</f>
        <v>1</v>
      </c>
      <c r="BD4" s="82">
        <f>IF(AD4&lt;3,IF(I4&gt;0,0,1),0)</f>
        <v>1</v>
      </c>
      <c r="BE4" s="82">
        <f>IF(AD4&lt;3,IF(AND(K4&lt;=J4,J4&lt;=I4),0,1),0)</f>
        <v>0</v>
      </c>
      <c r="BF4" s="82">
        <f>IF(AD4&lt;3,IF(L4&lt;=I4,0,1),0)</f>
        <v>0</v>
      </c>
      <c r="BG4" s="82">
        <f>IF(AD4&lt;3,IF(L4=0,IF(OR(M4=0,M4=""),0,1),IF(M4&gt;L4,0,1)),0)</f>
        <v>0</v>
      </c>
      <c r="BH4" s="82">
        <f>IF(AD4&lt;3,IF(AND(O4&lt;=N4,N4&lt;=M4),0,1),0)</f>
        <v>0</v>
      </c>
      <c r="BI4" s="19">
        <f>+IF(AD4&lt;3,IF(G4&lt;=F4,0,1),0)</f>
        <v>0</v>
      </c>
      <c r="BJ4" s="19">
        <f>+IF(AD4&lt;3,IF(H4&lt;=F4,0,1),0)</f>
        <v>0</v>
      </c>
      <c r="BK4" s="107">
        <f>+IF(AD4&lt;3,IF(P4&gt;0,0,1),0)</f>
        <v>1</v>
      </c>
      <c r="BL4" s="107">
        <f>+IF(AD4&lt;3,IF(AND(AE4&gt;0,AG4&gt;0),0,1),0)</f>
        <v>1</v>
      </c>
      <c r="BM4" s="107">
        <f>+IF(AD4&lt;3,IF(AA4&gt;0,0,1),0)</f>
        <v>1</v>
      </c>
      <c r="BN4" s="107">
        <f>+IF(AD4&lt;3,IF(AB4&gt;0,0,1),0)</f>
        <v>1</v>
      </c>
      <c r="BO4" s="107">
        <f>+IF(AD4&lt;3,IF(OR(X4=0,X4=1,X4="S",X4="N"),0,1),0)</f>
        <v>0</v>
      </c>
      <c r="BP4" s="82">
        <f>IF(AD4&lt;3,IF(Y4&gt;=0,0,1),0)</f>
        <v>0</v>
      </c>
      <c r="BQ4" s="6">
        <f>SUMIF(Distrib_tronchi!A:A,B4,Distrib_tronchi!G:G)</f>
        <v>0</v>
      </c>
      <c r="BR4" s="107">
        <f>+IF(AD4&lt;3,TRUNC(BQ4-F4),0)</f>
        <v>0</v>
      </c>
      <c r="BS4" s="107" t="e">
        <f>+IF(((R4-S4-V4)/(S4-V4))&lt;0.7,0,1)</f>
        <v>#DIV/0!</v>
      </c>
      <c r="BU4" s="81" t="s">
        <v>12191</v>
      </c>
      <c r="BV4" s="109" t="str">
        <f>+IF(SUM(AV:AV)=0,"OK","errore su lunghezza totale  reti")</f>
        <v>errore su lunghezza totale  reti</v>
      </c>
    </row>
    <row r="5" ht="23.25" customHeight="1" spans="46:74">
      <c r="AT5" s="3"/>
      <c r="AV5" s="106"/>
      <c r="AW5" s="19"/>
      <c r="AX5" s="19"/>
      <c r="AY5" s="19"/>
      <c r="AZ5" s="19"/>
      <c r="BA5" s="19"/>
      <c r="BB5" s="19"/>
      <c r="BC5" s="107"/>
      <c r="BD5" s="82"/>
      <c r="BE5" s="82"/>
      <c r="BF5" s="82"/>
      <c r="BG5" s="82"/>
      <c r="BH5" s="82"/>
      <c r="BI5" s="19"/>
      <c r="BJ5" s="19"/>
      <c r="BK5" s="107"/>
      <c r="BL5" s="107"/>
      <c r="BM5" s="107"/>
      <c r="BN5" s="107"/>
      <c r="BO5" s="107"/>
      <c r="BP5" s="82"/>
      <c r="BQ5" s="6"/>
      <c r="BR5" s="107"/>
      <c r="BS5" s="107"/>
      <c r="BU5" s="81" t="s">
        <v>11529</v>
      </c>
      <c r="BV5" s="109" t="str">
        <f>+IF(SUM(AW:AW)=0,"OK","Errore: volume immesso in rete pari a 0 mc/anno per una o più reti")</f>
        <v>Errore: volume immesso in rete pari a 0 mc/anno per una o più reti</v>
      </c>
    </row>
    <row r="6" spans="46:74">
      <c r="AT6" s="3"/>
      <c r="AV6" s="106"/>
      <c r="AW6" s="19"/>
      <c r="AX6" s="19"/>
      <c r="AY6" s="19"/>
      <c r="AZ6" s="19"/>
      <c r="BA6" s="19"/>
      <c r="BB6" s="19"/>
      <c r="BC6" s="107"/>
      <c r="BD6" s="82"/>
      <c r="BE6" s="82"/>
      <c r="BF6" s="82"/>
      <c r="BG6" s="82"/>
      <c r="BH6" s="82"/>
      <c r="BI6" s="19"/>
      <c r="BJ6" s="19"/>
      <c r="BK6" s="107"/>
      <c r="BL6" s="107"/>
      <c r="BM6" s="107"/>
      <c r="BN6" s="107"/>
      <c r="BO6" s="107"/>
      <c r="BP6" s="82"/>
      <c r="BQ6" s="6"/>
      <c r="BR6" s="107"/>
      <c r="BS6" s="107"/>
      <c r="BU6" s="81" t="s">
        <v>12193</v>
      </c>
      <c r="BV6" s="109" t="str">
        <f>+IF(SUM(AX:AX)=0,"OK","Errore: volume erogato pari a 0 mc/anno per una o più reti")</f>
        <v>Errore: volume erogato pari a 0 mc/anno per una o più reti</v>
      </c>
    </row>
    <row r="7" spans="46:74">
      <c r="AT7" s="3"/>
      <c r="AV7" s="106"/>
      <c r="AW7" s="19"/>
      <c r="AX7" s="19"/>
      <c r="AY7" s="19"/>
      <c r="AZ7" s="19"/>
      <c r="BA7" s="19"/>
      <c r="BB7" s="19"/>
      <c r="BC7" s="107"/>
      <c r="BD7" s="82"/>
      <c r="BE7" s="82"/>
      <c r="BF7" s="82"/>
      <c r="BG7" s="82"/>
      <c r="BH7" s="82"/>
      <c r="BI7" s="19"/>
      <c r="BJ7" s="19"/>
      <c r="BK7" s="107"/>
      <c r="BL7" s="107"/>
      <c r="BM7" s="107"/>
      <c r="BN7" s="107"/>
      <c r="BO7" s="107"/>
      <c r="BP7" s="82"/>
      <c r="BQ7" s="6"/>
      <c r="BR7" s="107"/>
      <c r="BS7" s="107"/>
      <c r="BU7" s="81" t="s">
        <v>12194</v>
      </c>
      <c r="BV7" s="109" t="str">
        <f>+IF(SUM(AY:AY)=0,"OK","Errore: volume fatturato pari a 0 mc/anno per una o più reti")</f>
        <v>Errore: volume fatturato pari a 0 mc/anno per una o più reti</v>
      </c>
    </row>
    <row r="8" spans="46:74">
      <c r="AT8" s="3"/>
      <c r="AV8" s="106"/>
      <c r="AW8" s="19"/>
      <c r="AX8" s="19"/>
      <c r="AY8" s="19"/>
      <c r="AZ8" s="19"/>
      <c r="BA8" s="19"/>
      <c r="BB8" s="19"/>
      <c r="BC8" s="107"/>
      <c r="BD8" s="82"/>
      <c r="BE8" s="82"/>
      <c r="BF8" s="82"/>
      <c r="BG8" s="82"/>
      <c r="BH8" s="82"/>
      <c r="BI8" s="19"/>
      <c r="BJ8" s="19"/>
      <c r="BK8" s="107"/>
      <c r="BL8" s="107"/>
      <c r="BM8" s="107"/>
      <c r="BN8" s="107"/>
      <c r="BO8" s="107"/>
      <c r="BP8" s="82"/>
      <c r="BQ8" s="6"/>
      <c r="BR8" s="107"/>
      <c r="BS8" s="107"/>
      <c r="BU8" s="81" t="s">
        <v>12482</v>
      </c>
      <c r="BV8" s="109" t="str">
        <f>+IF(SUM(AZ:AZ)=0,"OK","Errore: volume erogato inferiore a volume imm rete una o più reti")</f>
        <v>OK</v>
      </c>
    </row>
    <row r="9" spans="46:74">
      <c r="AT9" s="3"/>
      <c r="AV9" s="106"/>
      <c r="AW9" s="19"/>
      <c r="AX9" s="19"/>
      <c r="AY9" s="19"/>
      <c r="AZ9" s="19"/>
      <c r="BA9" s="19"/>
      <c r="BB9" s="19"/>
      <c r="BC9" s="107"/>
      <c r="BD9" s="82"/>
      <c r="BE9" s="82"/>
      <c r="BF9" s="82"/>
      <c r="BG9" s="82"/>
      <c r="BH9" s="82"/>
      <c r="BI9" s="19"/>
      <c r="BJ9" s="19"/>
      <c r="BK9" s="107"/>
      <c r="BL9" s="107"/>
      <c r="BM9" s="107"/>
      <c r="BN9" s="107"/>
      <c r="BO9" s="107"/>
      <c r="BP9" s="82"/>
      <c r="BQ9" s="6"/>
      <c r="BR9" s="107"/>
      <c r="BS9" s="107"/>
      <c r="BU9" s="81" t="s">
        <v>12483</v>
      </c>
      <c r="BV9" s="109" t="str">
        <f>+IF(SUM(BA:BA)=0,"OK","Errore: volume erogato inferiore a volume imm rete una o più reti")</f>
        <v>OK</v>
      </c>
    </row>
    <row r="10" s="104" customFormat="1" spans="1:74">
      <c r="A10" s="105"/>
      <c r="AT10" s="3"/>
      <c r="AV10" s="106"/>
      <c r="AW10" s="19"/>
      <c r="AX10" s="19"/>
      <c r="AY10" s="19"/>
      <c r="AZ10" s="19"/>
      <c r="BA10" s="19"/>
      <c r="BB10" s="19"/>
      <c r="BC10" s="107"/>
      <c r="BD10" s="82"/>
      <c r="BE10" s="82"/>
      <c r="BF10" s="82"/>
      <c r="BG10" s="82"/>
      <c r="BH10" s="82"/>
      <c r="BI10" s="19"/>
      <c r="BJ10" s="19"/>
      <c r="BK10" s="107"/>
      <c r="BL10" s="107"/>
      <c r="BM10" s="107"/>
      <c r="BN10" s="107"/>
      <c r="BO10" s="107"/>
      <c r="BP10" s="82"/>
      <c r="BQ10" s="6"/>
      <c r="BR10" s="107"/>
      <c r="BS10" s="107"/>
      <c r="BU10" s="81" t="s">
        <v>12493</v>
      </c>
      <c r="BV10" s="109" t="str">
        <f>+IF(SUM(BB:BB)=0,"OK","Errore: volume erogato inferiore a volume fatturato in una o più reti")</f>
        <v>OK</v>
      </c>
    </row>
    <row r="11" s="104" customFormat="1" ht="20.25" customHeight="1" spans="1:74">
      <c r="A11" s="105"/>
      <c r="AT11" s="3"/>
      <c r="AV11" s="106"/>
      <c r="AW11" s="19"/>
      <c r="AX11" s="19"/>
      <c r="AY11" s="19"/>
      <c r="AZ11" s="19"/>
      <c r="BA11" s="19"/>
      <c r="BB11" s="19"/>
      <c r="BC11" s="107"/>
      <c r="BD11" s="82"/>
      <c r="BE11" s="82"/>
      <c r="BF11" s="82"/>
      <c r="BG11" s="82"/>
      <c r="BH11" s="82"/>
      <c r="BI11" s="19"/>
      <c r="BJ11" s="19"/>
      <c r="BK11" s="107"/>
      <c r="BL11" s="107"/>
      <c r="BM11" s="107"/>
      <c r="BN11" s="107"/>
      <c r="BO11" s="107"/>
      <c r="BP11" s="82"/>
      <c r="BQ11" s="6"/>
      <c r="BR11" s="107"/>
      <c r="BS11" s="107"/>
      <c r="BU11" s="81" t="s">
        <v>12168</v>
      </c>
      <c r="BV11" s="81" t="str">
        <f>+IF(SUM(BC:BC)=0,"OK","Errore nella codifica del tipo telecontrollo")</f>
        <v>Errore nella codifica del tipo telecontrollo</v>
      </c>
    </row>
    <row r="12" s="104" customFormat="1" ht="20.25" customHeight="1" spans="1:74">
      <c r="A12" s="105"/>
      <c r="AT12" s="3"/>
      <c r="AV12" s="106"/>
      <c r="AW12" s="19"/>
      <c r="AX12" s="19"/>
      <c r="AY12" s="19"/>
      <c r="AZ12" s="19"/>
      <c r="BA12" s="19"/>
      <c r="BB12" s="19"/>
      <c r="BC12" s="107"/>
      <c r="BD12" s="82"/>
      <c r="BE12" s="82"/>
      <c r="BF12" s="82"/>
      <c r="BG12" s="82"/>
      <c r="BH12" s="82"/>
      <c r="BI12" s="19"/>
      <c r="BJ12" s="19"/>
      <c r="BK12" s="107"/>
      <c r="BL12" s="107"/>
      <c r="BM12" s="107"/>
      <c r="BN12" s="107"/>
      <c r="BO12" s="107"/>
      <c r="BP12" s="82"/>
      <c r="BQ12" s="6"/>
      <c r="BR12" s="107"/>
      <c r="BS12" s="107"/>
      <c r="BU12" s="88" t="s">
        <v>12269</v>
      </c>
      <c r="BV12" s="89" t="str">
        <f>+IF(SUM(BD:BD)=0,"OK","errore utenti diretti")</f>
        <v>errore utenti diretti</v>
      </c>
    </row>
    <row r="13" s="104" customFormat="1" ht="20.25" customHeight="1" spans="1:74">
      <c r="A13" s="105"/>
      <c r="AT13" s="3"/>
      <c r="AV13" s="106"/>
      <c r="AW13" s="19"/>
      <c r="AX13" s="19"/>
      <c r="AY13" s="19"/>
      <c r="AZ13" s="19"/>
      <c r="BA13" s="19"/>
      <c r="BB13" s="19"/>
      <c r="BC13" s="107"/>
      <c r="BD13" s="82"/>
      <c r="BE13" s="82"/>
      <c r="BF13" s="82"/>
      <c r="BG13" s="82"/>
      <c r="BH13" s="82"/>
      <c r="BI13" s="19"/>
      <c r="BJ13" s="19"/>
      <c r="BK13" s="107"/>
      <c r="BL13" s="107"/>
      <c r="BM13" s="107"/>
      <c r="BN13" s="107"/>
      <c r="BO13" s="107"/>
      <c r="BP13" s="82"/>
      <c r="BQ13" s="6"/>
      <c r="BR13" s="107"/>
      <c r="BS13" s="107"/>
      <c r="BU13" s="88" t="s">
        <v>12217</v>
      </c>
      <c r="BV13" s="89" t="str">
        <f>+IF(SUM(BE:BE)=0,"OK","errore utenti diretti")</f>
        <v>OK</v>
      </c>
    </row>
    <row r="14" s="104" customFormat="1" ht="20.25" customHeight="1" spans="1:74">
      <c r="A14" s="105"/>
      <c r="AT14" s="3"/>
      <c r="AV14" s="106"/>
      <c r="AW14" s="19"/>
      <c r="AX14" s="19"/>
      <c r="AY14" s="19"/>
      <c r="AZ14" s="19"/>
      <c r="BA14" s="19"/>
      <c r="BB14" s="19"/>
      <c r="BC14" s="107"/>
      <c r="BD14" s="82"/>
      <c r="BE14" s="82"/>
      <c r="BF14" s="82"/>
      <c r="BG14" s="82"/>
      <c r="BH14" s="82"/>
      <c r="BI14" s="19"/>
      <c r="BJ14" s="19"/>
      <c r="BK14" s="107"/>
      <c r="BL14" s="107"/>
      <c r="BM14" s="107"/>
      <c r="BN14" s="107"/>
      <c r="BO14" s="107"/>
      <c r="BP14" s="82"/>
      <c r="BQ14" s="6"/>
      <c r="BR14" s="107"/>
      <c r="BS14" s="107"/>
      <c r="BU14" s="88" t="s">
        <v>12270</v>
      </c>
      <c r="BV14" s="89" t="str">
        <f>+IF(SUM(BF:BF)=0,"OK","errore utenze condominiali")</f>
        <v>OK</v>
      </c>
    </row>
    <row r="15" s="104" customFormat="1" ht="20.25" customHeight="1" spans="1:74">
      <c r="A15" s="105"/>
      <c r="AT15" s="3"/>
      <c r="AV15" s="106"/>
      <c r="AW15" s="19"/>
      <c r="AX15" s="19"/>
      <c r="AY15" s="19"/>
      <c r="AZ15" s="19"/>
      <c r="BA15" s="19"/>
      <c r="BB15" s="19"/>
      <c r="BC15" s="107"/>
      <c r="BD15" s="82"/>
      <c r="BE15" s="82"/>
      <c r="BF15" s="82"/>
      <c r="BG15" s="82"/>
      <c r="BH15" s="82"/>
      <c r="BI15" s="19"/>
      <c r="BJ15" s="19"/>
      <c r="BK15" s="107"/>
      <c r="BL15" s="107"/>
      <c r="BM15" s="107"/>
      <c r="BN15" s="107"/>
      <c r="BO15" s="107"/>
      <c r="BP15" s="82"/>
      <c r="BQ15" s="6"/>
      <c r="BR15" s="107"/>
      <c r="BS15" s="107"/>
      <c r="BU15" s="88" t="s">
        <v>12271</v>
      </c>
      <c r="BV15" s="89" t="str">
        <f>+IF(SUM(BG:BG)=0,"OK","errore su utenze condominiali/utenze indirette")</f>
        <v>OK</v>
      </c>
    </row>
    <row r="16" s="104" customFormat="1" ht="20.25" customHeight="1" spans="1:74">
      <c r="A16" s="105"/>
      <c r="AT16" s="3"/>
      <c r="AV16" s="106"/>
      <c r="AW16" s="19"/>
      <c r="AX16" s="19"/>
      <c r="AY16" s="19"/>
      <c r="AZ16" s="19"/>
      <c r="BA16" s="19"/>
      <c r="BB16" s="19"/>
      <c r="BC16" s="107"/>
      <c r="BD16" s="82"/>
      <c r="BE16" s="82"/>
      <c r="BF16" s="82"/>
      <c r="BG16" s="82"/>
      <c r="BH16" s="82"/>
      <c r="BI16" s="19"/>
      <c r="BJ16" s="19"/>
      <c r="BK16" s="107"/>
      <c r="BL16" s="107"/>
      <c r="BM16" s="107"/>
      <c r="BN16" s="107"/>
      <c r="BO16" s="107"/>
      <c r="BP16" s="82"/>
      <c r="BQ16" s="6"/>
      <c r="BR16" s="107"/>
      <c r="BS16" s="107"/>
      <c r="BU16" s="88" t="s">
        <v>12220</v>
      </c>
      <c r="BV16" s="89" t="str">
        <f>+IF(SUM(BH:BH)=0,"OK","errore utenti indiretti")</f>
        <v>OK</v>
      </c>
    </row>
    <row r="17" s="104" customFormat="1" ht="20.25" customHeight="1" spans="73:74">
      <c r="BU17" s="81" t="s">
        <v>12494</v>
      </c>
      <c r="BV17" s="81" t="str">
        <f>+IF(SUM(BI:BI)=0,"OK","Errore nella lunghezza reti")</f>
        <v>OK</v>
      </c>
    </row>
    <row r="18" s="104" customFormat="1" ht="20.25" customHeight="1" spans="73:74">
      <c r="BU18" s="81" t="s">
        <v>12495</v>
      </c>
      <c r="BV18" s="81" t="str">
        <f>+IF(SUM(BJ:BJ)=0,"OK","Errore nella lunghezza reti")</f>
        <v>OK</v>
      </c>
    </row>
    <row r="19" s="104" customFormat="1" ht="20.25" customHeight="1" spans="73:74">
      <c r="BU19" s="81" t="s">
        <v>12487</v>
      </c>
      <c r="BV19" s="81" t="str">
        <f>+IF(SUM(BK:BK)=0,"OK","Errore: numero allacci pari a 0 in una o più reti")</f>
        <v>Errore: numero allacci pari a 0 in una o più reti</v>
      </c>
    </row>
    <row r="20" s="104" customFormat="1" ht="20.25" customHeight="1" spans="73:74">
      <c r="BU20" s="81" t="s">
        <v>12488</v>
      </c>
      <c r="BV20" s="81" t="str">
        <f>+IF(SUM(BL:BL)=0,"OK","Errore: verifica pressioni non congruente")</f>
        <v>Errore: verifica pressioni non congruente</v>
      </c>
    </row>
    <row r="21" s="104" customFormat="1" ht="37.5" customHeight="1" spans="73:74">
      <c r="BU21" s="81" t="s">
        <v>12489</v>
      </c>
      <c r="BV21" s="81" t="str">
        <f>+IF(SUM(BM:BM)=0,"OK","Attenzione! Possibile errore: numero riparazioni allacci pari a 0 per una o più reti. Verificare, e confermare i dati pari a 0.")</f>
        <v>Attenzione! Possibile errore: numero riparazioni allacci pari a 0 per una o più reti. Verificare, e confermare i dati pari a 0.</v>
      </c>
    </row>
    <row r="22" s="104" customFormat="1" ht="20.25" customHeight="1" spans="73:74">
      <c r="BU22" s="81" t="s">
        <v>12490</v>
      </c>
      <c r="BV22" s="81" t="str">
        <f>+IF(SUM(BN:BN)=0,"OK","Attenzione! Possibile errore: numero riparazioni rete pari a 0 per una o più reti. Verificare, e confermare i dati pari a 0")</f>
        <v>Attenzione! Possibile errore: numero riparazioni rete pari a 0 per una o più reti. Verificare, e confermare i dati pari a 0</v>
      </c>
    </row>
    <row r="23" s="104" customFormat="1" ht="20.25" customHeight="1" spans="73:74">
      <c r="BU23" s="81" t="s">
        <v>12496</v>
      </c>
      <c r="BV23" s="81" t="str">
        <f>+IF(SUM(BO:BO)=0,"OK","Errore su misura portata")</f>
        <v>OK</v>
      </c>
    </row>
    <row r="24" s="104" customFormat="1" ht="32.25" customHeight="1" spans="73:74">
      <c r="BU24" s="81" t="s">
        <v>12497</v>
      </c>
      <c r="BV24" s="81" t="str">
        <f>+IF(SUM(BP:BP)=0,"OK","Possibile errore su punti di clorazione")</f>
        <v>OK</v>
      </c>
    </row>
    <row r="25" spans="73:74">
      <c r="BU25" s="81" t="s">
        <v>12266</v>
      </c>
      <c r="BV25" s="81" t="str">
        <f>+IF(SUM(BR:BR)=0,"OK","Errore: lunghezza aggregata non congruente con somma di lunghezze dei singoli tratti")</f>
        <v>OK</v>
      </c>
    </row>
    <row r="26" spans="73:74">
      <c r="BU26" s="109" t="s">
        <v>12273</v>
      </c>
      <c r="BV26" s="81" t="str">
        <f>+IF((SUM(S:S)-SUM(T:T))&lt;=(SUM(S:S)*0.02),"OK","Attenzione:volumi di tipo A12 superiori al 2% del volume erogato")</f>
        <v>OK</v>
      </c>
    </row>
    <row r="27" ht="42" customHeight="1" spans="73:74">
      <c r="BU27" s="110" t="s">
        <v>12498</v>
      </c>
      <c r="BV27" s="110" t="e">
        <f>+IF(SUM(BS:BS)=0,"OK","Attenzione: perdite per singola rete maggiori del 70% - motivare in lista eccezioni per ciascuna rete interessata")</f>
        <v>#DIV/0!</v>
      </c>
    </row>
  </sheetData>
  <pageMargins left="0.75" right="0.75" top="1" bottom="1" header="0.511811023622047" footer="0.511811023622047"/>
  <pageSetup paperSize="9" orientation="portrait" horizontalDpi="300" verticalDpi="300"/>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Y12"/>
  <sheetViews>
    <sheetView topLeftCell="M1" workbookViewId="0">
      <selection activeCell="W4" sqref="W4"/>
    </sheetView>
  </sheetViews>
  <sheetFormatPr defaultColWidth="8.71428571428571" defaultRowHeight="12.75"/>
  <cols>
    <col min="1" max="2" width="22.5714285714286" style="3" customWidth="1"/>
    <col min="3" max="6" width="16.4285714285714" style="3" customWidth="1"/>
    <col min="7" max="7" width="29" style="3" customWidth="1"/>
    <col min="8" max="11" width="16.4285714285714" style="3" customWidth="1"/>
    <col min="12" max="12" width="22.2857142857143" customWidth="1"/>
    <col min="13" max="13" width="10.7142857142857" customWidth="1"/>
    <col min="14" max="14" width="23.4285714285714" style="19" customWidth="1"/>
    <col min="15" max="15" width="38" style="61" customWidth="1"/>
    <col min="16" max="16" width="22.1428571428571" style="61" customWidth="1"/>
    <col min="17" max="17" width="14.4285714285714" style="19" customWidth="1"/>
    <col min="18" max="19" width="15.1428571428571" style="19" customWidth="1"/>
    <col min="20" max="20" width="23" style="19" customWidth="1"/>
    <col min="21" max="22" width="15.1428571428571" style="19" customWidth="1"/>
    <col min="23" max="23" width="16.2857142857143" style="11" customWidth="1"/>
    <col min="24" max="24" width="18.7142857142857" style="11" customWidth="1"/>
    <col min="25" max="25" width="13.1428571428571" style="11" customWidth="1"/>
  </cols>
  <sheetData>
    <row r="1" ht="45" customHeight="1" spans="1:23">
      <c r="A1" s="8" t="s">
        <v>11706</v>
      </c>
      <c r="B1" s="8" t="s">
        <v>12274</v>
      </c>
      <c r="C1" s="8" t="s">
        <v>12275</v>
      </c>
      <c r="D1" s="8" t="s">
        <v>11524</v>
      </c>
      <c r="E1" s="8" t="s">
        <v>11999</v>
      </c>
      <c r="F1" s="8" t="s">
        <v>12276</v>
      </c>
      <c r="G1" s="97" t="s">
        <v>12278</v>
      </c>
      <c r="H1" s="8" t="s">
        <v>12279</v>
      </c>
      <c r="I1" s="8" t="s">
        <v>12280</v>
      </c>
      <c r="J1" s="8" t="s">
        <v>12281</v>
      </c>
      <c r="K1" s="8" t="s">
        <v>12282</v>
      </c>
      <c r="L1" s="26" t="s">
        <v>12499</v>
      </c>
      <c r="M1" s="43" t="s">
        <v>11559</v>
      </c>
      <c r="N1" s="13" t="s">
        <v>12283</v>
      </c>
      <c r="O1" s="13" t="s">
        <v>11883</v>
      </c>
      <c r="P1" s="13"/>
      <c r="Q1" s="65" t="s">
        <v>11802</v>
      </c>
      <c r="R1" s="65" t="s">
        <v>11802</v>
      </c>
      <c r="S1" s="65"/>
      <c r="T1" s="66" t="s">
        <v>12284</v>
      </c>
      <c r="U1" s="68" t="s">
        <v>12285</v>
      </c>
      <c r="V1" s="65"/>
      <c r="W1" s="3"/>
    </row>
    <row r="2" ht="33.75" spans="1:23">
      <c r="A2" s="9" t="s">
        <v>11709</v>
      </c>
      <c r="B2" s="9" t="s">
        <v>12286</v>
      </c>
      <c r="C2" s="9" t="s">
        <v>12287</v>
      </c>
      <c r="D2" s="9" t="s">
        <v>11597</v>
      </c>
      <c r="E2" s="9" t="s">
        <v>12288</v>
      </c>
      <c r="F2" s="9" t="s">
        <v>12289</v>
      </c>
      <c r="G2" s="98" t="s">
        <v>12291</v>
      </c>
      <c r="H2" s="9" t="s">
        <v>12292</v>
      </c>
      <c r="I2" s="9" t="s">
        <v>12293</v>
      </c>
      <c r="J2" s="9" t="s">
        <v>12294</v>
      </c>
      <c r="K2" s="9" t="s">
        <v>12295</v>
      </c>
      <c r="L2" s="28" t="s">
        <v>126</v>
      </c>
      <c r="M2" s="44"/>
      <c r="N2" s="17"/>
      <c r="O2" s="17"/>
      <c r="P2" s="17"/>
      <c r="T2" s="66"/>
      <c r="U2" s="68"/>
      <c r="W2" s="3"/>
    </row>
    <row r="3" ht="45.75" customHeight="1" spans="1:23">
      <c r="A3" s="10" t="s">
        <v>12500</v>
      </c>
      <c r="B3" s="10" t="s">
        <v>12501</v>
      </c>
      <c r="C3" s="10" t="s">
        <v>12502</v>
      </c>
      <c r="D3" s="10" t="s">
        <v>12503</v>
      </c>
      <c r="E3" s="10" t="s">
        <v>12504</v>
      </c>
      <c r="F3" s="10" t="s">
        <v>12505</v>
      </c>
      <c r="G3" s="99" t="s">
        <v>12506</v>
      </c>
      <c r="H3" s="10" t="s">
        <v>12507</v>
      </c>
      <c r="I3" s="10" t="s">
        <v>12508</v>
      </c>
      <c r="J3" s="10" t="s">
        <v>12509</v>
      </c>
      <c r="K3" s="10" t="s">
        <v>12510</v>
      </c>
      <c r="L3" s="10" t="s">
        <v>12511</v>
      </c>
      <c r="M3" s="45"/>
      <c r="N3" s="46" t="s">
        <v>12308</v>
      </c>
      <c r="O3" s="16" t="s">
        <v>11915</v>
      </c>
      <c r="P3" s="16" t="s">
        <v>12309</v>
      </c>
      <c r="Q3" s="16" t="s">
        <v>11999</v>
      </c>
      <c r="R3" s="16" t="s">
        <v>12278</v>
      </c>
      <c r="S3" s="16" t="s">
        <v>12512</v>
      </c>
      <c r="T3" s="67" t="s">
        <v>12310</v>
      </c>
      <c r="U3" s="69" t="s">
        <v>11699</v>
      </c>
      <c r="V3" s="37" t="s">
        <v>12311</v>
      </c>
      <c r="W3" s="3"/>
    </row>
    <row r="4" spans="8:25">
      <c r="H4" s="24"/>
      <c r="I4" s="24"/>
      <c r="N4" s="19">
        <f>+IF(AND(C4&gt;0,C4&lt;55),0,1)</f>
        <v>1</v>
      </c>
      <c r="O4" s="19">
        <f>+IF(AND(D4&gt;0,D4&lt;6),0,1)</f>
        <v>1</v>
      </c>
      <c r="P4" s="19">
        <f>IF(OR(F4&lt;2014,F4=9999),0,IF(D4&gt;=3,0,1))</f>
        <v>0</v>
      </c>
      <c r="Q4" s="19">
        <f>+IF(E4&gt;0,0,1)</f>
        <v>1</v>
      </c>
      <c r="R4" s="19">
        <f>+IF(G4&gt;0,0,1)</f>
        <v>1</v>
      </c>
      <c r="S4" s="19">
        <f>IF(OR(L4=1,L4=0,L4="S",L4="N"),0,1)</f>
        <v>0</v>
      </c>
      <c r="T4" s="66">
        <f>IF(OR(F4=9999,F4&lt;2015),0,IF(OR(H4="X",I4="X",J4="X",K4="X"),1,0))</f>
        <v>0</v>
      </c>
      <c r="U4" s="68">
        <f>IF(F4=9999,0,IF(F4&gt;=2015,IF(COUNTBLANK(A4:L4)=0,0,1),0))</f>
        <v>0</v>
      </c>
      <c r="V4" s="38">
        <f>+IF(F4='[2]Input anno'!$A$1,COUNTBLANK(A4:L4),0)</f>
        <v>0</v>
      </c>
      <c r="X4" s="101" t="s">
        <v>12312</v>
      </c>
      <c r="Y4" s="103" t="str">
        <f>+IF(SUM(N:N)=0,"OK","errore su materiale")</f>
        <v>errore su materiale</v>
      </c>
    </row>
    <row r="5" spans="8:25">
      <c r="H5" s="24"/>
      <c r="I5" s="24"/>
      <c r="O5" s="19"/>
      <c r="P5" s="19"/>
      <c r="V5" s="38"/>
      <c r="X5" s="101" t="s">
        <v>12513</v>
      </c>
      <c r="Y5" s="103" t="str">
        <f>+IF(SUM(O:O)=0,"OK","errore su stato di conservazione del tronco")</f>
        <v>errore su stato di conservazione del tronco</v>
      </c>
    </row>
    <row r="6" ht="21" spans="8:25">
      <c r="H6" s="24"/>
      <c r="I6" s="24"/>
      <c r="O6" s="19"/>
      <c r="P6" s="19"/>
      <c r="V6" s="38"/>
      <c r="X6" s="101" t="s">
        <v>12514</v>
      </c>
      <c r="Y6" s="103" t="str">
        <f>+IF(SUM(P:P)=0,"OK","errore su stato di conservazione del tronco")</f>
        <v>OK</v>
      </c>
    </row>
    <row r="7" spans="8:25">
      <c r="H7" s="24"/>
      <c r="I7" s="24"/>
      <c r="O7" s="19"/>
      <c r="P7" s="19"/>
      <c r="V7" s="38"/>
      <c r="X7" s="101" t="s">
        <v>12315</v>
      </c>
      <c r="Y7" s="103" t="str">
        <f>+IF(SUM(Q:Q)=0,"OK","errore su diametro")</f>
        <v>errore su diametro</v>
      </c>
    </row>
    <row r="8" spans="8:25">
      <c r="H8" s="24"/>
      <c r="I8" s="24"/>
      <c r="O8" s="19"/>
      <c r="P8" s="19"/>
      <c r="V8" s="38"/>
      <c r="X8" s="101" t="s">
        <v>12317</v>
      </c>
      <c r="Y8" s="103" t="str">
        <f>+IF(SUM(R:R)=0,"OK","errore su lunghezza")</f>
        <v>errore su lunghezza</v>
      </c>
    </row>
    <row r="9" ht="21" spans="8:25">
      <c r="H9" s="24"/>
      <c r="I9" s="24"/>
      <c r="O9" s="19"/>
      <c r="P9" s="100"/>
      <c r="V9" s="38"/>
      <c r="X9" s="101" t="s">
        <v>12515</v>
      </c>
      <c r="Y9" s="103" t="str">
        <f>+IF(SUM(S:S)=0,"OK","errore sulla gestione della pressione")</f>
        <v>OK</v>
      </c>
    </row>
    <row r="10" ht="24" spans="8:25">
      <c r="H10" s="24"/>
      <c r="I10" s="24"/>
      <c r="O10" s="19"/>
      <c r="P10" s="19"/>
      <c r="V10" s="38"/>
      <c r="X10" s="72" t="s">
        <v>12318</v>
      </c>
      <c r="Y10" s="68" t="str">
        <f>IF(SUM(T:T)=0,"OK","Indici di confidenza errati")</f>
        <v>OK</v>
      </c>
    </row>
    <row r="11" ht="24" spans="8:25">
      <c r="H11" s="24"/>
      <c r="I11" s="24"/>
      <c r="O11" s="19"/>
      <c r="P11" s="19"/>
      <c r="V11" s="38"/>
      <c r="X11" s="72" t="s">
        <v>11699</v>
      </c>
      <c r="Y11" s="68" t="str">
        <f>IF(SUM(U:U)=0,"OK","Errore: celle vuote in corrispondenza di opera costruita in anno &gt;=2015")</f>
        <v>OK</v>
      </c>
    </row>
    <row r="12" spans="8:25">
      <c r="H12" s="24"/>
      <c r="I12" s="24"/>
      <c r="O12" s="19"/>
      <c r="P12" s="19"/>
      <c r="V12" s="38"/>
      <c r="X12" s="102" t="s">
        <v>12516</v>
      </c>
      <c r="Y12" s="71" t="str">
        <f>+IF(SUM(V:V)=0,"OK","errore, dati nuovi tronchi non completi")</f>
        <v>OK</v>
      </c>
    </row>
  </sheetData>
  <pageMargins left="0.75" right="0.75" top="1" bottom="1" header="0.511811023622047" footer="0.511811023622047"/>
  <pageSetup paperSize="9" fitToHeight="0" orientation="landscape" horizontalDpi="300" verticalDpi="300"/>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15"/>
  <sheetViews>
    <sheetView zoomScale="90" zoomScaleNormal="90" topLeftCell="AE1" workbookViewId="0">
      <selection activeCell="AP4" sqref="AP4"/>
    </sheetView>
  </sheetViews>
  <sheetFormatPr defaultColWidth="10.7142857142857" defaultRowHeight="12.75"/>
  <cols>
    <col min="1" max="1" width="8" customWidth="1"/>
    <col min="2" max="2" width="9" customWidth="1"/>
    <col min="3" max="3" width="31.4285714285714" customWidth="1"/>
    <col min="4" max="4" width="12" customWidth="1"/>
    <col min="5" max="6" width="9" customWidth="1"/>
    <col min="7" max="7" width="11" customWidth="1"/>
    <col min="8" max="8" width="13.7142857142857" customWidth="1"/>
    <col min="9" max="9" width="12" customWidth="1"/>
    <col min="11" max="11" width="9" customWidth="1"/>
    <col min="12" max="12" width="13.5714285714286" customWidth="1"/>
    <col min="13" max="13" width="12.8571428571429" customWidth="1"/>
    <col min="14" max="14" width="12.7142857142857" customWidth="1"/>
    <col min="15" max="15" width="9" customWidth="1"/>
    <col min="16" max="16" width="10.1428571428571" customWidth="1"/>
    <col min="17" max="17" width="12" customWidth="1"/>
    <col min="18" max="21" width="9" customWidth="1"/>
    <col min="22" max="22" width="17.4285714285714" customWidth="1"/>
    <col min="23" max="27" width="17" customWidth="1"/>
    <col min="28" max="28" width="11.5714285714286" style="4" customWidth="1"/>
    <col min="29" max="29" width="20.7142857142857" style="4" customWidth="1"/>
    <col min="30" max="31" width="21" style="4" customWidth="1"/>
    <col min="32" max="32" width="15.7142857142857" style="4" customWidth="1"/>
    <col min="33" max="33" width="21.5714285714286" style="4" customWidth="1"/>
    <col min="34" max="34" width="14.4285714285714" style="4" customWidth="1"/>
    <col min="35" max="35" width="15.4285714285714" style="4" customWidth="1"/>
    <col min="36" max="36" width="19.8571428571429" style="4" customWidth="1"/>
    <col min="37" max="38" width="15.4285714285714" style="4" customWidth="1"/>
    <col min="39" max="39" width="26" style="3" customWidth="1"/>
    <col min="40" max="40" width="20.7142857142857" style="3" customWidth="1"/>
    <col min="41" max="41" width="9.14285714285714" customWidth="1"/>
    <col min="42" max="42" width="42.1428571428571" style="3" customWidth="1"/>
    <col min="43" max="43" width="44.7142857142857" style="11" customWidth="1"/>
    <col min="44" max="44" width="22.1428571428571" style="3" customWidth="1"/>
    <col min="45" max="45" width="14" style="3" customWidth="1"/>
    <col min="46" max="1024" width="10.7142857142857" style="3"/>
  </cols>
  <sheetData>
    <row r="1" s="1" customFormat="1" ht="69" customHeight="1" spans="1:44">
      <c r="A1" s="8" t="s">
        <v>11505</v>
      </c>
      <c r="B1" s="8" t="s">
        <v>11506</v>
      </c>
      <c r="C1" s="8" t="s">
        <v>12517</v>
      </c>
      <c r="D1" s="8" t="s">
        <v>12191</v>
      </c>
      <c r="E1" s="26" t="s">
        <v>12518</v>
      </c>
      <c r="F1" s="26" t="s">
        <v>12421</v>
      </c>
      <c r="G1" s="27" t="s">
        <v>12519</v>
      </c>
      <c r="H1" s="27" t="s">
        <v>12520</v>
      </c>
      <c r="I1" s="26" t="s">
        <v>12194</v>
      </c>
      <c r="J1" s="27" t="s">
        <v>12521</v>
      </c>
      <c r="K1" s="8" t="s">
        <v>12522</v>
      </c>
      <c r="L1" s="8" t="s">
        <v>12523</v>
      </c>
      <c r="M1" s="8" t="s">
        <v>12524</v>
      </c>
      <c r="N1" s="8" t="s">
        <v>12525</v>
      </c>
      <c r="O1" s="8" t="s">
        <v>12526</v>
      </c>
      <c r="P1" s="8" t="s">
        <v>11541</v>
      </c>
      <c r="Q1" s="26" t="s">
        <v>12527</v>
      </c>
      <c r="R1" s="26" t="s">
        <v>12205</v>
      </c>
      <c r="S1" s="8" t="s">
        <v>11540</v>
      </c>
      <c r="T1" s="8" t="s">
        <v>11548</v>
      </c>
      <c r="U1" s="8" t="s">
        <v>12208</v>
      </c>
      <c r="V1" s="27" t="s">
        <v>12528</v>
      </c>
      <c r="W1" s="26" t="s">
        <v>12529</v>
      </c>
      <c r="X1" s="27" t="s">
        <v>12530</v>
      </c>
      <c r="Y1" s="27" t="s">
        <v>12531</v>
      </c>
      <c r="Z1" s="8" t="s">
        <v>11558</v>
      </c>
      <c r="AA1" s="12" t="s">
        <v>11559</v>
      </c>
      <c r="AB1" s="76" t="s">
        <v>11802</v>
      </c>
      <c r="AC1" s="76" t="s">
        <v>12532</v>
      </c>
      <c r="AD1" s="76" t="s">
        <v>12533</v>
      </c>
      <c r="AE1" s="76" t="s">
        <v>11802</v>
      </c>
      <c r="AF1" s="76" t="s">
        <v>12534</v>
      </c>
      <c r="AG1" s="76" t="s">
        <v>12535</v>
      </c>
      <c r="AH1" s="76" t="s">
        <v>12536</v>
      </c>
      <c r="AI1" s="13" t="s">
        <v>12537</v>
      </c>
      <c r="AJ1" s="76" t="s">
        <v>12060</v>
      </c>
      <c r="AK1" s="76" t="s">
        <v>11802</v>
      </c>
      <c r="AL1" s="76" t="s">
        <v>11802</v>
      </c>
      <c r="AM1" s="76"/>
      <c r="AN1" s="76" t="s">
        <v>12221</v>
      </c>
      <c r="AP1" s="84"/>
      <c r="AQ1" s="80"/>
      <c r="AR1" s="96"/>
    </row>
    <row r="2" s="2" customFormat="1" ht="37.5" customHeight="1" spans="1:44">
      <c r="A2" s="9" t="s">
        <v>12538</v>
      </c>
      <c r="B2" s="9" t="s">
        <v>11579</v>
      </c>
      <c r="C2" s="9" t="s">
        <v>11580</v>
      </c>
      <c r="D2" s="9" t="s">
        <v>12224</v>
      </c>
      <c r="E2" s="28" t="s">
        <v>563</v>
      </c>
      <c r="F2" s="28" t="s">
        <v>82</v>
      </c>
      <c r="G2" s="29" t="s">
        <v>12539</v>
      </c>
      <c r="H2" s="29" t="s">
        <v>12540</v>
      </c>
      <c r="I2" s="28" t="s">
        <v>156</v>
      </c>
      <c r="J2" s="29" t="s">
        <v>12541</v>
      </c>
      <c r="K2" s="9" t="s">
        <v>12542</v>
      </c>
      <c r="L2" s="9" t="s">
        <v>12543</v>
      </c>
      <c r="M2" s="9" t="s">
        <v>12544</v>
      </c>
      <c r="N2" s="9" t="s">
        <v>12545</v>
      </c>
      <c r="O2" s="9" t="s">
        <v>12546</v>
      </c>
      <c r="P2" s="9" t="s">
        <v>11614</v>
      </c>
      <c r="Q2" s="28" t="s">
        <v>126</v>
      </c>
      <c r="R2" s="28" t="s">
        <v>82</v>
      </c>
      <c r="S2" s="9" t="s">
        <v>11613</v>
      </c>
      <c r="T2" s="9" t="s">
        <v>11621</v>
      </c>
      <c r="U2" s="9" t="s">
        <v>12240</v>
      </c>
      <c r="V2" s="29" t="s">
        <v>12547</v>
      </c>
      <c r="W2" s="28" t="s">
        <v>220</v>
      </c>
      <c r="X2" s="29" t="s">
        <v>12548</v>
      </c>
      <c r="Y2" s="29" t="s">
        <v>12549</v>
      </c>
      <c r="Z2" s="9" t="s">
        <v>11631</v>
      </c>
      <c r="AA2" s="14"/>
      <c r="AB2" s="77"/>
      <c r="AC2" s="77"/>
      <c r="AD2" s="77"/>
      <c r="AE2" s="77"/>
      <c r="AF2" s="77"/>
      <c r="AG2" s="77"/>
      <c r="AH2" s="77"/>
      <c r="AI2" s="77"/>
      <c r="AJ2" s="77"/>
      <c r="AK2" s="77"/>
      <c r="AL2" s="77"/>
      <c r="AM2" s="77"/>
      <c r="AN2" s="77"/>
      <c r="AP2" s="84"/>
      <c r="AR2" s="96"/>
    </row>
    <row r="3" s="1" customFormat="1" ht="52.5" customHeight="1" spans="1:40">
      <c r="A3" s="10" t="s">
        <v>12550</v>
      </c>
      <c r="B3" s="10" t="s">
        <v>12551</v>
      </c>
      <c r="C3" s="10" t="s">
        <v>12552</v>
      </c>
      <c r="D3" s="10" t="s">
        <v>12553</v>
      </c>
      <c r="E3" s="10" t="s">
        <v>12554</v>
      </c>
      <c r="F3" s="10" t="s">
        <v>12555</v>
      </c>
      <c r="G3" s="10">
        <v>117000</v>
      </c>
      <c r="H3" s="10">
        <v>117100</v>
      </c>
      <c r="I3" s="10" t="s">
        <v>12556</v>
      </c>
      <c r="J3" s="10">
        <v>117200</v>
      </c>
      <c r="K3" s="10" t="s">
        <v>12557</v>
      </c>
      <c r="L3" s="10" t="s">
        <v>12558</v>
      </c>
      <c r="M3" s="10" t="s">
        <v>12559</v>
      </c>
      <c r="N3" s="10" t="s">
        <v>12560</v>
      </c>
      <c r="O3" s="10" t="s">
        <v>12561</v>
      </c>
      <c r="P3" s="10" t="s">
        <v>12562</v>
      </c>
      <c r="Q3" s="10" t="s">
        <v>12563</v>
      </c>
      <c r="R3" s="10" t="s">
        <v>12564</v>
      </c>
      <c r="S3" s="10" t="s">
        <v>12565</v>
      </c>
      <c r="T3" s="10" t="s">
        <v>12566</v>
      </c>
      <c r="U3" s="10" t="s">
        <v>12567</v>
      </c>
      <c r="V3" s="10" t="s">
        <v>12568</v>
      </c>
      <c r="W3" s="10" t="s">
        <v>12569</v>
      </c>
      <c r="X3" s="10">
        <v>119100</v>
      </c>
      <c r="Y3" s="10">
        <v>119200</v>
      </c>
      <c r="Z3" s="10" t="s">
        <v>12570</v>
      </c>
      <c r="AA3" s="15"/>
      <c r="AB3" s="92" t="s">
        <v>12191</v>
      </c>
      <c r="AC3" s="94" t="s">
        <v>12519</v>
      </c>
      <c r="AD3" s="94" t="s">
        <v>12520</v>
      </c>
      <c r="AE3" s="94" t="s">
        <v>806</v>
      </c>
      <c r="AF3" s="94" t="s">
        <v>809</v>
      </c>
      <c r="AG3" s="94" t="s">
        <v>12571</v>
      </c>
      <c r="AH3" s="94" t="s">
        <v>12524</v>
      </c>
      <c r="AI3" s="94" t="s">
        <v>12526</v>
      </c>
      <c r="AJ3" s="94" t="s">
        <v>12168</v>
      </c>
      <c r="AK3" s="94" t="s">
        <v>12518</v>
      </c>
      <c r="AL3" s="94" t="s">
        <v>12194</v>
      </c>
      <c r="AM3" s="95" t="s">
        <v>12572</v>
      </c>
      <c r="AN3" s="94" t="s">
        <v>12266</v>
      </c>
    </row>
    <row r="4" s="3" customFormat="1" spans="18:43">
      <c r="R4"/>
      <c r="S4"/>
      <c r="T4"/>
      <c r="U4"/>
      <c r="V4"/>
      <c r="W4"/>
      <c r="X4"/>
      <c r="Y4"/>
      <c r="Z4"/>
      <c r="AA4"/>
      <c r="AB4" s="4">
        <f>+IF(T4&lt;3,IF(D4&gt;0,0,1),0)</f>
        <v>1</v>
      </c>
      <c r="AC4" s="4">
        <f>+IF(T4&lt;3,IF(G4&gt;D4,1,0),0)</f>
        <v>0</v>
      </c>
      <c r="AD4" s="4">
        <f>+IF(T4&lt;3,IF(H4&gt;D4,1,0),0)</f>
        <v>0</v>
      </c>
      <c r="AE4" s="4">
        <f>IF(T4&lt;3,IF(J4&gt;0,0,1),0)</f>
        <v>1</v>
      </c>
      <c r="AF4" s="4">
        <f>IF(K4&lt;=J4,0,1)</f>
        <v>0</v>
      </c>
      <c r="AG4" s="4">
        <f>+IF(T4&lt;3,IF(K4&gt;0,IF(L4&gt;0,0,1),0),0)</f>
        <v>0</v>
      </c>
      <c r="AH4" s="4">
        <f>+IF(T4&lt;3,IF(M4&gt;0,0,1),0)</f>
        <v>1</v>
      </c>
      <c r="AI4" s="4">
        <f>+IF(T4&lt;3,IF(Q4=0,IF(O4&gt;0,0,1),IF(O4&gt;0,1,0)),0)</f>
        <v>1</v>
      </c>
      <c r="AJ4" s="4">
        <f>+IF(T4&lt;3,IF(AND(S4&gt;0,S4&lt;5),0,1),0)</f>
        <v>1</v>
      </c>
      <c r="AK4" s="4">
        <f>+IF(T4&lt;3,IF(E4&gt;0,0,1),0)</f>
        <v>1</v>
      </c>
      <c r="AL4" s="4">
        <f>IF(T4&lt;3,IF(I4&gt;0,0,1),0)</f>
        <v>1</v>
      </c>
      <c r="AM4" s="6">
        <f>SUMIF(Fognat_tronchi!A:A,B4,Fognat_tronchi!H:H)</f>
        <v>0</v>
      </c>
      <c r="AN4" s="79">
        <f>+IF(T4&lt;3,TRUNC(AM4-D4),0)</f>
        <v>0</v>
      </c>
      <c r="AO4"/>
      <c r="AP4" s="80" t="s">
        <v>12573</v>
      </c>
      <c r="AQ4" s="80" t="str">
        <f>IF(SUM(AB:AB)=0,"OK","errore su lunghezza totale")</f>
        <v>errore su lunghezza totale</v>
      </c>
    </row>
    <row r="5" spans="1:43">
      <c r="A5" s="3"/>
      <c r="B5" s="3"/>
      <c r="C5" s="3"/>
      <c r="D5" s="3"/>
      <c r="E5" s="3"/>
      <c r="F5" s="3"/>
      <c r="G5" s="3"/>
      <c r="H5" s="3"/>
      <c r="I5" s="3"/>
      <c r="J5" s="3"/>
      <c r="K5" s="3"/>
      <c r="L5" s="3"/>
      <c r="M5" s="3"/>
      <c r="N5" s="3"/>
      <c r="O5" s="3"/>
      <c r="P5" s="3"/>
      <c r="Q5" s="3"/>
      <c r="AM5" s="6"/>
      <c r="AN5" s="79"/>
      <c r="AP5" s="80" t="s">
        <v>12574</v>
      </c>
      <c r="AQ5" s="80" t="str">
        <f>IF(SUM(AC:AC)=0,"OK","errore su lunghezza rete mista soggetta ad ispezione")</f>
        <v>OK</v>
      </c>
    </row>
    <row r="6" spans="1:43">
      <c r="A6" s="3"/>
      <c r="B6" s="3"/>
      <c r="C6" s="3"/>
      <c r="D6" s="3"/>
      <c r="E6" s="3"/>
      <c r="F6" s="3"/>
      <c r="G6" s="3"/>
      <c r="H6" s="3"/>
      <c r="I6" s="3"/>
      <c r="J6" s="3"/>
      <c r="K6" s="3"/>
      <c r="L6" s="3"/>
      <c r="M6" s="3"/>
      <c r="N6" s="3"/>
      <c r="O6" s="3"/>
      <c r="P6" s="3"/>
      <c r="Q6" s="3"/>
      <c r="AM6" s="6"/>
      <c r="AN6" s="79"/>
      <c r="AP6" s="80" t="s">
        <v>12575</v>
      </c>
      <c r="AQ6" s="80" t="str">
        <f>IF(SUM(AD:AD)=0,"OK","errore su lunghezza rete nera soggetta ad ispezione")</f>
        <v>OK</v>
      </c>
    </row>
    <row r="7" spans="1:43">
      <c r="A7" s="3"/>
      <c r="B7" s="3"/>
      <c r="C7" s="3"/>
      <c r="D7" s="3"/>
      <c r="E7" s="3"/>
      <c r="F7" s="3"/>
      <c r="G7" s="3"/>
      <c r="H7" s="3"/>
      <c r="I7" s="3"/>
      <c r="J7" s="3"/>
      <c r="K7" s="3"/>
      <c r="L7" s="3"/>
      <c r="M7" s="3"/>
      <c r="N7" s="3"/>
      <c r="O7" s="3"/>
      <c r="P7" s="3"/>
      <c r="Q7" s="3"/>
      <c r="AM7" s="6"/>
      <c r="AN7" s="79"/>
      <c r="AP7" s="80" t="s">
        <v>12576</v>
      </c>
      <c r="AQ7" s="80" t="str">
        <f>IF(SUM(AE:AE)=0,"OK","errore su utenze totali")</f>
        <v>errore su utenze totali</v>
      </c>
    </row>
    <row r="8" spans="1:43">
      <c r="A8" s="3"/>
      <c r="B8" s="3"/>
      <c r="C8" s="3"/>
      <c r="D8" s="3"/>
      <c r="E8" s="3"/>
      <c r="F8" s="3"/>
      <c r="G8" s="3"/>
      <c r="H8" s="3"/>
      <c r="I8" s="3"/>
      <c r="J8" s="3"/>
      <c r="K8" s="3"/>
      <c r="L8" s="3"/>
      <c r="M8" s="3"/>
      <c r="N8" s="3"/>
      <c r="O8" s="3"/>
      <c r="P8" s="3"/>
      <c r="Q8" s="3"/>
      <c r="AM8" s="6"/>
      <c r="AN8" s="79"/>
      <c r="AP8" s="80" t="s">
        <v>12577</v>
      </c>
      <c r="AQ8" s="80" t="str">
        <f>IF(SUM(AF:AF)=0,"OK","errore su numero di utenti industriali")</f>
        <v>OK</v>
      </c>
    </row>
    <row r="9" s="3" customFormat="1" spans="18:43">
      <c r="R9"/>
      <c r="S9"/>
      <c r="T9"/>
      <c r="U9"/>
      <c r="V9"/>
      <c r="W9"/>
      <c r="X9"/>
      <c r="Y9"/>
      <c r="Z9"/>
      <c r="AA9"/>
      <c r="AB9" s="93"/>
      <c r="AC9" s="93"/>
      <c r="AD9" s="93"/>
      <c r="AE9" s="93"/>
      <c r="AF9" s="93"/>
      <c r="AG9" s="93"/>
      <c r="AH9" s="93"/>
      <c r="AI9" s="93"/>
      <c r="AJ9" s="93"/>
      <c r="AK9" s="93"/>
      <c r="AL9" s="93"/>
      <c r="AM9" s="6"/>
      <c r="AN9" s="79"/>
      <c r="AO9"/>
      <c r="AP9" s="80" t="s">
        <v>12578</v>
      </c>
      <c r="AQ9" s="80" t="str">
        <f>IF(SUM(AG:AG)=0,"OK","errore su volume utenze produttive autorizzate")</f>
        <v>OK</v>
      </c>
    </row>
    <row r="10" s="3" customFormat="1" spans="18:43">
      <c r="R10"/>
      <c r="S10"/>
      <c r="T10"/>
      <c r="U10"/>
      <c r="V10"/>
      <c r="W10"/>
      <c r="X10"/>
      <c r="Y10"/>
      <c r="Z10"/>
      <c r="AA10"/>
      <c r="AB10" s="42"/>
      <c r="AC10" s="42"/>
      <c r="AD10" s="42"/>
      <c r="AE10" s="42"/>
      <c r="AF10" s="42"/>
      <c r="AG10" s="42"/>
      <c r="AH10" s="42"/>
      <c r="AI10" s="42"/>
      <c r="AJ10" s="42"/>
      <c r="AK10" s="42"/>
      <c r="AL10" s="42"/>
      <c r="AM10" s="6"/>
      <c r="AN10" s="79"/>
      <c r="AO10"/>
      <c r="AP10" s="80" t="s">
        <v>12579</v>
      </c>
      <c r="AQ10" s="80" t="str">
        <f>IF(SUM(AH:AH)=0,"OK","errore su numero scaricatori di piena")</f>
        <v>errore su numero scaricatori di piena</v>
      </c>
    </row>
    <row r="11" s="3" customFormat="1" spans="18:43">
      <c r="R11"/>
      <c r="S11"/>
      <c r="T11"/>
      <c r="U11"/>
      <c r="V11"/>
      <c r="W11"/>
      <c r="X11"/>
      <c r="Y11"/>
      <c r="Z11"/>
      <c r="AA11"/>
      <c r="AB11" s="42"/>
      <c r="AC11" s="42"/>
      <c r="AD11" s="42"/>
      <c r="AE11" s="42"/>
      <c r="AF11" s="42"/>
      <c r="AG11" s="42"/>
      <c r="AH11" s="42"/>
      <c r="AI11" s="42"/>
      <c r="AJ11" s="42"/>
      <c r="AK11" s="42"/>
      <c r="AL11" s="42"/>
      <c r="AM11" s="6"/>
      <c r="AN11" s="79"/>
      <c r="AO11"/>
      <c r="AP11" s="80" t="s">
        <v>12580</v>
      </c>
      <c r="AQ11" s="80" t="str">
        <f>IF(SUM(AI:AI)=0,"OK","errore su lunghezza conn. Depur.")</f>
        <v>errore su lunghezza conn. Depur.</v>
      </c>
    </row>
    <row r="12" s="3" customFormat="1" spans="18:43">
      <c r="R12"/>
      <c r="S12"/>
      <c r="T12"/>
      <c r="U12"/>
      <c r="V12"/>
      <c r="W12"/>
      <c r="X12"/>
      <c r="Y12"/>
      <c r="Z12"/>
      <c r="AA12"/>
      <c r="AB12" s="42"/>
      <c r="AC12" s="42"/>
      <c r="AD12" s="42"/>
      <c r="AE12" s="42"/>
      <c r="AF12" s="42"/>
      <c r="AG12" s="42"/>
      <c r="AH12" s="42"/>
      <c r="AI12" s="42"/>
      <c r="AJ12" s="42"/>
      <c r="AK12" s="42"/>
      <c r="AL12" s="42"/>
      <c r="AM12" s="6"/>
      <c r="AN12" s="79"/>
      <c r="AO12"/>
      <c r="AP12" s="80" t="s">
        <v>12581</v>
      </c>
      <c r="AQ12" s="80" t="str">
        <f>IF(SUM(AJ:AJ)=0,"OK","errore su Tipo telecontrollo")</f>
        <v>errore su Tipo telecontrollo</v>
      </c>
    </row>
    <row r="13" s="3" customFormat="1" spans="18:43">
      <c r="R13"/>
      <c r="S13"/>
      <c r="T13"/>
      <c r="U13"/>
      <c r="V13"/>
      <c r="W13"/>
      <c r="X13"/>
      <c r="Y13"/>
      <c r="Z13"/>
      <c r="AA13"/>
      <c r="AB13" s="42"/>
      <c r="AC13" s="42"/>
      <c r="AD13" s="42"/>
      <c r="AE13" s="42"/>
      <c r="AF13" s="42"/>
      <c r="AG13" s="42"/>
      <c r="AH13" s="42"/>
      <c r="AI13" s="42"/>
      <c r="AJ13" s="42"/>
      <c r="AK13" s="42"/>
      <c r="AL13" s="42"/>
      <c r="AM13" s="6"/>
      <c r="AN13" s="79"/>
      <c r="AO13"/>
      <c r="AP13" s="80" t="s">
        <v>12582</v>
      </c>
      <c r="AQ13" s="80" t="str">
        <f>IF(SUM(AK:AK)=0,"OK","errore su Lunghezza totale allacci")</f>
        <v>errore su Lunghezza totale allacci</v>
      </c>
    </row>
    <row r="14" s="3" customFormat="1" spans="18:43">
      <c r="R14"/>
      <c r="S14"/>
      <c r="T14"/>
      <c r="U14"/>
      <c r="V14"/>
      <c r="W14"/>
      <c r="X14"/>
      <c r="Y14"/>
      <c r="Z14"/>
      <c r="AA14"/>
      <c r="AB14" s="42"/>
      <c r="AC14" s="42"/>
      <c r="AD14" s="42"/>
      <c r="AE14" s="42"/>
      <c r="AF14" s="42"/>
      <c r="AG14" s="42"/>
      <c r="AH14" s="42"/>
      <c r="AI14" s="42"/>
      <c r="AJ14" s="42"/>
      <c r="AK14" s="42"/>
      <c r="AL14" s="42"/>
      <c r="AM14" s="6"/>
      <c r="AN14" s="79"/>
      <c r="AO14"/>
      <c r="AP14" s="80" t="s">
        <v>12583</v>
      </c>
      <c r="AQ14" s="80" t="str">
        <f>IF(SUM(AL:AL)=0,"OK","errore su volume fatturato")</f>
        <v>errore su volume fatturato</v>
      </c>
    </row>
    <row r="15" s="3" customFormat="1" spans="18:43">
      <c r="R15"/>
      <c r="S15"/>
      <c r="T15"/>
      <c r="U15"/>
      <c r="V15"/>
      <c r="W15"/>
      <c r="X15"/>
      <c r="Y15"/>
      <c r="Z15"/>
      <c r="AA15"/>
      <c r="AB15" s="42"/>
      <c r="AC15" s="42"/>
      <c r="AD15" s="42"/>
      <c r="AE15" s="42"/>
      <c r="AF15" s="42"/>
      <c r="AG15" s="42"/>
      <c r="AH15" s="42"/>
      <c r="AI15" s="42"/>
      <c r="AJ15" s="42"/>
      <c r="AK15" s="42"/>
      <c r="AL15" s="42"/>
      <c r="AM15" s="6"/>
      <c r="AN15" s="79"/>
      <c r="AO15"/>
      <c r="AP15" s="81" t="s">
        <v>12266</v>
      </c>
      <c r="AQ15" s="81" t="str">
        <f>+IF(SUM(AN:AN)=0,"OK","Errore: lunghezza aggregata non congruente con somma di lunghezze dei singoli tratti")</f>
        <v>OK</v>
      </c>
    </row>
  </sheetData>
  <mergeCells count="1">
    <mergeCell ref="AR1:AR2"/>
  </mergeCells>
  <pageMargins left="0.75" right="0.75" top="1" bottom="1" header="0.511811023622047" footer="0.511811023622047"/>
  <pageSetup paperSize="9" orientation="portrait" horizontalDpi="300" verticalDpi="300"/>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014"/>
  <sheetViews>
    <sheetView topLeftCell="O1" workbookViewId="0">
      <selection activeCell="Z4" sqref="Z4"/>
    </sheetView>
  </sheetViews>
  <sheetFormatPr defaultColWidth="8.85714285714286" defaultRowHeight="12.75"/>
  <cols>
    <col min="1" max="1" width="21.2857142857143" style="3" customWidth="1"/>
    <col min="2" max="2" width="23.1428571428571" style="3" customWidth="1"/>
    <col min="3" max="7" width="14.8571428571429" style="3" customWidth="1"/>
    <col min="8" max="8" width="25.1428571428571" style="3" customWidth="1"/>
    <col min="9" max="12" width="14.8571428571429" style="3" customWidth="1"/>
    <col min="13" max="13" width="9.14285714285714" customWidth="1"/>
    <col min="14" max="14" width="14.2857142857143" customWidth="1"/>
    <col min="15" max="15" width="9.14285714285714" customWidth="1"/>
    <col min="16" max="16" width="18.2857142857143" style="19" customWidth="1"/>
    <col min="17" max="18" width="17" style="61" customWidth="1"/>
    <col min="19" max="20" width="15" style="19" customWidth="1"/>
    <col min="21" max="21" width="15.1428571428571" style="19" customWidth="1"/>
    <col min="22" max="22" width="18.4285714285714" style="19" customWidth="1"/>
    <col min="23" max="23" width="15.1428571428571" style="19" customWidth="1"/>
    <col min="24" max="24" width="23" style="19" customWidth="1"/>
    <col min="25" max="26" width="15.1428571428571" style="19" customWidth="1"/>
    <col min="27" max="27" width="8.85714285714286" style="85"/>
    <col min="28" max="28" width="34.2857142857143" style="85" customWidth="1"/>
    <col min="29" max="29" width="20.1428571428571" style="85" customWidth="1"/>
    <col min="30" max="30" width="9.14285714285714" style="11" customWidth="1"/>
    <col min="31" max="31" width="21.4285714285714" style="11" customWidth="1"/>
    <col min="32" max="32" width="7" style="11" customWidth="1"/>
    <col min="33" max="34" width="8.85714285714286" style="11"/>
    <col min="35" max="35" width="29" style="86" customWidth="1"/>
    <col min="36" max="1024" width="8.85714285714286" style="11"/>
  </cols>
  <sheetData>
    <row r="1" s="3" customFormat="1" ht="60" spans="1:35">
      <c r="A1" s="8" t="s">
        <v>11706</v>
      </c>
      <c r="B1" s="8" t="s">
        <v>12274</v>
      </c>
      <c r="C1" s="8" t="s">
        <v>12275</v>
      </c>
      <c r="D1" s="8" t="s">
        <v>11524</v>
      </c>
      <c r="E1" s="8" t="s">
        <v>11999</v>
      </c>
      <c r="F1" s="8" t="s">
        <v>12276</v>
      </c>
      <c r="G1" s="8" t="s">
        <v>12584</v>
      </c>
      <c r="H1" s="8" t="s">
        <v>12278</v>
      </c>
      <c r="I1" s="8" t="s">
        <v>12279</v>
      </c>
      <c r="J1" s="8" t="s">
        <v>12280</v>
      </c>
      <c r="K1" s="8" t="s">
        <v>12281</v>
      </c>
      <c r="L1" s="8" t="s">
        <v>12282</v>
      </c>
      <c r="M1" s="26" t="s">
        <v>12585</v>
      </c>
      <c r="N1" s="26" t="s">
        <v>12586</v>
      </c>
      <c r="O1" s="43" t="s">
        <v>11559</v>
      </c>
      <c r="P1" s="13" t="s">
        <v>12283</v>
      </c>
      <c r="Q1" s="13" t="s">
        <v>11883</v>
      </c>
      <c r="R1" s="13"/>
      <c r="S1" s="65" t="s">
        <v>11802</v>
      </c>
      <c r="T1" s="65"/>
      <c r="U1" s="65" t="s">
        <v>11802</v>
      </c>
      <c r="V1" s="13" t="s">
        <v>12587</v>
      </c>
      <c r="W1" s="65"/>
      <c r="X1" s="66" t="s">
        <v>12284</v>
      </c>
      <c r="Y1" s="68" t="s">
        <v>12285</v>
      </c>
      <c r="Z1" s="65"/>
      <c r="AA1" s="87"/>
      <c r="AB1" s="87"/>
      <c r="AC1" s="85"/>
      <c r="AI1" s="91"/>
    </row>
    <row r="2" s="3" customFormat="1" ht="45" spans="1:29">
      <c r="A2" s="9" t="s">
        <v>11709</v>
      </c>
      <c r="B2" s="9" t="s">
        <v>12286</v>
      </c>
      <c r="C2" s="9" t="s">
        <v>12287</v>
      </c>
      <c r="D2" s="9" t="s">
        <v>11597</v>
      </c>
      <c r="E2" s="9" t="s">
        <v>12588</v>
      </c>
      <c r="F2" s="9" t="s">
        <v>12289</v>
      </c>
      <c r="G2" s="9" t="s">
        <v>12589</v>
      </c>
      <c r="H2" s="9" t="s">
        <v>12291</v>
      </c>
      <c r="I2" s="9" t="s">
        <v>12292</v>
      </c>
      <c r="J2" s="9" t="s">
        <v>12293</v>
      </c>
      <c r="K2" s="9" t="s">
        <v>12294</v>
      </c>
      <c r="L2" s="9" t="s">
        <v>12295</v>
      </c>
      <c r="M2" s="28" t="s">
        <v>126</v>
      </c>
      <c r="N2" s="28" t="s">
        <v>126</v>
      </c>
      <c r="O2" s="44"/>
      <c r="P2" s="17"/>
      <c r="Q2" s="17"/>
      <c r="R2" s="17"/>
      <c r="S2" s="19"/>
      <c r="T2" s="19"/>
      <c r="U2" s="19"/>
      <c r="V2" s="19"/>
      <c r="W2" s="19"/>
      <c r="X2" s="66"/>
      <c r="Y2" s="68"/>
      <c r="Z2" s="19"/>
      <c r="AA2" s="87"/>
      <c r="AB2" s="87"/>
      <c r="AC2" s="85"/>
    </row>
    <row r="3" s="3" customFormat="1" ht="45.75" customHeight="1" spans="1:29">
      <c r="A3" s="10" t="s">
        <v>12590</v>
      </c>
      <c r="B3" s="10" t="s">
        <v>12591</v>
      </c>
      <c r="C3" s="10" t="s">
        <v>12592</v>
      </c>
      <c r="D3" s="10" t="s">
        <v>12593</v>
      </c>
      <c r="E3" s="10" t="s">
        <v>12594</v>
      </c>
      <c r="F3" s="10" t="s">
        <v>12595</v>
      </c>
      <c r="G3" s="10" t="s">
        <v>12596</v>
      </c>
      <c r="H3" s="10" t="s">
        <v>12597</v>
      </c>
      <c r="I3" s="10" t="s">
        <v>12598</v>
      </c>
      <c r="J3" s="10" t="s">
        <v>12599</v>
      </c>
      <c r="K3" s="10" t="s">
        <v>12600</v>
      </c>
      <c r="L3" s="10" t="s">
        <v>12601</v>
      </c>
      <c r="M3" s="10" t="s">
        <v>12602</v>
      </c>
      <c r="N3" s="10" t="s">
        <v>12603</v>
      </c>
      <c r="O3" s="45"/>
      <c r="P3" s="46" t="s">
        <v>12308</v>
      </c>
      <c r="Q3" s="16" t="s">
        <v>11915</v>
      </c>
      <c r="R3" s="16" t="s">
        <v>12309</v>
      </c>
      <c r="S3" s="16" t="s">
        <v>11999</v>
      </c>
      <c r="T3" s="16" t="s">
        <v>12604</v>
      </c>
      <c r="U3" s="16" t="s">
        <v>12278</v>
      </c>
      <c r="V3" s="16" t="s">
        <v>12584</v>
      </c>
      <c r="W3" s="16" t="s">
        <v>12586</v>
      </c>
      <c r="X3" s="67" t="s">
        <v>12310</v>
      </c>
      <c r="Y3" s="69" t="s">
        <v>11699</v>
      </c>
      <c r="Z3" s="37" t="s">
        <v>12311</v>
      </c>
      <c r="AA3" s="87"/>
      <c r="AB3" s="87"/>
      <c r="AC3" s="85"/>
    </row>
    <row r="4" spans="8:29">
      <c r="H4" s="64"/>
      <c r="P4" s="19">
        <f>+IF(AND(C4&gt;0,C4&lt;55),0,1)</f>
        <v>1</v>
      </c>
      <c r="Q4" s="19">
        <f>+IF(AND(D4&gt;0,D4&lt;6),0,1)</f>
        <v>1</v>
      </c>
      <c r="R4" s="19">
        <f>IF(OR(F4&lt;2014,F4=9999),0,IF(D4&gt;=3,0,1))</f>
        <v>0</v>
      </c>
      <c r="S4" s="19">
        <f>+IF(E4&gt;0,0,1)</f>
        <v>1</v>
      </c>
      <c r="T4" s="19">
        <f>+IF(OR(M4=0,M4=1,M4="S",M4="N"),0,1)</f>
        <v>0</v>
      </c>
      <c r="U4" s="19">
        <f>+IF(H4&gt;0,0,1)</f>
        <v>1</v>
      </c>
      <c r="V4" s="19">
        <f>+IF(OR(G4=1,G4=2),0,1)</f>
        <v>1</v>
      </c>
      <c r="W4" s="19">
        <f>+IF(OR(N4=0,N4=1,N4="S",N4="N"),0,1)</f>
        <v>0</v>
      </c>
      <c r="X4" s="66">
        <f>IF(OR(F4=9999,F4&lt;2015),0,IF(OR(I4="X",J4="X",K4="X",L4="X"),1,0))</f>
        <v>0</v>
      </c>
      <c r="Y4" s="68">
        <f>IF(F4=9999,0,IF(F4&gt;=2015,IF(COUNTBLANK(A4:N4)=0,0,1),0))</f>
        <v>0</v>
      </c>
      <c r="Z4" s="38">
        <f>+IF(F4='[2]Input anno'!$A$1,COUNTBLANK(A4:N4),0)</f>
        <v>0</v>
      </c>
      <c r="AB4" s="88" t="s">
        <v>635</v>
      </c>
      <c r="AC4" s="89" t="str">
        <f>+IF(SUM(P:P)=0,"OK","errore su materiale")</f>
        <v>errore su materiale</v>
      </c>
    </row>
    <row r="5" spans="8:29">
      <c r="H5" s="64"/>
      <c r="Q5" s="19"/>
      <c r="R5" s="19"/>
      <c r="Z5" s="71"/>
      <c r="AB5" s="88" t="s">
        <v>11915</v>
      </c>
      <c r="AC5" s="89" t="str">
        <f>+IF(SUM(Q:Q)=0,"OK","errore su stato di conservazione")</f>
        <v>errore su stato di conservazione</v>
      </c>
    </row>
    <row r="6" spans="8:29">
      <c r="H6" s="64"/>
      <c r="Q6" s="19"/>
      <c r="R6" s="19"/>
      <c r="Z6" s="71"/>
      <c r="AB6" s="88" t="s">
        <v>12309</v>
      </c>
      <c r="AC6" s="89" t="str">
        <f>+IF(SUM(R:R)=0,"OK","errore su stato di conservazione  nuove opere")</f>
        <v>OK</v>
      </c>
    </row>
    <row r="7" spans="8:29">
      <c r="H7" s="64"/>
      <c r="I7" s="24"/>
      <c r="J7" s="24"/>
      <c r="Q7" s="19"/>
      <c r="R7" s="19"/>
      <c r="Z7" s="38"/>
      <c r="AB7" s="88" t="s">
        <v>401</v>
      </c>
      <c r="AC7" s="89" t="str">
        <f>+IF(SUM(S:S)=0,"OK","errore su diametro")</f>
        <v>errore su diametro</v>
      </c>
    </row>
    <row r="8" spans="8:29">
      <c r="H8" s="64"/>
      <c r="J8" s="24"/>
      <c r="Q8" s="19"/>
      <c r="R8" s="19"/>
      <c r="Z8" s="38"/>
      <c r="AB8" s="88" t="s">
        <v>12605</v>
      </c>
      <c r="AC8" s="89" t="str">
        <f>+IF(SUM(T:T)=0,"OK","errore su funziona gravità")</f>
        <v>OK</v>
      </c>
    </row>
    <row r="9" spans="8:29">
      <c r="H9" s="64"/>
      <c r="J9" s="24"/>
      <c r="Q9" s="19"/>
      <c r="R9" s="19"/>
      <c r="Z9" s="38"/>
      <c r="AB9" s="88" t="s">
        <v>12606</v>
      </c>
      <c r="AC9" s="89" t="str">
        <f>+IF(SUM(U:U)=0,"OK","errore su lunghezza tronco")</f>
        <v>errore su lunghezza tronco</v>
      </c>
    </row>
    <row r="10" spans="8:29">
      <c r="H10" s="64"/>
      <c r="J10" s="24"/>
      <c r="Q10" s="19"/>
      <c r="R10" s="19"/>
      <c r="Z10" s="38"/>
      <c r="AB10" s="88" t="s">
        <v>838</v>
      </c>
      <c r="AC10" s="89" t="str">
        <f>+IF(SUM(V:V)=0,"OK","errore su refluo trasportato")</f>
        <v>errore su refluo trasportato</v>
      </c>
    </row>
    <row r="11" spans="8:29">
      <c r="H11" s="64"/>
      <c r="J11" s="24"/>
      <c r="Q11" s="19"/>
      <c r="R11" s="19"/>
      <c r="Z11" s="38"/>
      <c r="AB11" s="88" t="s">
        <v>12607</v>
      </c>
      <c r="AC11" s="89" t="str">
        <f>+IF(SUM(W:W)=0,"OK","errore su presenza dep finale")</f>
        <v>OK</v>
      </c>
    </row>
    <row r="12" spans="8:29">
      <c r="H12" s="64"/>
      <c r="J12" s="24"/>
      <c r="Q12" s="19"/>
      <c r="R12" s="19"/>
      <c r="Z12" s="38"/>
      <c r="AB12" s="72" t="s">
        <v>12318</v>
      </c>
      <c r="AC12" s="68" t="str">
        <f>IF(SUM(X:X)=0,"OK","Indici di confidenza errati")</f>
        <v>OK</v>
      </c>
    </row>
    <row r="13" spans="8:29">
      <c r="H13" s="64"/>
      <c r="J13" s="24"/>
      <c r="Q13" s="19"/>
      <c r="R13" s="19"/>
      <c r="Z13" s="38"/>
      <c r="AB13" s="72" t="s">
        <v>11699</v>
      </c>
      <c r="AC13" s="72" t="str">
        <f>IF(SUM(Y:Y)=0,"OK","Errore: celle vuote in corrispondenza di opera costruita in anno &gt;=2015")</f>
        <v>OK</v>
      </c>
    </row>
    <row r="14" spans="8:29">
      <c r="H14" s="64"/>
      <c r="J14" s="24"/>
      <c r="Q14" s="19"/>
      <c r="R14" s="19"/>
      <c r="Z14" s="38"/>
      <c r="AB14" s="73" t="s">
        <v>12516</v>
      </c>
      <c r="AC14" s="90" t="str">
        <f>+IF(SUM(Z:Z)=0,"OK","errore, dati nuovi tronchi non completi")</f>
        <v>OK</v>
      </c>
    </row>
    <row r="15" spans="8:26">
      <c r="H15" s="64"/>
      <c r="J15" s="24"/>
      <c r="Q15" s="19"/>
      <c r="R15" s="19"/>
      <c r="Z15" s="38"/>
    </row>
    <row r="16" spans="8:26">
      <c r="H16" s="64"/>
      <c r="J16" s="24"/>
      <c r="Q16" s="19"/>
      <c r="R16" s="19"/>
      <c r="Z16" s="38"/>
    </row>
    <row r="17" spans="8:26">
      <c r="H17" s="64"/>
      <c r="J17" s="24"/>
      <c r="Q17" s="19"/>
      <c r="R17" s="19"/>
      <c r="Z17" s="38"/>
    </row>
    <row r="18" spans="8:26">
      <c r="H18" s="64"/>
      <c r="J18" s="24"/>
      <c r="Q18" s="19"/>
      <c r="R18" s="19"/>
      <c r="Z18" s="38"/>
    </row>
    <row r="19" spans="8:26">
      <c r="H19" s="64"/>
      <c r="J19" s="24"/>
      <c r="Q19" s="19"/>
      <c r="R19" s="19"/>
      <c r="Z19" s="38"/>
    </row>
    <row r="20" spans="8:26">
      <c r="H20" s="64"/>
      <c r="J20" s="24"/>
      <c r="Q20" s="19"/>
      <c r="R20" s="19"/>
      <c r="Z20" s="38"/>
    </row>
    <row r="21" spans="8:26">
      <c r="H21" s="64"/>
      <c r="J21" s="24"/>
      <c r="Q21" s="19"/>
      <c r="R21" s="19"/>
      <c r="Z21" s="38"/>
    </row>
    <row r="22" spans="8:26">
      <c r="H22" s="64"/>
      <c r="J22" s="24"/>
      <c r="Q22" s="19"/>
      <c r="R22" s="19"/>
      <c r="Z22" s="38"/>
    </row>
    <row r="23" spans="8:26">
      <c r="H23" s="64"/>
      <c r="J23" s="24"/>
      <c r="Q23" s="19"/>
      <c r="R23" s="19"/>
      <c r="Z23" s="38"/>
    </row>
    <row r="24" spans="8:26">
      <c r="H24" s="64"/>
      <c r="J24" s="24"/>
      <c r="Q24" s="19"/>
      <c r="R24" s="19"/>
      <c r="Z24" s="38"/>
    </row>
    <row r="25" spans="8:26">
      <c r="H25" s="64"/>
      <c r="J25" s="24"/>
      <c r="Q25" s="19"/>
      <c r="R25" s="19"/>
      <c r="Z25" s="38"/>
    </row>
    <row r="26" spans="8:26">
      <c r="H26" s="64"/>
      <c r="J26" s="24"/>
      <c r="Q26" s="19"/>
      <c r="R26" s="19"/>
      <c r="Z26" s="38"/>
    </row>
    <row r="27" spans="8:26">
      <c r="H27" s="64"/>
      <c r="J27" s="24"/>
      <c r="Q27" s="19"/>
      <c r="R27" s="19"/>
      <c r="Z27" s="38"/>
    </row>
    <row r="28" spans="8:26">
      <c r="H28" s="64"/>
      <c r="J28" s="24"/>
      <c r="Q28" s="19"/>
      <c r="R28" s="19"/>
      <c r="Z28" s="38"/>
    </row>
    <row r="29" spans="8:26">
      <c r="H29" s="64"/>
      <c r="J29" s="24"/>
      <c r="Q29" s="19"/>
      <c r="R29" s="19"/>
      <c r="Z29" s="38"/>
    </row>
    <row r="30" spans="8:26">
      <c r="H30" s="64"/>
      <c r="J30" s="24"/>
      <c r="Q30" s="19"/>
      <c r="R30" s="19"/>
      <c r="Z30" s="38"/>
    </row>
    <row r="31" spans="8:26">
      <c r="H31" s="64"/>
      <c r="J31" s="24"/>
      <c r="Q31" s="19"/>
      <c r="R31" s="19"/>
      <c r="Z31" s="38"/>
    </row>
    <row r="32" spans="8:26">
      <c r="H32" s="64"/>
      <c r="J32" s="24"/>
      <c r="Q32" s="19"/>
      <c r="R32" s="19"/>
      <c r="Z32" s="38"/>
    </row>
    <row r="33" spans="8:26">
      <c r="H33" s="64"/>
      <c r="J33" s="24"/>
      <c r="Q33" s="19"/>
      <c r="R33" s="19"/>
      <c r="Z33" s="38"/>
    </row>
    <row r="34" spans="8:26">
      <c r="H34" s="64"/>
      <c r="J34" s="24"/>
      <c r="Q34" s="19"/>
      <c r="R34" s="19"/>
      <c r="Z34" s="38"/>
    </row>
    <row r="35" spans="8:26">
      <c r="H35" s="64"/>
      <c r="J35" s="24"/>
      <c r="Q35" s="19"/>
      <c r="R35" s="19"/>
      <c r="Z35" s="38"/>
    </row>
    <row r="36" spans="8:26">
      <c r="H36" s="64"/>
      <c r="J36" s="24"/>
      <c r="Q36" s="19"/>
      <c r="R36" s="19"/>
      <c r="Z36" s="38"/>
    </row>
    <row r="37" spans="8:26">
      <c r="H37" s="64"/>
      <c r="J37" s="24"/>
      <c r="Q37" s="19"/>
      <c r="R37" s="19"/>
      <c r="Z37" s="38"/>
    </row>
    <row r="38" spans="8:26">
      <c r="H38" s="64"/>
      <c r="J38" s="24"/>
      <c r="Q38" s="19"/>
      <c r="R38" s="19"/>
      <c r="Z38" s="38"/>
    </row>
    <row r="39" spans="8:26">
      <c r="H39" s="64"/>
      <c r="J39" s="24"/>
      <c r="Q39" s="19"/>
      <c r="R39" s="19"/>
      <c r="Z39" s="38"/>
    </row>
    <row r="40" spans="8:26">
      <c r="H40" s="64"/>
      <c r="J40" s="24"/>
      <c r="Q40" s="19"/>
      <c r="R40" s="19"/>
      <c r="Z40" s="38"/>
    </row>
    <row r="41" spans="8:26">
      <c r="H41" s="64"/>
      <c r="J41" s="24"/>
      <c r="Q41" s="19"/>
      <c r="R41" s="19"/>
      <c r="Z41" s="38"/>
    </row>
    <row r="42" spans="8:26">
      <c r="H42" s="64"/>
      <c r="J42" s="24"/>
      <c r="Q42" s="19"/>
      <c r="R42" s="19"/>
      <c r="Z42" s="38"/>
    </row>
    <row r="43" spans="8:26">
      <c r="H43" s="64"/>
      <c r="J43" s="24"/>
      <c r="Q43" s="19"/>
      <c r="R43" s="19"/>
      <c r="Z43" s="38"/>
    </row>
    <row r="44" spans="8:26">
      <c r="H44" s="64"/>
      <c r="J44" s="24"/>
      <c r="Q44" s="19"/>
      <c r="R44" s="19"/>
      <c r="Z44" s="38"/>
    </row>
    <row r="45" spans="8:26">
      <c r="H45" s="64"/>
      <c r="J45" s="24"/>
      <c r="Q45" s="19"/>
      <c r="R45" s="19"/>
      <c r="Z45" s="38"/>
    </row>
    <row r="46" spans="8:26">
      <c r="H46" s="64"/>
      <c r="J46" s="24"/>
      <c r="Q46" s="19"/>
      <c r="R46" s="19"/>
      <c r="Z46" s="38"/>
    </row>
    <row r="47" spans="8:26">
      <c r="H47" s="64"/>
      <c r="J47" s="24"/>
      <c r="Q47" s="19"/>
      <c r="R47" s="19"/>
      <c r="Z47" s="38"/>
    </row>
    <row r="48" spans="8:26">
      <c r="H48" s="64"/>
      <c r="J48" s="24"/>
      <c r="Q48" s="19"/>
      <c r="R48" s="19"/>
      <c r="Z48" s="38"/>
    </row>
    <row r="49" spans="8:26">
      <c r="H49" s="64"/>
      <c r="J49" s="24"/>
      <c r="Q49" s="19"/>
      <c r="R49" s="19"/>
      <c r="Z49" s="38"/>
    </row>
    <row r="50" spans="8:26">
      <c r="H50" s="64"/>
      <c r="J50" s="24"/>
      <c r="Q50" s="19"/>
      <c r="R50" s="19"/>
      <c r="Z50" s="38"/>
    </row>
    <row r="51" spans="8:26">
      <c r="H51" s="64"/>
      <c r="J51" s="24"/>
      <c r="Q51" s="19"/>
      <c r="R51" s="19"/>
      <c r="Z51" s="38"/>
    </row>
    <row r="52" spans="8:26">
      <c r="H52" s="64"/>
      <c r="J52" s="24"/>
      <c r="Q52" s="19"/>
      <c r="R52" s="19"/>
      <c r="Z52" s="38"/>
    </row>
    <row r="53" spans="8:26">
      <c r="H53" s="64"/>
      <c r="J53" s="24"/>
      <c r="Q53" s="19"/>
      <c r="R53" s="19"/>
      <c r="Z53" s="38"/>
    </row>
    <row r="54" spans="8:26">
      <c r="H54" s="64"/>
      <c r="J54" s="24"/>
      <c r="Q54" s="19"/>
      <c r="R54" s="19"/>
      <c r="Z54" s="38"/>
    </row>
    <row r="55" spans="8:26">
      <c r="H55" s="64"/>
      <c r="J55" s="24"/>
      <c r="Q55" s="19"/>
      <c r="R55" s="19"/>
      <c r="Z55" s="38"/>
    </row>
    <row r="56" spans="8:26">
      <c r="H56" s="64"/>
      <c r="J56" s="24"/>
      <c r="Q56" s="19"/>
      <c r="R56" s="19"/>
      <c r="Z56" s="38"/>
    </row>
    <row r="57" spans="8:26">
      <c r="H57" s="64"/>
      <c r="J57" s="24"/>
      <c r="Q57" s="19"/>
      <c r="R57" s="19"/>
      <c r="Z57" s="38"/>
    </row>
    <row r="58" spans="8:26">
      <c r="H58" s="64"/>
      <c r="J58" s="24"/>
      <c r="Q58" s="19"/>
      <c r="R58" s="19"/>
      <c r="Z58" s="38"/>
    </row>
    <row r="59" spans="8:26">
      <c r="H59" s="64"/>
      <c r="J59" s="24"/>
      <c r="Q59" s="19"/>
      <c r="R59" s="19"/>
      <c r="Z59" s="38"/>
    </row>
    <row r="60" spans="8:26">
      <c r="H60" s="64"/>
      <c r="J60" s="24"/>
      <c r="Q60" s="19"/>
      <c r="R60" s="19"/>
      <c r="Z60" s="38"/>
    </row>
    <row r="61" spans="8:26">
      <c r="H61" s="64"/>
      <c r="J61" s="24"/>
      <c r="Q61" s="19"/>
      <c r="R61" s="19"/>
      <c r="Z61" s="38"/>
    </row>
    <row r="62" spans="8:26">
      <c r="H62" s="64"/>
      <c r="J62" s="24"/>
      <c r="Q62" s="19"/>
      <c r="R62" s="19"/>
      <c r="Z62" s="38"/>
    </row>
    <row r="63" spans="8:26">
      <c r="H63" s="64"/>
      <c r="J63" s="24"/>
      <c r="Q63" s="19"/>
      <c r="R63" s="19"/>
      <c r="Z63" s="38"/>
    </row>
    <row r="64" spans="8:26">
      <c r="H64" s="64"/>
      <c r="J64" s="24"/>
      <c r="Q64" s="19"/>
      <c r="R64" s="19"/>
      <c r="Z64" s="38"/>
    </row>
    <row r="65" spans="8:26">
      <c r="H65" s="64"/>
      <c r="J65" s="24"/>
      <c r="Q65" s="19"/>
      <c r="R65" s="19"/>
      <c r="Z65" s="38"/>
    </row>
    <row r="66" spans="8:26">
      <c r="H66" s="64"/>
      <c r="J66" s="24"/>
      <c r="Q66" s="19"/>
      <c r="R66" s="19"/>
      <c r="Z66" s="38"/>
    </row>
    <row r="67" spans="8:26">
      <c r="H67" s="64"/>
      <c r="J67" s="24"/>
      <c r="Q67" s="19"/>
      <c r="R67" s="19"/>
      <c r="Z67" s="38"/>
    </row>
    <row r="68" spans="8:26">
      <c r="H68" s="64"/>
      <c r="J68" s="24"/>
      <c r="Q68" s="19"/>
      <c r="R68" s="19"/>
      <c r="Z68" s="38"/>
    </row>
    <row r="69" spans="8:26">
      <c r="H69" s="64"/>
      <c r="J69" s="24"/>
      <c r="Q69" s="19"/>
      <c r="R69" s="19"/>
      <c r="Z69" s="38"/>
    </row>
    <row r="70" spans="8:26">
      <c r="H70" s="64"/>
      <c r="J70" s="24"/>
      <c r="Q70" s="19"/>
      <c r="R70" s="19"/>
      <c r="Z70" s="38"/>
    </row>
    <row r="71" spans="8:26">
      <c r="H71" s="64"/>
      <c r="J71" s="24"/>
      <c r="Q71" s="19"/>
      <c r="R71" s="19"/>
      <c r="Z71" s="38"/>
    </row>
    <row r="72" spans="8:26">
      <c r="H72" s="64"/>
      <c r="J72" s="24"/>
      <c r="Q72" s="19"/>
      <c r="R72" s="19"/>
      <c r="Z72" s="38"/>
    </row>
    <row r="73" spans="8:26">
      <c r="H73" s="64"/>
      <c r="J73" s="24"/>
      <c r="Q73" s="19"/>
      <c r="R73" s="19"/>
      <c r="Z73" s="38"/>
    </row>
    <row r="74" spans="8:26">
      <c r="H74" s="64"/>
      <c r="J74" s="24"/>
      <c r="Q74" s="19"/>
      <c r="R74" s="19"/>
      <c r="Z74" s="38"/>
    </row>
    <row r="75" spans="8:26">
      <c r="H75" s="64"/>
      <c r="J75" s="24"/>
      <c r="Q75" s="19"/>
      <c r="R75" s="19"/>
      <c r="Z75" s="38"/>
    </row>
    <row r="76" spans="8:26">
      <c r="H76" s="64"/>
      <c r="J76" s="24"/>
      <c r="Q76" s="19"/>
      <c r="R76" s="19"/>
      <c r="Z76" s="38"/>
    </row>
    <row r="77" spans="8:26">
      <c r="H77" s="64"/>
      <c r="J77" s="24"/>
      <c r="Q77" s="19"/>
      <c r="R77" s="19"/>
      <c r="Z77" s="38"/>
    </row>
    <row r="78" spans="8:26">
      <c r="H78" s="64"/>
      <c r="J78" s="24"/>
      <c r="Q78" s="19"/>
      <c r="R78" s="19"/>
      <c r="Z78" s="38"/>
    </row>
    <row r="79" spans="8:26">
      <c r="H79" s="64"/>
      <c r="J79" s="24"/>
      <c r="Q79" s="19"/>
      <c r="R79" s="19"/>
      <c r="Z79" s="38"/>
    </row>
    <row r="80" spans="8:26">
      <c r="H80" s="64"/>
      <c r="J80" s="24"/>
      <c r="Q80" s="19"/>
      <c r="R80" s="19"/>
      <c r="Z80" s="38"/>
    </row>
    <row r="81" spans="8:26">
      <c r="H81" s="64"/>
      <c r="J81" s="24"/>
      <c r="Q81" s="19"/>
      <c r="R81" s="19"/>
      <c r="Z81" s="38"/>
    </row>
    <row r="82" spans="8:26">
      <c r="H82" s="64"/>
      <c r="J82" s="24"/>
      <c r="Q82" s="19"/>
      <c r="R82" s="19"/>
      <c r="Z82" s="38"/>
    </row>
    <row r="83" spans="8:26">
      <c r="H83" s="64"/>
      <c r="J83" s="24"/>
      <c r="Q83" s="19"/>
      <c r="R83" s="19"/>
      <c r="Z83" s="38"/>
    </row>
    <row r="84" spans="8:26">
      <c r="H84" s="64"/>
      <c r="J84" s="24"/>
      <c r="Q84" s="19"/>
      <c r="R84" s="19"/>
      <c r="Z84" s="38"/>
    </row>
    <row r="85" spans="8:26">
      <c r="H85" s="64"/>
      <c r="J85" s="24"/>
      <c r="Q85" s="19"/>
      <c r="R85" s="19"/>
      <c r="Z85" s="38"/>
    </row>
    <row r="86" spans="8:26">
      <c r="H86" s="64"/>
      <c r="J86" s="24"/>
      <c r="Q86" s="19"/>
      <c r="R86" s="19"/>
      <c r="Z86" s="38"/>
    </row>
    <row r="87" spans="8:26">
      <c r="H87" s="64"/>
      <c r="J87" s="24"/>
      <c r="Q87" s="19"/>
      <c r="R87" s="19"/>
      <c r="Z87" s="38"/>
    </row>
    <row r="88" spans="8:26">
      <c r="H88" s="64"/>
      <c r="J88" s="24"/>
      <c r="Q88" s="19"/>
      <c r="R88" s="19"/>
      <c r="Z88" s="38"/>
    </row>
    <row r="89" spans="8:26">
      <c r="H89" s="64"/>
      <c r="J89" s="24"/>
      <c r="Q89" s="19"/>
      <c r="R89" s="19"/>
      <c r="Z89" s="38"/>
    </row>
    <row r="90" spans="8:26">
      <c r="H90" s="64"/>
      <c r="J90" s="24"/>
      <c r="Q90" s="19"/>
      <c r="R90" s="19"/>
      <c r="Z90" s="38"/>
    </row>
    <row r="91" spans="8:26">
      <c r="H91" s="64"/>
      <c r="J91" s="24"/>
      <c r="Q91" s="19"/>
      <c r="R91" s="19"/>
      <c r="Z91" s="38"/>
    </row>
    <row r="92" spans="8:26">
      <c r="H92" s="64"/>
      <c r="J92" s="24"/>
      <c r="Q92" s="19"/>
      <c r="R92" s="19"/>
      <c r="Z92" s="38"/>
    </row>
    <row r="93" spans="8:26">
      <c r="H93" s="64"/>
      <c r="J93" s="24"/>
      <c r="Q93" s="19"/>
      <c r="R93" s="19"/>
      <c r="Z93" s="38"/>
    </row>
    <row r="94" spans="8:26">
      <c r="H94" s="64"/>
      <c r="J94" s="24"/>
      <c r="Q94" s="19"/>
      <c r="R94" s="19"/>
      <c r="Z94" s="38"/>
    </row>
    <row r="95" spans="8:26">
      <c r="H95" s="64"/>
      <c r="J95" s="24"/>
      <c r="Q95" s="19"/>
      <c r="R95" s="19"/>
      <c r="Z95" s="38"/>
    </row>
    <row r="96" spans="8:26">
      <c r="H96" s="64"/>
      <c r="J96" s="24"/>
      <c r="Q96" s="19"/>
      <c r="R96" s="19"/>
      <c r="Z96" s="38"/>
    </row>
    <row r="97" spans="8:26">
      <c r="H97" s="64"/>
      <c r="J97" s="24"/>
      <c r="Q97" s="19"/>
      <c r="R97" s="19"/>
      <c r="Z97" s="38"/>
    </row>
    <row r="98" spans="8:26">
      <c r="H98" s="64"/>
      <c r="J98" s="24"/>
      <c r="Q98" s="19"/>
      <c r="R98" s="19"/>
      <c r="Z98" s="38"/>
    </row>
    <row r="99" spans="8:26">
      <c r="H99" s="64"/>
      <c r="J99" s="24"/>
      <c r="Q99" s="19"/>
      <c r="R99" s="19"/>
      <c r="Z99" s="38"/>
    </row>
    <row r="100" spans="8:26">
      <c r="H100" s="64"/>
      <c r="J100" s="24"/>
      <c r="Q100" s="19"/>
      <c r="R100" s="19"/>
      <c r="Z100" s="38"/>
    </row>
    <row r="101" spans="8:26">
      <c r="H101" s="64"/>
      <c r="J101" s="24"/>
      <c r="Q101" s="19"/>
      <c r="R101" s="19"/>
      <c r="Z101" s="38"/>
    </row>
    <row r="102" spans="8:26">
      <c r="H102" s="64"/>
      <c r="J102" s="24"/>
      <c r="Q102" s="19"/>
      <c r="R102" s="19"/>
      <c r="Z102" s="38"/>
    </row>
    <row r="103" spans="8:26">
      <c r="H103" s="64"/>
      <c r="J103" s="24"/>
      <c r="Q103" s="19"/>
      <c r="R103" s="19"/>
      <c r="Z103" s="38"/>
    </row>
    <row r="104" spans="8:26">
      <c r="H104" s="64"/>
      <c r="J104" s="24"/>
      <c r="Q104" s="19"/>
      <c r="R104" s="19"/>
      <c r="Z104" s="38"/>
    </row>
    <row r="105" spans="8:26">
      <c r="H105" s="64"/>
      <c r="J105" s="24"/>
      <c r="Q105" s="19"/>
      <c r="R105" s="19"/>
      <c r="Z105" s="38"/>
    </row>
    <row r="106" spans="8:26">
      <c r="H106" s="64"/>
      <c r="J106" s="24"/>
      <c r="Q106" s="19"/>
      <c r="R106" s="19"/>
      <c r="Z106" s="38"/>
    </row>
    <row r="107" spans="8:26">
      <c r="H107" s="64"/>
      <c r="J107" s="24"/>
      <c r="Q107" s="19"/>
      <c r="R107" s="19"/>
      <c r="Z107" s="38"/>
    </row>
    <row r="108" spans="8:26">
      <c r="H108" s="64"/>
      <c r="J108" s="24"/>
      <c r="Q108" s="19"/>
      <c r="R108" s="19"/>
      <c r="Z108" s="38"/>
    </row>
    <row r="109" spans="8:26">
      <c r="H109" s="64"/>
      <c r="J109" s="24"/>
      <c r="Q109" s="19"/>
      <c r="R109" s="19"/>
      <c r="Z109" s="38"/>
    </row>
    <row r="110" spans="8:26">
      <c r="H110" s="64"/>
      <c r="J110" s="24"/>
      <c r="Q110" s="19"/>
      <c r="R110" s="19"/>
      <c r="Z110" s="38"/>
    </row>
    <row r="111" spans="8:26">
      <c r="H111" s="64"/>
      <c r="J111" s="24"/>
      <c r="Q111" s="19"/>
      <c r="R111" s="19"/>
      <c r="Z111" s="38"/>
    </row>
    <row r="112" spans="8:26">
      <c r="H112" s="64"/>
      <c r="J112" s="24"/>
      <c r="Q112" s="19"/>
      <c r="R112" s="19"/>
      <c r="Z112" s="38"/>
    </row>
    <row r="113" spans="8:26">
      <c r="H113" s="64"/>
      <c r="J113" s="24"/>
      <c r="Q113" s="19"/>
      <c r="R113" s="19"/>
      <c r="Z113" s="38"/>
    </row>
    <row r="114" spans="8:26">
      <c r="H114" s="64"/>
      <c r="J114" s="24"/>
      <c r="Q114" s="19"/>
      <c r="R114" s="19"/>
      <c r="Z114" s="38"/>
    </row>
    <row r="115" spans="8:26">
      <c r="H115" s="64"/>
      <c r="J115" s="24"/>
      <c r="Q115" s="19"/>
      <c r="R115" s="19"/>
      <c r="Z115" s="38"/>
    </row>
    <row r="116" spans="8:26">
      <c r="H116" s="64"/>
      <c r="J116" s="24"/>
      <c r="Q116" s="19"/>
      <c r="R116" s="19"/>
      <c r="Z116" s="38"/>
    </row>
    <row r="117" spans="8:26">
      <c r="H117" s="64"/>
      <c r="J117" s="24"/>
      <c r="Q117" s="19"/>
      <c r="R117" s="19"/>
      <c r="Z117" s="38"/>
    </row>
    <row r="118" spans="8:26">
      <c r="H118" s="64"/>
      <c r="J118" s="24"/>
      <c r="Q118" s="19"/>
      <c r="R118" s="19"/>
      <c r="Z118" s="38"/>
    </row>
    <row r="119" spans="8:26">
      <c r="H119" s="64"/>
      <c r="J119" s="24"/>
      <c r="Q119" s="19"/>
      <c r="R119" s="19"/>
      <c r="Z119" s="38"/>
    </row>
    <row r="120" spans="8:26">
      <c r="H120" s="64"/>
      <c r="J120" s="24"/>
      <c r="Q120" s="19"/>
      <c r="R120" s="19"/>
      <c r="Z120" s="38"/>
    </row>
    <row r="121" spans="8:26">
      <c r="H121" s="64"/>
      <c r="J121" s="24"/>
      <c r="Q121" s="19"/>
      <c r="R121" s="19"/>
      <c r="Z121" s="38"/>
    </row>
    <row r="122" spans="8:26">
      <c r="H122" s="64"/>
      <c r="J122" s="24"/>
      <c r="Q122" s="19"/>
      <c r="R122" s="19"/>
      <c r="Z122" s="38"/>
    </row>
    <row r="123" spans="8:26">
      <c r="H123" s="64"/>
      <c r="J123" s="24"/>
      <c r="Q123" s="19"/>
      <c r="R123" s="19"/>
      <c r="Z123" s="38"/>
    </row>
    <row r="124" spans="8:26">
      <c r="H124" s="64"/>
      <c r="J124" s="24"/>
      <c r="Q124" s="19"/>
      <c r="R124" s="19"/>
      <c r="Z124" s="38"/>
    </row>
    <row r="125" spans="8:26">
      <c r="H125" s="64"/>
      <c r="J125" s="24"/>
      <c r="Q125" s="19"/>
      <c r="R125" s="19"/>
      <c r="Z125" s="38"/>
    </row>
    <row r="126" spans="8:26">
      <c r="H126" s="64"/>
      <c r="J126" s="24"/>
      <c r="Q126" s="19"/>
      <c r="R126" s="19"/>
      <c r="Z126" s="38"/>
    </row>
    <row r="127" spans="8:26">
      <c r="H127" s="64"/>
      <c r="J127" s="24"/>
      <c r="Q127" s="19"/>
      <c r="R127" s="19"/>
      <c r="Z127" s="38"/>
    </row>
    <row r="128" spans="8:26">
      <c r="H128" s="64"/>
      <c r="J128" s="24"/>
      <c r="Q128" s="19"/>
      <c r="R128" s="19"/>
      <c r="Z128" s="38"/>
    </row>
    <row r="129" spans="8:26">
      <c r="H129" s="64"/>
      <c r="J129" s="24"/>
      <c r="Q129" s="19"/>
      <c r="R129" s="19"/>
      <c r="Z129" s="38"/>
    </row>
    <row r="130" spans="8:26">
      <c r="H130" s="64"/>
      <c r="J130" s="24"/>
      <c r="Q130" s="19"/>
      <c r="R130" s="19"/>
      <c r="Z130" s="38"/>
    </row>
    <row r="131" spans="8:26">
      <c r="H131" s="64"/>
      <c r="J131" s="24"/>
      <c r="Q131" s="19"/>
      <c r="R131" s="19"/>
      <c r="Z131" s="38"/>
    </row>
    <row r="132" spans="8:26">
      <c r="H132" s="64"/>
      <c r="J132" s="24"/>
      <c r="Q132" s="19"/>
      <c r="R132" s="19"/>
      <c r="Z132" s="38"/>
    </row>
    <row r="133" spans="8:26">
      <c r="H133" s="64"/>
      <c r="J133" s="24"/>
      <c r="Q133" s="19"/>
      <c r="R133" s="19"/>
      <c r="Z133" s="38"/>
    </row>
    <row r="134" spans="8:26">
      <c r="H134" s="64"/>
      <c r="J134" s="24"/>
      <c r="Q134" s="19"/>
      <c r="R134" s="19"/>
      <c r="Z134" s="38"/>
    </row>
    <row r="135" spans="8:26">
      <c r="H135" s="64"/>
      <c r="J135" s="24"/>
      <c r="Q135" s="19"/>
      <c r="R135" s="19"/>
      <c r="Z135" s="38"/>
    </row>
    <row r="136" spans="8:26">
      <c r="H136" s="64"/>
      <c r="J136" s="24"/>
      <c r="Q136" s="19"/>
      <c r="R136" s="19"/>
      <c r="Z136" s="38"/>
    </row>
    <row r="137" spans="8:26">
      <c r="H137" s="64"/>
      <c r="J137" s="24"/>
      <c r="Q137" s="19"/>
      <c r="R137" s="19"/>
      <c r="Z137" s="38"/>
    </row>
    <row r="138" spans="8:26">
      <c r="H138" s="64"/>
      <c r="J138" s="24"/>
      <c r="Q138" s="19"/>
      <c r="R138" s="19"/>
      <c r="Z138" s="38"/>
    </row>
    <row r="139" spans="8:26">
      <c r="H139" s="64"/>
      <c r="J139" s="24"/>
      <c r="Q139" s="19"/>
      <c r="R139" s="19"/>
      <c r="Z139" s="38"/>
    </row>
    <row r="140" spans="8:26">
      <c r="H140" s="64"/>
      <c r="J140" s="24"/>
      <c r="Q140" s="19"/>
      <c r="R140" s="19"/>
      <c r="Z140" s="38"/>
    </row>
    <row r="141" spans="8:26">
      <c r="H141" s="64"/>
      <c r="J141" s="24"/>
      <c r="Q141" s="19"/>
      <c r="R141" s="19"/>
      <c r="Z141" s="38"/>
    </row>
    <row r="142" spans="8:26">
      <c r="H142" s="64"/>
      <c r="J142" s="24"/>
      <c r="Q142" s="19"/>
      <c r="R142" s="19"/>
      <c r="Z142" s="38"/>
    </row>
    <row r="143" spans="8:26">
      <c r="H143" s="64"/>
      <c r="J143" s="24"/>
      <c r="Q143" s="19"/>
      <c r="R143" s="19"/>
      <c r="Z143" s="38"/>
    </row>
    <row r="144" spans="8:26">
      <c r="H144" s="64"/>
      <c r="J144" s="24"/>
      <c r="Q144" s="19"/>
      <c r="R144" s="19"/>
      <c r="Z144" s="38"/>
    </row>
    <row r="145" spans="8:26">
      <c r="H145" s="64"/>
      <c r="J145" s="24"/>
      <c r="Q145" s="19"/>
      <c r="R145" s="19"/>
      <c r="Z145" s="38"/>
    </row>
    <row r="146" spans="8:26">
      <c r="H146" s="64"/>
      <c r="J146" s="24"/>
      <c r="Q146" s="19"/>
      <c r="R146" s="19"/>
      <c r="Z146" s="38"/>
    </row>
    <row r="147" spans="8:26">
      <c r="H147" s="64"/>
      <c r="J147" s="24"/>
      <c r="Q147" s="19"/>
      <c r="R147" s="19"/>
      <c r="Z147" s="38"/>
    </row>
    <row r="148" spans="8:26">
      <c r="H148" s="64"/>
      <c r="J148" s="24"/>
      <c r="Q148" s="19"/>
      <c r="R148" s="19"/>
      <c r="Z148" s="38"/>
    </row>
    <row r="149" spans="8:26">
      <c r="H149" s="64"/>
      <c r="J149" s="24"/>
      <c r="Q149" s="19"/>
      <c r="R149" s="19"/>
      <c r="Z149" s="38"/>
    </row>
    <row r="150" spans="8:26">
      <c r="H150" s="64"/>
      <c r="J150" s="24"/>
      <c r="Q150" s="19"/>
      <c r="R150" s="19"/>
      <c r="Z150" s="38"/>
    </row>
    <row r="151" spans="8:26">
      <c r="H151" s="64"/>
      <c r="J151" s="24"/>
      <c r="Q151" s="19"/>
      <c r="R151" s="19"/>
      <c r="Z151" s="38"/>
    </row>
    <row r="152" spans="8:26">
      <c r="H152" s="64"/>
      <c r="J152" s="24"/>
      <c r="Q152" s="19"/>
      <c r="R152" s="19"/>
      <c r="Z152" s="38"/>
    </row>
    <row r="153" spans="8:26">
      <c r="H153" s="64"/>
      <c r="J153" s="24"/>
      <c r="Q153" s="19"/>
      <c r="R153" s="19"/>
      <c r="Z153" s="38"/>
    </row>
    <row r="154" spans="8:26">
      <c r="H154" s="64"/>
      <c r="J154" s="24"/>
      <c r="Q154" s="19"/>
      <c r="R154" s="19"/>
      <c r="Z154" s="38"/>
    </row>
    <row r="155" spans="8:26">
      <c r="H155" s="64"/>
      <c r="J155" s="24"/>
      <c r="Q155" s="19"/>
      <c r="R155" s="19"/>
      <c r="Z155" s="38"/>
    </row>
    <row r="156" spans="8:26">
      <c r="H156" s="64"/>
      <c r="J156" s="24"/>
      <c r="Q156" s="19"/>
      <c r="R156" s="19"/>
      <c r="Z156" s="38"/>
    </row>
    <row r="157" spans="8:26">
      <c r="H157" s="64"/>
      <c r="J157" s="24"/>
      <c r="Q157" s="19"/>
      <c r="R157" s="19"/>
      <c r="Z157" s="38"/>
    </row>
    <row r="158" spans="8:26">
      <c r="H158" s="64"/>
      <c r="J158" s="24"/>
      <c r="Q158" s="19"/>
      <c r="R158" s="19"/>
      <c r="Z158" s="38"/>
    </row>
    <row r="159" spans="8:26">
      <c r="H159" s="64"/>
      <c r="J159" s="24"/>
      <c r="Q159" s="19"/>
      <c r="R159" s="19"/>
      <c r="Z159" s="38"/>
    </row>
    <row r="160" spans="8:26">
      <c r="H160" s="64"/>
      <c r="J160" s="24"/>
      <c r="Q160" s="19"/>
      <c r="R160" s="19"/>
      <c r="Z160" s="38"/>
    </row>
    <row r="161" spans="8:26">
      <c r="H161" s="64"/>
      <c r="J161" s="24"/>
      <c r="Q161" s="19"/>
      <c r="R161" s="19"/>
      <c r="Z161" s="38"/>
    </row>
    <row r="162" spans="8:26">
      <c r="H162" s="64"/>
      <c r="J162" s="24"/>
      <c r="Q162" s="19"/>
      <c r="R162" s="19"/>
      <c r="Z162" s="38"/>
    </row>
    <row r="163" spans="8:26">
      <c r="H163" s="64"/>
      <c r="J163" s="24"/>
      <c r="Q163" s="19"/>
      <c r="R163" s="19"/>
      <c r="Z163" s="38"/>
    </row>
    <row r="164" spans="8:26">
      <c r="H164" s="64"/>
      <c r="J164" s="24"/>
      <c r="Q164" s="19"/>
      <c r="R164" s="19"/>
      <c r="Z164" s="38"/>
    </row>
    <row r="165" spans="8:26">
      <c r="H165" s="64"/>
      <c r="J165" s="24"/>
      <c r="Q165" s="19"/>
      <c r="R165" s="19"/>
      <c r="Z165" s="38"/>
    </row>
    <row r="166" spans="8:26">
      <c r="H166" s="64"/>
      <c r="J166" s="24"/>
      <c r="Q166" s="19"/>
      <c r="R166" s="19"/>
      <c r="Z166" s="38"/>
    </row>
    <row r="167" spans="8:26">
      <c r="H167" s="64"/>
      <c r="J167" s="24"/>
      <c r="Q167" s="19"/>
      <c r="R167" s="19"/>
      <c r="Z167" s="38"/>
    </row>
    <row r="168" spans="8:26">
      <c r="H168" s="64"/>
      <c r="J168" s="24"/>
      <c r="Q168" s="19"/>
      <c r="R168" s="19"/>
      <c r="Z168" s="38"/>
    </row>
    <row r="169" spans="8:26">
      <c r="H169" s="64"/>
      <c r="J169" s="24"/>
      <c r="Q169" s="19"/>
      <c r="R169" s="19"/>
      <c r="Z169" s="38"/>
    </row>
    <row r="170" spans="8:26">
      <c r="H170" s="64"/>
      <c r="J170" s="24"/>
      <c r="Q170" s="19"/>
      <c r="R170" s="19"/>
      <c r="Z170" s="38"/>
    </row>
    <row r="171" spans="8:26">
      <c r="H171" s="64"/>
      <c r="J171" s="24"/>
      <c r="Q171" s="19"/>
      <c r="R171" s="19"/>
      <c r="Z171" s="38"/>
    </row>
    <row r="172" spans="8:26">
      <c r="H172" s="64"/>
      <c r="J172" s="24"/>
      <c r="Q172" s="19"/>
      <c r="R172" s="19"/>
      <c r="Z172" s="38"/>
    </row>
    <row r="173" spans="8:26">
      <c r="H173" s="64"/>
      <c r="J173" s="24"/>
      <c r="Q173" s="19"/>
      <c r="R173" s="19"/>
      <c r="Z173" s="38"/>
    </row>
    <row r="174" spans="8:26">
      <c r="H174" s="64"/>
      <c r="J174" s="24"/>
      <c r="Q174" s="19"/>
      <c r="R174" s="19"/>
      <c r="Z174" s="38"/>
    </row>
    <row r="175" spans="8:26">
      <c r="H175" s="64"/>
      <c r="J175" s="24"/>
      <c r="Q175" s="19"/>
      <c r="R175" s="19"/>
      <c r="Z175" s="38"/>
    </row>
    <row r="176" spans="8:26">
      <c r="H176" s="64"/>
      <c r="J176" s="24"/>
      <c r="Q176" s="19"/>
      <c r="R176" s="19"/>
      <c r="Z176" s="38"/>
    </row>
    <row r="177" spans="8:26">
      <c r="H177" s="64"/>
      <c r="J177" s="24"/>
      <c r="Q177" s="19"/>
      <c r="R177" s="19"/>
      <c r="Z177" s="38"/>
    </row>
    <row r="178" spans="8:26">
      <c r="H178" s="64"/>
      <c r="J178" s="24"/>
      <c r="Q178" s="19"/>
      <c r="R178" s="19"/>
      <c r="Z178" s="38"/>
    </row>
    <row r="179" spans="8:26">
      <c r="H179" s="64"/>
      <c r="J179" s="24"/>
      <c r="Q179" s="19"/>
      <c r="R179" s="19"/>
      <c r="Z179" s="38"/>
    </row>
    <row r="180" spans="8:26">
      <c r="H180" s="64"/>
      <c r="J180" s="24"/>
      <c r="Q180" s="19"/>
      <c r="R180" s="19"/>
      <c r="Z180" s="38"/>
    </row>
    <row r="181" spans="8:26">
      <c r="H181" s="64"/>
      <c r="J181" s="24"/>
      <c r="Q181" s="19"/>
      <c r="R181" s="19"/>
      <c r="Z181" s="38"/>
    </row>
    <row r="182" spans="8:26">
      <c r="H182" s="64"/>
      <c r="J182" s="24"/>
      <c r="Q182" s="19"/>
      <c r="R182" s="19"/>
      <c r="Z182" s="38"/>
    </row>
    <row r="183" spans="8:26">
      <c r="H183" s="64"/>
      <c r="J183" s="24"/>
      <c r="Q183" s="19"/>
      <c r="R183" s="19"/>
      <c r="Z183" s="38"/>
    </row>
    <row r="184" spans="8:26">
      <c r="H184" s="64"/>
      <c r="J184" s="24"/>
      <c r="Q184" s="19"/>
      <c r="R184" s="19"/>
      <c r="Z184" s="38"/>
    </row>
    <row r="185" spans="8:26">
      <c r="H185" s="64"/>
      <c r="J185" s="24"/>
      <c r="Q185" s="19"/>
      <c r="R185" s="19"/>
      <c r="Z185" s="38"/>
    </row>
    <row r="186" spans="8:26">
      <c r="H186" s="64"/>
      <c r="J186" s="24"/>
      <c r="Q186" s="19"/>
      <c r="R186" s="19"/>
      <c r="Z186" s="38"/>
    </row>
    <row r="187" spans="8:26">
      <c r="H187" s="64"/>
      <c r="J187" s="24"/>
      <c r="Q187" s="19"/>
      <c r="R187" s="19"/>
      <c r="Z187" s="38"/>
    </row>
    <row r="188" spans="8:26">
      <c r="H188" s="64"/>
      <c r="J188" s="24"/>
      <c r="Q188" s="19"/>
      <c r="R188" s="19"/>
      <c r="Z188" s="38"/>
    </row>
    <row r="189" spans="8:26">
      <c r="H189" s="64"/>
      <c r="J189" s="24"/>
      <c r="Q189" s="19"/>
      <c r="R189" s="19"/>
      <c r="Z189" s="38"/>
    </row>
    <row r="190" spans="8:26">
      <c r="H190" s="64"/>
      <c r="J190" s="24"/>
      <c r="Q190" s="19"/>
      <c r="R190" s="19"/>
      <c r="Z190" s="38"/>
    </row>
    <row r="191" spans="8:26">
      <c r="H191" s="64"/>
      <c r="J191" s="24"/>
      <c r="Q191" s="19"/>
      <c r="R191" s="19"/>
      <c r="Z191" s="38"/>
    </row>
    <row r="192" spans="8:26">
      <c r="H192" s="64"/>
      <c r="J192" s="24"/>
      <c r="Q192" s="19"/>
      <c r="R192" s="19"/>
      <c r="Z192" s="38"/>
    </row>
    <row r="193" spans="8:26">
      <c r="H193" s="64"/>
      <c r="J193" s="24"/>
      <c r="Q193" s="19"/>
      <c r="R193" s="19"/>
      <c r="Z193" s="38"/>
    </row>
    <row r="194" spans="8:26">
      <c r="H194" s="64"/>
      <c r="J194" s="24"/>
      <c r="Q194" s="19"/>
      <c r="R194" s="19"/>
      <c r="Z194" s="38"/>
    </row>
    <row r="195" spans="8:26">
      <c r="H195" s="64"/>
      <c r="J195" s="24"/>
      <c r="Q195" s="19"/>
      <c r="R195" s="19"/>
      <c r="Z195" s="38"/>
    </row>
    <row r="196" spans="8:26">
      <c r="H196" s="64"/>
      <c r="J196" s="24"/>
      <c r="Q196" s="19"/>
      <c r="R196" s="19"/>
      <c r="Z196" s="38"/>
    </row>
    <row r="197" spans="8:26">
      <c r="H197" s="64"/>
      <c r="J197" s="24"/>
      <c r="Q197" s="19"/>
      <c r="R197" s="19"/>
      <c r="Z197" s="38"/>
    </row>
    <row r="198" spans="8:26">
      <c r="H198" s="64"/>
      <c r="J198" s="24"/>
      <c r="Q198" s="19"/>
      <c r="R198" s="19"/>
      <c r="Z198" s="38"/>
    </row>
    <row r="199" spans="8:26">
      <c r="H199" s="64"/>
      <c r="J199" s="24"/>
      <c r="Q199" s="19"/>
      <c r="R199" s="19"/>
      <c r="Z199" s="38"/>
    </row>
    <row r="200" spans="8:26">
      <c r="H200" s="64"/>
      <c r="J200" s="24"/>
      <c r="Q200" s="19"/>
      <c r="R200" s="19"/>
      <c r="Z200" s="38"/>
    </row>
    <row r="201" spans="8:26">
      <c r="H201" s="64"/>
      <c r="J201" s="24"/>
      <c r="Q201" s="19"/>
      <c r="R201" s="19"/>
      <c r="Z201" s="38"/>
    </row>
    <row r="202" spans="8:26">
      <c r="H202" s="64"/>
      <c r="J202" s="24"/>
      <c r="Q202" s="19"/>
      <c r="R202" s="19"/>
      <c r="Z202" s="38"/>
    </row>
    <row r="203" spans="8:26">
      <c r="H203" s="64"/>
      <c r="J203" s="24"/>
      <c r="Q203" s="19"/>
      <c r="R203" s="19"/>
      <c r="Z203" s="38"/>
    </row>
    <row r="204" spans="8:26">
      <c r="H204" s="64"/>
      <c r="J204" s="24"/>
      <c r="Q204" s="19"/>
      <c r="R204" s="19"/>
      <c r="Z204" s="38"/>
    </row>
    <row r="205" spans="8:26">
      <c r="H205" s="64"/>
      <c r="J205" s="24"/>
      <c r="Q205" s="19"/>
      <c r="R205" s="19"/>
      <c r="Z205" s="38"/>
    </row>
    <row r="206" spans="8:26">
      <c r="H206" s="64"/>
      <c r="J206" s="24"/>
      <c r="Q206" s="19"/>
      <c r="R206" s="19"/>
      <c r="Z206" s="38"/>
    </row>
    <row r="207" spans="8:26">
      <c r="H207" s="64"/>
      <c r="J207" s="24"/>
      <c r="Q207" s="19"/>
      <c r="R207" s="19"/>
      <c r="Z207" s="38"/>
    </row>
    <row r="208" spans="8:26">
      <c r="H208" s="64"/>
      <c r="J208" s="24"/>
      <c r="Q208" s="19"/>
      <c r="R208" s="19"/>
      <c r="Z208" s="38"/>
    </row>
    <row r="209" spans="8:26">
      <c r="H209" s="64"/>
      <c r="J209" s="24"/>
      <c r="Q209" s="19"/>
      <c r="R209" s="19"/>
      <c r="Z209" s="38"/>
    </row>
    <row r="210" spans="8:26">
      <c r="H210" s="64"/>
      <c r="J210" s="24"/>
      <c r="Q210" s="19"/>
      <c r="R210" s="19"/>
      <c r="Z210" s="38"/>
    </row>
    <row r="211" spans="8:26">
      <c r="H211" s="64"/>
      <c r="J211" s="24"/>
      <c r="Q211" s="19"/>
      <c r="R211" s="19"/>
      <c r="Z211" s="38"/>
    </row>
    <row r="212" spans="8:26">
      <c r="H212" s="64"/>
      <c r="J212" s="24"/>
      <c r="Q212" s="19"/>
      <c r="R212" s="19"/>
      <c r="Z212" s="38"/>
    </row>
    <row r="213" spans="8:26">
      <c r="H213" s="64"/>
      <c r="J213" s="24"/>
      <c r="Q213" s="19"/>
      <c r="R213" s="19"/>
      <c r="Z213" s="38"/>
    </row>
    <row r="214" spans="8:26">
      <c r="H214" s="64"/>
      <c r="J214" s="24"/>
      <c r="Q214" s="19"/>
      <c r="R214" s="19"/>
      <c r="Z214" s="38"/>
    </row>
    <row r="215" spans="8:26">
      <c r="H215" s="64"/>
      <c r="J215" s="24"/>
      <c r="Q215" s="19"/>
      <c r="R215" s="19"/>
      <c r="Z215" s="38"/>
    </row>
    <row r="216" spans="8:26">
      <c r="H216" s="64"/>
      <c r="J216" s="24"/>
      <c r="Q216" s="19"/>
      <c r="R216" s="19"/>
      <c r="Z216" s="38"/>
    </row>
    <row r="217" spans="8:26">
      <c r="H217" s="64"/>
      <c r="J217" s="24"/>
      <c r="Q217" s="19"/>
      <c r="R217" s="19"/>
      <c r="Z217" s="38"/>
    </row>
    <row r="218" spans="8:26">
      <c r="H218" s="64"/>
      <c r="J218" s="24"/>
      <c r="Q218" s="19"/>
      <c r="R218" s="19"/>
      <c r="Z218" s="38"/>
    </row>
    <row r="219" spans="8:26">
      <c r="H219" s="64"/>
      <c r="J219" s="24"/>
      <c r="Q219" s="19"/>
      <c r="R219" s="19"/>
      <c r="Z219" s="38"/>
    </row>
    <row r="220" spans="8:26">
      <c r="H220" s="64"/>
      <c r="J220" s="24"/>
      <c r="Q220" s="19"/>
      <c r="R220" s="19"/>
      <c r="Z220" s="38"/>
    </row>
    <row r="221" spans="8:26">
      <c r="H221" s="64"/>
      <c r="J221" s="24"/>
      <c r="Q221" s="19"/>
      <c r="R221" s="19"/>
      <c r="Z221" s="38"/>
    </row>
    <row r="222" spans="8:26">
      <c r="H222" s="64"/>
      <c r="J222" s="24"/>
      <c r="Q222" s="19"/>
      <c r="R222" s="19"/>
      <c r="Z222" s="38"/>
    </row>
    <row r="223" spans="8:26">
      <c r="H223" s="64"/>
      <c r="J223" s="24"/>
      <c r="Q223" s="19"/>
      <c r="R223" s="19"/>
      <c r="Z223" s="38"/>
    </row>
    <row r="224" spans="8:26">
      <c r="H224" s="64"/>
      <c r="J224" s="24"/>
      <c r="Q224" s="19"/>
      <c r="R224" s="19"/>
      <c r="Z224" s="38"/>
    </row>
    <row r="225" spans="8:26">
      <c r="H225" s="64"/>
      <c r="J225" s="24"/>
      <c r="Q225" s="19"/>
      <c r="R225" s="19"/>
      <c r="Z225" s="38"/>
    </row>
    <row r="226" spans="8:26">
      <c r="H226" s="64"/>
      <c r="J226" s="24"/>
      <c r="Q226" s="19"/>
      <c r="R226" s="19"/>
      <c r="Z226" s="38"/>
    </row>
    <row r="227" spans="8:26">
      <c r="H227" s="64"/>
      <c r="J227" s="24"/>
      <c r="Q227" s="19"/>
      <c r="R227" s="19"/>
      <c r="Z227" s="38"/>
    </row>
    <row r="228" spans="8:26">
      <c r="H228" s="64"/>
      <c r="J228" s="24"/>
      <c r="Q228" s="19"/>
      <c r="R228" s="19"/>
      <c r="Z228" s="38"/>
    </row>
    <row r="229" spans="8:26">
      <c r="H229" s="64"/>
      <c r="J229" s="24"/>
      <c r="Q229" s="19"/>
      <c r="R229" s="19"/>
      <c r="Z229" s="38"/>
    </row>
    <row r="230" spans="8:26">
      <c r="H230" s="64"/>
      <c r="J230" s="24"/>
      <c r="Q230" s="19"/>
      <c r="R230" s="19"/>
      <c r="Z230" s="38"/>
    </row>
    <row r="231" spans="8:26">
      <c r="H231" s="64"/>
      <c r="J231" s="24"/>
      <c r="Q231" s="19"/>
      <c r="R231" s="19"/>
      <c r="Z231" s="38"/>
    </row>
    <row r="232" spans="8:26">
      <c r="H232" s="64"/>
      <c r="J232" s="24"/>
      <c r="Q232" s="19"/>
      <c r="R232" s="19"/>
      <c r="Z232" s="38"/>
    </row>
    <row r="233" spans="8:26">
      <c r="H233" s="64"/>
      <c r="J233" s="24"/>
      <c r="Q233" s="19"/>
      <c r="R233" s="19"/>
      <c r="Z233" s="38"/>
    </row>
    <row r="234" spans="8:26">
      <c r="H234" s="64"/>
      <c r="J234" s="24"/>
      <c r="Q234" s="19"/>
      <c r="R234" s="19"/>
      <c r="Z234" s="38"/>
    </row>
    <row r="235" spans="8:26">
      <c r="H235" s="64"/>
      <c r="J235" s="24"/>
      <c r="Q235" s="19"/>
      <c r="R235" s="19"/>
      <c r="Z235" s="38"/>
    </row>
    <row r="236" spans="8:26">
      <c r="H236" s="64"/>
      <c r="J236" s="24"/>
      <c r="Q236" s="19"/>
      <c r="R236" s="19"/>
      <c r="Z236" s="38"/>
    </row>
    <row r="237" spans="8:26">
      <c r="H237" s="64"/>
      <c r="J237" s="24"/>
      <c r="Q237" s="19"/>
      <c r="R237" s="19"/>
      <c r="Z237" s="38"/>
    </row>
    <row r="238" spans="8:26">
      <c r="H238" s="64"/>
      <c r="J238" s="24"/>
      <c r="Q238" s="19"/>
      <c r="R238" s="19"/>
      <c r="Z238" s="38"/>
    </row>
    <row r="239" spans="8:26">
      <c r="H239" s="64"/>
      <c r="J239" s="24"/>
      <c r="Q239" s="19"/>
      <c r="R239" s="19"/>
      <c r="Z239" s="38"/>
    </row>
    <row r="240" spans="8:26">
      <c r="H240" s="64"/>
      <c r="J240" s="24"/>
      <c r="Q240" s="19"/>
      <c r="R240" s="19"/>
      <c r="Z240" s="38"/>
    </row>
    <row r="241" spans="8:26">
      <c r="H241" s="64"/>
      <c r="J241" s="24"/>
      <c r="Q241" s="19"/>
      <c r="R241" s="19"/>
      <c r="Z241" s="38"/>
    </row>
    <row r="242" spans="8:26">
      <c r="H242" s="64"/>
      <c r="J242" s="24"/>
      <c r="Q242" s="19"/>
      <c r="R242" s="19"/>
      <c r="Z242" s="38"/>
    </row>
    <row r="243" spans="8:26">
      <c r="H243" s="64"/>
      <c r="J243" s="24"/>
      <c r="Q243" s="19"/>
      <c r="R243" s="19"/>
      <c r="Z243" s="38"/>
    </row>
    <row r="244" spans="8:26">
      <c r="H244" s="64"/>
      <c r="J244" s="24"/>
      <c r="Q244" s="19"/>
      <c r="R244" s="19"/>
      <c r="Z244" s="38"/>
    </row>
    <row r="245" spans="8:26">
      <c r="H245" s="64"/>
      <c r="J245" s="24"/>
      <c r="Q245" s="19"/>
      <c r="R245" s="19"/>
      <c r="Z245" s="38"/>
    </row>
    <row r="246" spans="8:26">
      <c r="H246" s="64"/>
      <c r="I246" s="24"/>
      <c r="J246" s="24"/>
      <c r="Q246" s="19"/>
      <c r="R246" s="19"/>
      <c r="Z246" s="38"/>
    </row>
    <row r="247" spans="8:26">
      <c r="H247" s="64"/>
      <c r="J247" s="24"/>
      <c r="Q247" s="19"/>
      <c r="R247" s="19"/>
      <c r="Z247" s="38"/>
    </row>
    <row r="248" spans="8:26">
      <c r="H248" s="64"/>
      <c r="J248" s="24"/>
      <c r="Q248" s="19"/>
      <c r="R248" s="19"/>
      <c r="Z248" s="38"/>
    </row>
    <row r="249" spans="8:26">
      <c r="H249" s="64"/>
      <c r="J249" s="24"/>
      <c r="Q249" s="19"/>
      <c r="R249" s="19"/>
      <c r="Z249" s="38"/>
    </row>
    <row r="250" spans="8:26">
      <c r="H250" s="64"/>
      <c r="J250" s="24"/>
      <c r="Q250" s="19"/>
      <c r="R250" s="19"/>
      <c r="Z250" s="38"/>
    </row>
    <row r="251" spans="8:26">
      <c r="H251" s="64"/>
      <c r="J251" s="24"/>
      <c r="Q251" s="19"/>
      <c r="R251" s="19"/>
      <c r="Z251" s="38"/>
    </row>
    <row r="252" spans="8:26">
      <c r="H252" s="64"/>
      <c r="J252" s="24"/>
      <c r="Q252" s="19"/>
      <c r="R252" s="19"/>
      <c r="Z252" s="38"/>
    </row>
    <row r="253" spans="8:26">
      <c r="H253" s="64"/>
      <c r="J253" s="24"/>
      <c r="Q253" s="19"/>
      <c r="R253" s="19"/>
      <c r="Z253" s="38"/>
    </row>
    <row r="254" spans="8:26">
      <c r="H254" s="64"/>
      <c r="J254" s="24"/>
      <c r="Q254" s="19"/>
      <c r="R254" s="19"/>
      <c r="Z254" s="38"/>
    </row>
    <row r="255" spans="8:26">
      <c r="H255" s="64"/>
      <c r="J255" s="24"/>
      <c r="Q255" s="19"/>
      <c r="R255" s="19"/>
      <c r="Z255" s="38"/>
    </row>
    <row r="256" spans="8:26">
      <c r="H256" s="64"/>
      <c r="J256" s="24"/>
      <c r="Q256" s="19"/>
      <c r="R256" s="19"/>
      <c r="Z256" s="38"/>
    </row>
    <row r="257" spans="8:26">
      <c r="H257" s="64"/>
      <c r="J257" s="24"/>
      <c r="Q257" s="19"/>
      <c r="R257" s="19"/>
      <c r="Z257" s="38"/>
    </row>
    <row r="258" spans="8:26">
      <c r="H258" s="64"/>
      <c r="J258" s="24"/>
      <c r="Q258" s="19"/>
      <c r="R258" s="19"/>
      <c r="Z258" s="38"/>
    </row>
    <row r="259" spans="8:26">
      <c r="H259" s="64"/>
      <c r="J259" s="24"/>
      <c r="Q259" s="19"/>
      <c r="R259" s="19"/>
      <c r="Z259" s="38"/>
    </row>
    <row r="260" spans="8:26">
      <c r="H260" s="64"/>
      <c r="J260" s="24"/>
      <c r="Q260" s="19"/>
      <c r="R260" s="19"/>
      <c r="Z260" s="38"/>
    </row>
    <row r="261" spans="8:26">
      <c r="H261" s="64"/>
      <c r="J261" s="24"/>
      <c r="Q261" s="19"/>
      <c r="R261" s="19"/>
      <c r="Z261" s="38"/>
    </row>
    <row r="262" spans="8:26">
      <c r="H262" s="64"/>
      <c r="J262" s="24"/>
      <c r="Q262" s="19"/>
      <c r="R262" s="19"/>
      <c r="Z262" s="38"/>
    </row>
    <row r="263" spans="8:26">
      <c r="H263" s="64"/>
      <c r="J263" s="24"/>
      <c r="Q263" s="19"/>
      <c r="R263" s="19"/>
      <c r="Z263" s="38"/>
    </row>
    <row r="264" spans="8:26">
      <c r="H264" s="64"/>
      <c r="J264" s="24"/>
      <c r="Q264" s="19"/>
      <c r="R264" s="19"/>
      <c r="Z264" s="38"/>
    </row>
    <row r="265" spans="8:26">
      <c r="H265" s="64"/>
      <c r="J265" s="24"/>
      <c r="Q265" s="19"/>
      <c r="R265" s="19"/>
      <c r="Z265" s="38"/>
    </row>
    <row r="266" spans="8:26">
      <c r="H266" s="64"/>
      <c r="J266" s="24"/>
      <c r="Q266" s="19"/>
      <c r="R266" s="19"/>
      <c r="Z266" s="38"/>
    </row>
    <row r="267" spans="8:26">
      <c r="H267" s="64"/>
      <c r="J267" s="24"/>
      <c r="Q267" s="19"/>
      <c r="R267" s="19"/>
      <c r="Z267" s="38"/>
    </row>
    <row r="268" spans="8:26">
      <c r="H268" s="64"/>
      <c r="J268" s="24"/>
      <c r="Q268" s="19"/>
      <c r="R268" s="19"/>
      <c r="Z268" s="38"/>
    </row>
    <row r="269" spans="8:26">
      <c r="H269" s="64"/>
      <c r="J269" s="24"/>
      <c r="Q269" s="19"/>
      <c r="R269" s="19"/>
      <c r="Z269" s="38"/>
    </row>
    <row r="270" spans="8:26">
      <c r="H270" s="64"/>
      <c r="J270" s="24"/>
      <c r="Q270" s="19"/>
      <c r="R270" s="19"/>
      <c r="Z270" s="38"/>
    </row>
    <row r="271" spans="8:26">
      <c r="H271" s="64"/>
      <c r="J271" s="24"/>
      <c r="Q271" s="19"/>
      <c r="R271" s="19"/>
      <c r="Z271" s="38"/>
    </row>
    <row r="272" spans="8:26">
      <c r="H272" s="64"/>
      <c r="J272" s="24"/>
      <c r="Q272" s="19"/>
      <c r="R272" s="19"/>
      <c r="Z272" s="38"/>
    </row>
    <row r="273" spans="8:26">
      <c r="H273" s="64"/>
      <c r="J273" s="24"/>
      <c r="Q273" s="19"/>
      <c r="R273" s="19"/>
      <c r="Z273" s="38"/>
    </row>
    <row r="274" spans="8:26">
      <c r="H274" s="64"/>
      <c r="J274" s="24"/>
      <c r="Q274" s="19"/>
      <c r="R274" s="19"/>
      <c r="Z274" s="38"/>
    </row>
    <row r="275" spans="8:26">
      <c r="H275" s="64"/>
      <c r="J275" s="24"/>
      <c r="Q275" s="19"/>
      <c r="R275" s="19"/>
      <c r="Z275" s="38"/>
    </row>
    <row r="276" spans="8:26">
      <c r="H276" s="64"/>
      <c r="J276" s="24"/>
      <c r="Q276" s="19"/>
      <c r="R276" s="19"/>
      <c r="Z276" s="38"/>
    </row>
    <row r="277" spans="8:26">
      <c r="H277" s="64"/>
      <c r="J277" s="24"/>
      <c r="Q277" s="19"/>
      <c r="R277" s="19"/>
      <c r="Z277" s="38"/>
    </row>
    <row r="278" spans="8:26">
      <c r="H278" s="64"/>
      <c r="J278" s="24"/>
      <c r="Q278" s="19"/>
      <c r="R278" s="19"/>
      <c r="Z278" s="38"/>
    </row>
    <row r="279" spans="8:26">
      <c r="H279" s="64"/>
      <c r="J279" s="24"/>
      <c r="Q279" s="19"/>
      <c r="R279" s="19"/>
      <c r="Z279" s="38"/>
    </row>
    <row r="280" spans="8:26">
      <c r="H280" s="64"/>
      <c r="J280" s="24"/>
      <c r="Q280" s="19"/>
      <c r="R280" s="19"/>
      <c r="Z280" s="38"/>
    </row>
    <row r="281" spans="8:26">
      <c r="H281" s="64"/>
      <c r="J281" s="24"/>
      <c r="Q281" s="19"/>
      <c r="R281" s="19"/>
      <c r="Z281" s="38"/>
    </row>
    <row r="282" spans="8:26">
      <c r="H282" s="64"/>
      <c r="J282" s="24"/>
      <c r="Q282" s="19"/>
      <c r="R282" s="19"/>
      <c r="Z282" s="38"/>
    </row>
    <row r="283" spans="8:26">
      <c r="H283" s="64"/>
      <c r="J283" s="24"/>
      <c r="Q283" s="19"/>
      <c r="R283" s="19"/>
      <c r="Z283" s="38"/>
    </row>
    <row r="284" spans="8:26">
      <c r="H284" s="64"/>
      <c r="J284" s="24"/>
      <c r="Q284" s="19"/>
      <c r="R284" s="19"/>
      <c r="Z284" s="38"/>
    </row>
    <row r="285" spans="8:26">
      <c r="H285" s="64"/>
      <c r="J285" s="24"/>
      <c r="Q285" s="19"/>
      <c r="R285" s="19"/>
      <c r="Z285" s="38"/>
    </row>
    <row r="286" spans="8:26">
      <c r="H286" s="64"/>
      <c r="J286" s="24"/>
      <c r="Q286" s="19"/>
      <c r="R286" s="19"/>
      <c r="Z286" s="38"/>
    </row>
    <row r="287" spans="8:26">
      <c r="H287" s="64"/>
      <c r="J287" s="24"/>
      <c r="Q287" s="19"/>
      <c r="R287" s="19"/>
      <c r="Z287" s="38"/>
    </row>
    <row r="288" spans="8:26">
      <c r="H288" s="64"/>
      <c r="J288" s="24"/>
      <c r="Q288" s="19"/>
      <c r="R288" s="19"/>
      <c r="Z288" s="38"/>
    </row>
    <row r="289" spans="8:26">
      <c r="H289" s="64"/>
      <c r="J289" s="24"/>
      <c r="Q289" s="19"/>
      <c r="R289" s="19"/>
      <c r="Z289" s="38"/>
    </row>
    <row r="290" spans="8:26">
      <c r="H290" s="64"/>
      <c r="J290" s="24"/>
      <c r="Q290" s="19"/>
      <c r="R290" s="19"/>
      <c r="Z290" s="38"/>
    </row>
    <row r="291" spans="8:26">
      <c r="H291" s="64"/>
      <c r="J291" s="24"/>
      <c r="Q291" s="19"/>
      <c r="R291" s="19"/>
      <c r="Z291" s="38"/>
    </row>
    <row r="292" spans="8:26">
      <c r="H292" s="64"/>
      <c r="J292" s="24"/>
      <c r="Q292" s="19"/>
      <c r="R292" s="19"/>
      <c r="Z292" s="38"/>
    </row>
    <row r="293" spans="8:26">
      <c r="H293" s="64"/>
      <c r="J293" s="24"/>
      <c r="Q293" s="19"/>
      <c r="R293" s="19"/>
      <c r="Z293" s="38"/>
    </row>
    <row r="294" spans="8:26">
      <c r="H294" s="64"/>
      <c r="J294" s="24"/>
      <c r="Q294" s="19"/>
      <c r="R294" s="19"/>
      <c r="Z294" s="38"/>
    </row>
    <row r="295" spans="8:26">
      <c r="H295" s="64"/>
      <c r="J295" s="24"/>
      <c r="Q295" s="19"/>
      <c r="R295" s="19"/>
      <c r="Z295" s="38"/>
    </row>
    <row r="296" spans="8:26">
      <c r="H296" s="64"/>
      <c r="J296" s="24"/>
      <c r="Q296" s="19"/>
      <c r="R296" s="19"/>
      <c r="Z296" s="38"/>
    </row>
    <row r="297" spans="8:26">
      <c r="H297" s="64"/>
      <c r="J297" s="24"/>
      <c r="Q297" s="19"/>
      <c r="R297" s="19"/>
      <c r="Z297" s="38"/>
    </row>
    <row r="298" spans="8:26">
      <c r="H298" s="64"/>
      <c r="J298" s="24"/>
      <c r="Q298" s="19"/>
      <c r="R298" s="19"/>
      <c r="Z298" s="38"/>
    </row>
    <row r="299" spans="8:26">
      <c r="H299" s="64"/>
      <c r="J299" s="24"/>
      <c r="Q299" s="19"/>
      <c r="R299" s="19"/>
      <c r="Z299" s="38"/>
    </row>
    <row r="300" spans="8:26">
      <c r="H300" s="64"/>
      <c r="J300" s="24"/>
      <c r="Q300" s="19"/>
      <c r="R300" s="19"/>
      <c r="Z300" s="38"/>
    </row>
    <row r="301" spans="8:26">
      <c r="H301" s="64"/>
      <c r="J301" s="24"/>
      <c r="Q301" s="19"/>
      <c r="R301" s="19"/>
      <c r="Z301" s="38"/>
    </row>
    <row r="302" spans="8:26">
      <c r="H302" s="64"/>
      <c r="J302" s="24"/>
      <c r="Q302" s="19"/>
      <c r="R302" s="19"/>
      <c r="Z302" s="38"/>
    </row>
    <row r="303" spans="8:26">
      <c r="H303" s="64"/>
      <c r="J303" s="24"/>
      <c r="Q303" s="19"/>
      <c r="R303" s="19"/>
      <c r="Z303" s="38"/>
    </row>
    <row r="304" spans="8:26">
      <c r="H304" s="64"/>
      <c r="J304" s="24"/>
      <c r="Q304" s="19"/>
      <c r="R304" s="19"/>
      <c r="Z304" s="38"/>
    </row>
    <row r="305" spans="8:26">
      <c r="H305" s="64"/>
      <c r="J305" s="24"/>
      <c r="Q305" s="19"/>
      <c r="R305" s="19"/>
      <c r="Z305" s="38"/>
    </row>
    <row r="306" spans="8:26">
      <c r="H306" s="64"/>
      <c r="J306" s="24"/>
      <c r="Q306" s="19"/>
      <c r="R306" s="19"/>
      <c r="Z306" s="38"/>
    </row>
    <row r="307" spans="8:26">
      <c r="H307" s="64"/>
      <c r="J307" s="24"/>
      <c r="Q307" s="19"/>
      <c r="R307" s="19"/>
      <c r="Z307" s="38"/>
    </row>
    <row r="308" spans="8:26">
      <c r="H308" s="64"/>
      <c r="J308" s="24"/>
      <c r="Q308" s="19"/>
      <c r="R308" s="19"/>
      <c r="Z308" s="38"/>
    </row>
    <row r="309" spans="8:26">
      <c r="H309" s="64"/>
      <c r="J309" s="24"/>
      <c r="Q309" s="19"/>
      <c r="R309" s="19"/>
      <c r="Z309" s="38"/>
    </row>
    <row r="310" spans="8:26">
      <c r="H310" s="64"/>
      <c r="J310" s="24"/>
      <c r="Q310" s="19"/>
      <c r="R310" s="19"/>
      <c r="Z310" s="38"/>
    </row>
    <row r="311" spans="8:26">
      <c r="H311" s="64"/>
      <c r="J311" s="24"/>
      <c r="Q311" s="19"/>
      <c r="R311" s="19"/>
      <c r="Z311" s="38"/>
    </row>
    <row r="312" spans="8:26">
      <c r="H312" s="64"/>
      <c r="J312" s="24"/>
      <c r="Q312" s="19"/>
      <c r="R312" s="19"/>
      <c r="Z312" s="38"/>
    </row>
    <row r="313" spans="8:26">
      <c r="H313" s="64"/>
      <c r="J313" s="24"/>
      <c r="Q313" s="19"/>
      <c r="R313" s="19"/>
      <c r="Z313" s="38"/>
    </row>
    <row r="314" spans="8:26">
      <c r="H314" s="64"/>
      <c r="J314" s="24"/>
      <c r="Q314" s="19"/>
      <c r="R314" s="19"/>
      <c r="Z314" s="38"/>
    </row>
    <row r="315" spans="8:26">
      <c r="H315" s="64"/>
      <c r="J315" s="24"/>
      <c r="Q315" s="19"/>
      <c r="R315" s="19"/>
      <c r="Z315" s="38"/>
    </row>
    <row r="316" spans="8:26">
      <c r="H316" s="64"/>
      <c r="J316" s="24"/>
      <c r="Q316" s="19"/>
      <c r="R316" s="19"/>
      <c r="Z316" s="38"/>
    </row>
    <row r="317" spans="8:26">
      <c r="H317" s="64"/>
      <c r="J317" s="24"/>
      <c r="Q317" s="19"/>
      <c r="R317" s="19"/>
      <c r="Z317" s="38"/>
    </row>
    <row r="318" spans="8:26">
      <c r="H318" s="64"/>
      <c r="J318" s="24"/>
      <c r="Q318" s="19"/>
      <c r="R318" s="19"/>
      <c r="Z318" s="38"/>
    </row>
    <row r="319" spans="8:26">
      <c r="H319" s="64"/>
      <c r="J319" s="24"/>
      <c r="Q319" s="19"/>
      <c r="R319" s="19"/>
      <c r="Z319" s="38"/>
    </row>
    <row r="320" spans="8:26">
      <c r="H320" s="64"/>
      <c r="J320" s="24"/>
      <c r="Q320" s="19"/>
      <c r="R320" s="19"/>
      <c r="Z320" s="38"/>
    </row>
    <row r="321" spans="8:26">
      <c r="H321" s="64"/>
      <c r="J321" s="24"/>
      <c r="Q321" s="19"/>
      <c r="R321" s="19"/>
      <c r="Z321" s="38"/>
    </row>
    <row r="322" spans="8:26">
      <c r="H322" s="64"/>
      <c r="J322" s="24"/>
      <c r="Q322" s="19"/>
      <c r="R322" s="19"/>
      <c r="Z322" s="38"/>
    </row>
    <row r="323" spans="8:26">
      <c r="H323" s="64"/>
      <c r="J323" s="24"/>
      <c r="Q323" s="19"/>
      <c r="R323" s="19"/>
      <c r="Z323" s="38"/>
    </row>
    <row r="324" spans="8:26">
      <c r="H324" s="64"/>
      <c r="J324" s="24"/>
      <c r="Q324" s="19"/>
      <c r="R324" s="19"/>
      <c r="Z324" s="38"/>
    </row>
    <row r="325" spans="8:26">
      <c r="H325" s="64"/>
      <c r="J325" s="24"/>
      <c r="Q325" s="19"/>
      <c r="R325" s="19"/>
      <c r="Z325" s="38"/>
    </row>
    <row r="326" spans="8:26">
      <c r="H326" s="64"/>
      <c r="J326" s="24"/>
      <c r="Q326" s="19"/>
      <c r="R326" s="19"/>
      <c r="Z326" s="38"/>
    </row>
    <row r="327" spans="8:26">
      <c r="H327" s="64"/>
      <c r="J327" s="24"/>
      <c r="Q327" s="19"/>
      <c r="R327" s="19"/>
      <c r="Z327" s="38"/>
    </row>
    <row r="328" spans="8:26">
      <c r="H328" s="64"/>
      <c r="J328" s="24"/>
      <c r="Q328" s="19"/>
      <c r="R328" s="19"/>
      <c r="Z328" s="38"/>
    </row>
    <row r="329" spans="8:26">
      <c r="H329" s="64"/>
      <c r="J329" s="24"/>
      <c r="Q329" s="19"/>
      <c r="R329" s="19"/>
      <c r="Z329" s="38"/>
    </row>
    <row r="330" spans="8:26">
      <c r="H330" s="64"/>
      <c r="J330" s="24"/>
      <c r="Q330" s="19"/>
      <c r="R330" s="19"/>
      <c r="Z330" s="38"/>
    </row>
    <row r="331" spans="8:26">
      <c r="H331" s="64"/>
      <c r="J331" s="24"/>
      <c r="Q331" s="19"/>
      <c r="R331" s="19"/>
      <c r="Z331" s="38"/>
    </row>
    <row r="332" spans="8:26">
      <c r="H332" s="64"/>
      <c r="J332" s="24"/>
      <c r="Q332" s="19"/>
      <c r="R332" s="19"/>
      <c r="Z332" s="38"/>
    </row>
    <row r="333" spans="8:26">
      <c r="H333" s="64"/>
      <c r="J333" s="24"/>
      <c r="Q333" s="19"/>
      <c r="R333" s="19"/>
      <c r="Z333" s="38"/>
    </row>
    <row r="334" spans="8:26">
      <c r="H334" s="64"/>
      <c r="J334" s="24"/>
      <c r="Q334" s="19"/>
      <c r="R334" s="19"/>
      <c r="Z334" s="38"/>
    </row>
    <row r="335" spans="8:26">
      <c r="H335" s="64"/>
      <c r="J335" s="24"/>
      <c r="Q335" s="19"/>
      <c r="R335" s="19"/>
      <c r="Z335" s="38"/>
    </row>
    <row r="336" spans="8:26">
      <c r="H336" s="64"/>
      <c r="J336" s="24"/>
      <c r="Q336" s="19"/>
      <c r="R336" s="19"/>
      <c r="Z336" s="38"/>
    </row>
    <row r="337" spans="8:26">
      <c r="H337" s="64"/>
      <c r="J337" s="24"/>
      <c r="Q337" s="19"/>
      <c r="R337" s="19"/>
      <c r="Z337" s="38"/>
    </row>
    <row r="338" spans="8:26">
      <c r="H338" s="64"/>
      <c r="J338" s="24"/>
      <c r="Q338" s="19"/>
      <c r="R338" s="19"/>
      <c r="Z338" s="38"/>
    </row>
    <row r="339" spans="8:26">
      <c r="H339" s="64"/>
      <c r="J339" s="24"/>
      <c r="Q339" s="19"/>
      <c r="R339" s="19"/>
      <c r="Z339" s="38"/>
    </row>
    <row r="340" spans="8:26">
      <c r="H340" s="64"/>
      <c r="J340" s="24"/>
      <c r="Q340" s="19"/>
      <c r="R340" s="19"/>
      <c r="Z340" s="38"/>
    </row>
    <row r="341" spans="8:26">
      <c r="H341" s="64"/>
      <c r="J341" s="24"/>
      <c r="Q341" s="19"/>
      <c r="R341" s="19"/>
      <c r="Z341" s="38"/>
    </row>
    <row r="342" spans="8:26">
      <c r="H342" s="64"/>
      <c r="J342" s="24"/>
      <c r="Q342" s="19"/>
      <c r="R342" s="19"/>
      <c r="Z342" s="38"/>
    </row>
    <row r="343" spans="8:26">
      <c r="H343" s="64"/>
      <c r="J343" s="24"/>
      <c r="Q343" s="19"/>
      <c r="R343" s="19"/>
      <c r="Z343" s="38"/>
    </row>
    <row r="344" spans="8:26">
      <c r="H344" s="64"/>
      <c r="J344" s="24"/>
      <c r="Q344" s="19"/>
      <c r="R344" s="19"/>
      <c r="Z344" s="38"/>
    </row>
    <row r="345" spans="8:26">
      <c r="H345" s="64"/>
      <c r="J345" s="24"/>
      <c r="Q345" s="19"/>
      <c r="R345" s="19"/>
      <c r="Z345" s="38"/>
    </row>
    <row r="346" spans="8:26">
      <c r="H346" s="64"/>
      <c r="J346" s="24"/>
      <c r="Q346" s="19"/>
      <c r="R346" s="19"/>
      <c r="Z346" s="38"/>
    </row>
    <row r="347" spans="8:26">
      <c r="H347" s="64"/>
      <c r="J347" s="24"/>
      <c r="Q347" s="19"/>
      <c r="R347" s="19"/>
      <c r="Z347" s="38"/>
    </row>
    <row r="348" spans="8:26">
      <c r="H348" s="64"/>
      <c r="J348" s="24"/>
      <c r="Q348" s="19"/>
      <c r="R348" s="19"/>
      <c r="Z348" s="38"/>
    </row>
    <row r="349" spans="8:26">
      <c r="H349" s="64"/>
      <c r="J349" s="24"/>
      <c r="Q349" s="19"/>
      <c r="R349" s="19"/>
      <c r="Z349" s="38"/>
    </row>
    <row r="350" spans="8:26">
      <c r="H350" s="64"/>
      <c r="J350" s="24"/>
      <c r="Q350" s="19"/>
      <c r="R350" s="19"/>
      <c r="Z350" s="38"/>
    </row>
    <row r="351" spans="8:26">
      <c r="H351" s="64"/>
      <c r="J351" s="24"/>
      <c r="Q351" s="19"/>
      <c r="R351" s="19"/>
      <c r="Z351" s="38"/>
    </row>
    <row r="352" spans="8:26">
      <c r="H352" s="64"/>
      <c r="J352" s="24"/>
      <c r="Q352" s="19"/>
      <c r="R352" s="19"/>
      <c r="Z352" s="38"/>
    </row>
    <row r="353" spans="8:26">
      <c r="H353" s="64"/>
      <c r="J353" s="24"/>
      <c r="Q353" s="19"/>
      <c r="R353" s="19"/>
      <c r="Z353" s="38"/>
    </row>
    <row r="354" spans="8:26">
      <c r="H354" s="64"/>
      <c r="J354" s="24"/>
      <c r="Q354" s="19"/>
      <c r="R354" s="19"/>
      <c r="Z354" s="38"/>
    </row>
    <row r="355" spans="8:26">
      <c r="H355" s="64"/>
      <c r="J355" s="24"/>
      <c r="Q355" s="19"/>
      <c r="R355" s="19"/>
      <c r="Z355" s="38"/>
    </row>
    <row r="356" spans="8:26">
      <c r="H356" s="64"/>
      <c r="J356" s="24"/>
      <c r="Q356" s="19"/>
      <c r="R356" s="19"/>
      <c r="Z356" s="38"/>
    </row>
    <row r="357" spans="8:26">
      <c r="H357" s="64"/>
      <c r="J357" s="24"/>
      <c r="Q357" s="19"/>
      <c r="R357" s="19"/>
      <c r="Z357" s="38"/>
    </row>
    <row r="358" spans="8:26">
      <c r="H358" s="64"/>
      <c r="J358" s="24"/>
      <c r="Q358" s="19"/>
      <c r="R358" s="19"/>
      <c r="Z358" s="38"/>
    </row>
    <row r="359" spans="8:26">
      <c r="H359" s="64"/>
      <c r="J359" s="24"/>
      <c r="Q359" s="19"/>
      <c r="R359" s="19"/>
      <c r="Z359" s="38"/>
    </row>
    <row r="360" spans="8:26">
      <c r="H360" s="64"/>
      <c r="J360" s="24"/>
      <c r="Q360" s="19"/>
      <c r="R360" s="19"/>
      <c r="Z360" s="38"/>
    </row>
    <row r="361" spans="8:26">
      <c r="H361" s="64"/>
      <c r="J361" s="24"/>
      <c r="Q361" s="19"/>
      <c r="R361" s="19"/>
      <c r="Z361" s="38"/>
    </row>
    <row r="362" spans="8:26">
      <c r="H362" s="64"/>
      <c r="J362" s="24"/>
      <c r="Q362" s="19"/>
      <c r="R362" s="19"/>
      <c r="Z362" s="38"/>
    </row>
    <row r="363" spans="8:26">
      <c r="H363" s="64"/>
      <c r="J363" s="24"/>
      <c r="Q363" s="19"/>
      <c r="R363" s="19"/>
      <c r="Z363" s="38"/>
    </row>
    <row r="364" spans="8:26">
      <c r="H364" s="64"/>
      <c r="J364" s="24"/>
      <c r="Q364" s="19"/>
      <c r="R364" s="19"/>
      <c r="Z364" s="38"/>
    </row>
    <row r="365" spans="8:26">
      <c r="H365" s="64"/>
      <c r="J365" s="24"/>
      <c r="Q365" s="19"/>
      <c r="R365" s="19"/>
      <c r="Z365" s="38"/>
    </row>
    <row r="366" spans="8:26">
      <c r="H366" s="64"/>
      <c r="J366" s="24"/>
      <c r="Q366" s="19"/>
      <c r="R366" s="19"/>
      <c r="Z366" s="38"/>
    </row>
    <row r="367" spans="8:26">
      <c r="H367" s="64"/>
      <c r="J367" s="24"/>
      <c r="Q367" s="19"/>
      <c r="R367" s="19"/>
      <c r="Z367" s="38"/>
    </row>
    <row r="368" spans="8:26">
      <c r="H368" s="64"/>
      <c r="J368" s="24"/>
      <c r="Q368" s="19"/>
      <c r="R368" s="19"/>
      <c r="Z368" s="38"/>
    </row>
    <row r="369" spans="8:26">
      <c r="H369" s="64"/>
      <c r="J369" s="24"/>
      <c r="Q369" s="19"/>
      <c r="R369" s="19"/>
      <c r="Z369" s="38"/>
    </row>
    <row r="370" spans="8:26">
      <c r="H370" s="64"/>
      <c r="J370" s="24"/>
      <c r="Q370" s="19"/>
      <c r="R370" s="19"/>
      <c r="Z370" s="38"/>
    </row>
    <row r="371" spans="8:26">
      <c r="H371" s="64"/>
      <c r="J371" s="24"/>
      <c r="Q371" s="19"/>
      <c r="R371" s="19"/>
      <c r="Z371" s="38"/>
    </row>
    <row r="372" spans="8:26">
      <c r="H372" s="64"/>
      <c r="J372" s="24"/>
      <c r="Q372" s="19"/>
      <c r="R372" s="19"/>
      <c r="Z372" s="38"/>
    </row>
    <row r="373" spans="8:26">
      <c r="H373" s="64"/>
      <c r="J373" s="24"/>
      <c r="Q373" s="19"/>
      <c r="R373" s="19"/>
      <c r="Z373" s="38"/>
    </row>
    <row r="374" spans="8:26">
      <c r="H374" s="64"/>
      <c r="J374" s="24"/>
      <c r="Q374" s="19"/>
      <c r="R374" s="19"/>
      <c r="Z374" s="38"/>
    </row>
    <row r="375" spans="8:26">
      <c r="H375" s="64"/>
      <c r="J375" s="24"/>
      <c r="Q375" s="19"/>
      <c r="R375" s="19"/>
      <c r="Z375" s="38"/>
    </row>
    <row r="376" spans="8:26">
      <c r="H376" s="64"/>
      <c r="J376" s="24"/>
      <c r="Q376" s="19"/>
      <c r="R376" s="19"/>
      <c r="Z376" s="38"/>
    </row>
    <row r="377" spans="8:26">
      <c r="H377" s="64"/>
      <c r="J377" s="24"/>
      <c r="Q377" s="19"/>
      <c r="R377" s="19"/>
      <c r="Z377" s="38"/>
    </row>
    <row r="378" spans="8:26">
      <c r="H378" s="64"/>
      <c r="J378" s="24"/>
      <c r="Q378" s="19"/>
      <c r="R378" s="19"/>
      <c r="Z378" s="38"/>
    </row>
    <row r="379" spans="8:26">
      <c r="H379" s="64"/>
      <c r="J379" s="24"/>
      <c r="Q379" s="19"/>
      <c r="R379" s="19"/>
      <c r="Z379" s="38"/>
    </row>
    <row r="380" spans="8:26">
      <c r="H380" s="64"/>
      <c r="J380" s="24"/>
      <c r="Q380" s="19"/>
      <c r="R380" s="19"/>
      <c r="Z380" s="38"/>
    </row>
    <row r="381" spans="8:26">
      <c r="H381" s="64"/>
      <c r="J381" s="24"/>
      <c r="Q381" s="19"/>
      <c r="R381" s="19"/>
      <c r="Z381" s="38"/>
    </row>
    <row r="382" spans="8:26">
      <c r="H382" s="64"/>
      <c r="J382" s="24"/>
      <c r="Q382" s="19"/>
      <c r="R382" s="19"/>
      <c r="Z382" s="38"/>
    </row>
    <row r="383" spans="8:26">
      <c r="H383" s="64"/>
      <c r="J383" s="24"/>
      <c r="Q383" s="19"/>
      <c r="R383" s="19"/>
      <c r="Z383" s="38"/>
    </row>
    <row r="384" spans="8:26">
      <c r="H384" s="64"/>
      <c r="J384" s="24"/>
      <c r="Q384" s="19"/>
      <c r="R384" s="19"/>
      <c r="Z384" s="38"/>
    </row>
    <row r="385" spans="8:26">
      <c r="H385" s="64"/>
      <c r="J385" s="24"/>
      <c r="Q385" s="19"/>
      <c r="R385" s="19"/>
      <c r="Z385" s="38"/>
    </row>
    <row r="386" spans="8:26">
      <c r="H386" s="64"/>
      <c r="J386" s="24"/>
      <c r="Q386" s="19"/>
      <c r="R386" s="19"/>
      <c r="Z386" s="38"/>
    </row>
    <row r="387" spans="8:26">
      <c r="H387" s="64"/>
      <c r="J387" s="24"/>
      <c r="Q387" s="19"/>
      <c r="R387" s="19"/>
      <c r="Z387" s="38"/>
    </row>
    <row r="388" spans="8:26">
      <c r="H388" s="64"/>
      <c r="J388" s="24"/>
      <c r="Q388" s="19"/>
      <c r="R388" s="19"/>
      <c r="Z388" s="38"/>
    </row>
    <row r="389" spans="8:26">
      <c r="H389" s="64"/>
      <c r="J389" s="24"/>
      <c r="Q389" s="19"/>
      <c r="R389" s="19"/>
      <c r="Z389" s="38"/>
    </row>
    <row r="390" spans="8:26">
      <c r="H390" s="64"/>
      <c r="J390" s="24"/>
      <c r="Q390" s="19"/>
      <c r="R390" s="19"/>
      <c r="Z390" s="38"/>
    </row>
    <row r="391" spans="8:26">
      <c r="H391" s="64"/>
      <c r="J391" s="24"/>
      <c r="Q391" s="19"/>
      <c r="R391" s="19"/>
      <c r="Z391" s="38"/>
    </row>
    <row r="392" spans="8:26">
      <c r="H392" s="64"/>
      <c r="J392" s="24"/>
      <c r="Q392" s="19"/>
      <c r="R392" s="19"/>
      <c r="Z392" s="38"/>
    </row>
    <row r="393" spans="8:26">
      <c r="H393" s="64"/>
      <c r="J393" s="24"/>
      <c r="Q393" s="19"/>
      <c r="R393" s="19"/>
      <c r="Z393" s="38"/>
    </row>
    <row r="394" spans="8:26">
      <c r="H394" s="64"/>
      <c r="J394" s="24"/>
      <c r="Q394" s="19"/>
      <c r="R394" s="19"/>
      <c r="Z394" s="38"/>
    </row>
    <row r="395" spans="8:26">
      <c r="H395" s="64"/>
      <c r="J395" s="24"/>
      <c r="Q395" s="19"/>
      <c r="R395" s="19"/>
      <c r="Z395" s="38"/>
    </row>
    <row r="396" spans="8:26">
      <c r="H396" s="64"/>
      <c r="J396" s="24"/>
      <c r="Q396" s="19"/>
      <c r="R396" s="19"/>
      <c r="Z396" s="38"/>
    </row>
    <row r="397" spans="8:26">
      <c r="H397" s="64"/>
      <c r="J397" s="24"/>
      <c r="Q397" s="19"/>
      <c r="R397" s="19"/>
      <c r="Z397" s="38"/>
    </row>
    <row r="398" spans="8:26">
      <c r="H398" s="64"/>
      <c r="J398" s="24"/>
      <c r="Q398" s="19"/>
      <c r="R398" s="19"/>
      <c r="Z398" s="38"/>
    </row>
    <row r="399" spans="8:26">
      <c r="H399" s="64"/>
      <c r="J399" s="24"/>
      <c r="Q399" s="19"/>
      <c r="R399" s="19"/>
      <c r="Z399" s="38"/>
    </row>
    <row r="400" spans="8:26">
      <c r="H400" s="64"/>
      <c r="J400" s="24"/>
      <c r="Q400" s="19"/>
      <c r="R400" s="19"/>
      <c r="Z400" s="38"/>
    </row>
    <row r="401" spans="8:26">
      <c r="H401" s="64"/>
      <c r="J401" s="24"/>
      <c r="Q401" s="19"/>
      <c r="R401" s="19"/>
      <c r="Z401" s="38"/>
    </row>
    <row r="402" spans="8:26">
      <c r="H402" s="64"/>
      <c r="J402" s="24"/>
      <c r="Q402" s="19"/>
      <c r="R402" s="19"/>
      <c r="Z402" s="38"/>
    </row>
    <row r="403" spans="8:26">
      <c r="H403" s="64"/>
      <c r="J403" s="24"/>
      <c r="Q403" s="19"/>
      <c r="R403" s="19"/>
      <c r="Z403" s="38"/>
    </row>
    <row r="404" spans="8:26">
      <c r="H404" s="64"/>
      <c r="J404" s="24"/>
      <c r="Q404" s="19"/>
      <c r="R404" s="19"/>
      <c r="Z404" s="38"/>
    </row>
    <row r="405" spans="8:26">
      <c r="H405" s="64"/>
      <c r="J405" s="24"/>
      <c r="Q405" s="19"/>
      <c r="R405" s="19"/>
      <c r="Z405" s="38"/>
    </row>
    <row r="406" spans="8:26">
      <c r="H406" s="64"/>
      <c r="J406" s="24"/>
      <c r="Q406" s="19"/>
      <c r="R406" s="19"/>
      <c r="Z406" s="38"/>
    </row>
    <row r="407" spans="8:26">
      <c r="H407" s="64"/>
      <c r="J407" s="24"/>
      <c r="Q407" s="19"/>
      <c r="R407" s="19"/>
      <c r="Z407" s="38"/>
    </row>
    <row r="408" spans="8:26">
      <c r="H408" s="64"/>
      <c r="J408" s="24"/>
      <c r="Q408" s="19"/>
      <c r="R408" s="19"/>
      <c r="Z408" s="38"/>
    </row>
    <row r="409" spans="8:26">
      <c r="H409" s="64"/>
      <c r="J409" s="24"/>
      <c r="Q409" s="19"/>
      <c r="R409" s="19"/>
      <c r="Z409" s="38"/>
    </row>
    <row r="410" spans="8:26">
      <c r="H410" s="64"/>
      <c r="J410" s="24"/>
      <c r="Q410" s="19"/>
      <c r="R410" s="19"/>
      <c r="Z410" s="38"/>
    </row>
    <row r="411" spans="8:26">
      <c r="H411" s="64"/>
      <c r="J411" s="24"/>
      <c r="Q411" s="19"/>
      <c r="R411" s="19"/>
      <c r="Z411" s="38"/>
    </row>
    <row r="412" spans="8:26">
      <c r="H412" s="64"/>
      <c r="J412" s="24"/>
      <c r="Q412" s="19"/>
      <c r="R412" s="19"/>
      <c r="Z412" s="38"/>
    </row>
    <row r="413" spans="8:26">
      <c r="H413" s="64"/>
      <c r="J413" s="24"/>
      <c r="Q413" s="19"/>
      <c r="R413" s="19"/>
      <c r="Z413" s="38"/>
    </row>
    <row r="414" spans="8:26">
      <c r="H414" s="64"/>
      <c r="J414" s="24"/>
      <c r="Q414" s="19"/>
      <c r="R414" s="19"/>
      <c r="Z414" s="38"/>
    </row>
    <row r="415" spans="8:26">
      <c r="H415" s="64"/>
      <c r="J415" s="24"/>
      <c r="Q415" s="19"/>
      <c r="R415" s="19"/>
      <c r="Z415" s="38"/>
    </row>
    <row r="416" spans="8:26">
      <c r="H416" s="64"/>
      <c r="J416" s="24"/>
      <c r="Q416" s="19"/>
      <c r="R416" s="19"/>
      <c r="Z416" s="38"/>
    </row>
    <row r="417" spans="8:26">
      <c r="H417" s="64"/>
      <c r="J417" s="24"/>
      <c r="Q417" s="19"/>
      <c r="R417" s="19"/>
      <c r="Z417" s="38"/>
    </row>
    <row r="418" spans="8:26">
      <c r="H418" s="64"/>
      <c r="J418" s="24"/>
      <c r="Q418" s="19"/>
      <c r="R418" s="19"/>
      <c r="Z418" s="38"/>
    </row>
    <row r="419" spans="8:26">
      <c r="H419" s="64"/>
      <c r="J419" s="24"/>
      <c r="Q419" s="19"/>
      <c r="R419" s="19"/>
      <c r="Z419" s="38"/>
    </row>
    <row r="420" spans="8:26">
      <c r="H420" s="64"/>
      <c r="J420" s="24"/>
      <c r="Q420" s="19"/>
      <c r="R420" s="19"/>
      <c r="Z420" s="38"/>
    </row>
    <row r="421" spans="8:26">
      <c r="H421" s="64"/>
      <c r="J421" s="24"/>
      <c r="Q421" s="19"/>
      <c r="R421" s="19"/>
      <c r="Z421" s="38"/>
    </row>
    <row r="422" spans="8:26">
      <c r="H422" s="64"/>
      <c r="J422" s="24"/>
      <c r="Q422" s="19"/>
      <c r="R422" s="19"/>
      <c r="Z422" s="38"/>
    </row>
    <row r="423" spans="8:26">
      <c r="H423" s="64"/>
      <c r="J423" s="24"/>
      <c r="Q423" s="19"/>
      <c r="R423" s="19"/>
      <c r="Z423" s="38"/>
    </row>
    <row r="424" spans="8:26">
      <c r="H424" s="64"/>
      <c r="J424" s="24"/>
      <c r="Q424" s="19"/>
      <c r="R424" s="19"/>
      <c r="Z424" s="38"/>
    </row>
    <row r="425" spans="8:26">
      <c r="H425" s="64"/>
      <c r="J425" s="24"/>
      <c r="Q425" s="19"/>
      <c r="R425" s="19"/>
      <c r="Z425" s="38"/>
    </row>
    <row r="426" spans="8:26">
      <c r="H426" s="64"/>
      <c r="J426" s="24"/>
      <c r="Q426" s="19"/>
      <c r="R426" s="19"/>
      <c r="Z426" s="38"/>
    </row>
    <row r="427" spans="8:26">
      <c r="H427" s="64"/>
      <c r="J427" s="24"/>
      <c r="Q427" s="19"/>
      <c r="R427" s="19"/>
      <c r="Z427" s="38"/>
    </row>
    <row r="428" spans="8:26">
      <c r="H428" s="64"/>
      <c r="I428" s="24"/>
      <c r="J428" s="24"/>
      <c r="Q428" s="19"/>
      <c r="R428" s="19"/>
      <c r="Z428" s="38"/>
    </row>
    <row r="429" spans="8:26">
      <c r="H429" s="64"/>
      <c r="J429" s="24"/>
      <c r="Q429" s="19"/>
      <c r="R429" s="19"/>
      <c r="Z429" s="38"/>
    </row>
    <row r="430" spans="8:26">
      <c r="H430" s="64"/>
      <c r="I430" s="24"/>
      <c r="J430" s="24"/>
      <c r="Q430" s="19"/>
      <c r="R430" s="19"/>
      <c r="Z430" s="38"/>
    </row>
    <row r="431" spans="8:26">
      <c r="H431" s="64"/>
      <c r="I431" s="24"/>
      <c r="J431" s="24"/>
      <c r="Q431" s="19"/>
      <c r="R431" s="19"/>
      <c r="Z431" s="38"/>
    </row>
    <row r="432" spans="8:26">
      <c r="H432" s="64"/>
      <c r="I432" s="24"/>
      <c r="J432" s="24"/>
      <c r="Q432" s="19"/>
      <c r="R432" s="19"/>
      <c r="Z432" s="38"/>
    </row>
    <row r="433" spans="8:26">
      <c r="H433" s="64"/>
      <c r="I433" s="24"/>
      <c r="J433" s="24"/>
      <c r="Q433" s="19"/>
      <c r="R433" s="19"/>
      <c r="Z433" s="38"/>
    </row>
    <row r="434" spans="8:26">
      <c r="H434" s="64"/>
      <c r="J434" s="24"/>
      <c r="Q434" s="19"/>
      <c r="R434" s="19"/>
      <c r="Z434" s="38"/>
    </row>
    <row r="435" spans="8:26">
      <c r="H435" s="64"/>
      <c r="J435" s="24"/>
      <c r="Q435" s="19"/>
      <c r="R435" s="19"/>
      <c r="Z435" s="38"/>
    </row>
    <row r="436" spans="8:26">
      <c r="H436" s="64"/>
      <c r="J436" s="24"/>
      <c r="Q436" s="19"/>
      <c r="R436" s="19"/>
      <c r="Z436" s="38"/>
    </row>
    <row r="437" spans="8:26">
      <c r="H437" s="64"/>
      <c r="J437" s="24"/>
      <c r="Q437" s="19"/>
      <c r="R437" s="19"/>
      <c r="Z437" s="38"/>
    </row>
    <row r="438" spans="8:26">
      <c r="H438" s="64"/>
      <c r="J438" s="24"/>
      <c r="Q438" s="19"/>
      <c r="R438" s="19"/>
      <c r="Z438" s="38"/>
    </row>
    <row r="439" spans="8:26">
      <c r="H439" s="64"/>
      <c r="J439" s="24"/>
      <c r="Q439" s="19"/>
      <c r="R439" s="19"/>
      <c r="Z439" s="38"/>
    </row>
    <row r="440" spans="8:26">
      <c r="H440" s="64"/>
      <c r="J440" s="24"/>
      <c r="Q440" s="19"/>
      <c r="R440" s="19"/>
      <c r="Z440" s="38"/>
    </row>
    <row r="441" spans="8:26">
      <c r="H441" s="64"/>
      <c r="J441" s="24"/>
      <c r="Q441" s="19"/>
      <c r="R441" s="19"/>
      <c r="Z441" s="38"/>
    </row>
    <row r="442" spans="8:26">
      <c r="H442" s="64"/>
      <c r="J442" s="24"/>
      <c r="Q442" s="19"/>
      <c r="R442" s="19"/>
      <c r="Z442" s="38"/>
    </row>
    <row r="443" spans="8:26">
      <c r="H443" s="64"/>
      <c r="J443" s="24"/>
      <c r="Q443" s="19"/>
      <c r="R443" s="19"/>
      <c r="Z443" s="38"/>
    </row>
    <row r="444" spans="8:26">
      <c r="H444" s="64"/>
      <c r="J444" s="24"/>
      <c r="Q444" s="19"/>
      <c r="R444" s="19"/>
      <c r="Z444" s="38"/>
    </row>
    <row r="445" spans="8:26">
      <c r="H445" s="64"/>
      <c r="J445" s="24"/>
      <c r="Q445" s="19"/>
      <c r="R445" s="19"/>
      <c r="Z445" s="38"/>
    </row>
    <row r="446" spans="8:26">
      <c r="H446" s="64"/>
      <c r="J446" s="24"/>
      <c r="Q446" s="19"/>
      <c r="R446" s="19"/>
      <c r="Z446" s="38"/>
    </row>
    <row r="447" spans="8:26">
      <c r="H447" s="64"/>
      <c r="J447" s="24"/>
      <c r="Q447" s="19"/>
      <c r="R447" s="19"/>
      <c r="Z447" s="38"/>
    </row>
    <row r="448" spans="8:26">
      <c r="H448" s="64"/>
      <c r="J448" s="24"/>
      <c r="Q448" s="19"/>
      <c r="R448" s="19"/>
      <c r="Z448" s="38"/>
    </row>
    <row r="449" spans="8:26">
      <c r="H449" s="64"/>
      <c r="J449" s="24"/>
      <c r="Q449" s="19"/>
      <c r="R449" s="19"/>
      <c r="Z449" s="38"/>
    </row>
    <row r="450" spans="8:26">
      <c r="H450" s="64"/>
      <c r="J450" s="24"/>
      <c r="Q450" s="19"/>
      <c r="R450" s="19"/>
      <c r="Z450" s="38"/>
    </row>
    <row r="451" spans="8:26">
      <c r="H451" s="64"/>
      <c r="J451" s="24"/>
      <c r="Q451" s="19"/>
      <c r="R451" s="19"/>
      <c r="Z451" s="38"/>
    </row>
    <row r="452" spans="8:26">
      <c r="H452" s="64"/>
      <c r="J452" s="24"/>
      <c r="Q452" s="19"/>
      <c r="R452" s="19"/>
      <c r="Z452" s="38"/>
    </row>
    <row r="453" spans="8:26">
      <c r="H453" s="64"/>
      <c r="J453" s="24"/>
      <c r="Q453" s="19"/>
      <c r="R453" s="19"/>
      <c r="Z453" s="38"/>
    </row>
    <row r="454" spans="8:26">
      <c r="H454" s="64"/>
      <c r="J454" s="24"/>
      <c r="Q454" s="19"/>
      <c r="R454" s="19"/>
      <c r="Z454" s="38"/>
    </row>
    <row r="455" spans="8:26">
      <c r="H455" s="64"/>
      <c r="J455" s="24"/>
      <c r="Q455" s="19"/>
      <c r="R455" s="19"/>
      <c r="Z455" s="38"/>
    </row>
    <row r="456" spans="8:26">
      <c r="H456" s="64"/>
      <c r="J456" s="24"/>
      <c r="Q456" s="19"/>
      <c r="R456" s="19"/>
      <c r="Z456" s="38"/>
    </row>
    <row r="457" spans="8:26">
      <c r="H457" s="64"/>
      <c r="J457" s="24"/>
      <c r="Q457" s="19"/>
      <c r="R457" s="19"/>
      <c r="Z457" s="38"/>
    </row>
    <row r="458" spans="8:26">
      <c r="H458" s="64"/>
      <c r="J458" s="24"/>
      <c r="Q458" s="19"/>
      <c r="R458" s="19"/>
      <c r="Z458" s="38"/>
    </row>
    <row r="459" spans="8:26">
      <c r="H459" s="64"/>
      <c r="J459" s="24"/>
      <c r="Q459" s="19"/>
      <c r="R459" s="19"/>
      <c r="Z459" s="38"/>
    </row>
    <row r="460" spans="8:26">
      <c r="H460" s="64"/>
      <c r="J460" s="24"/>
      <c r="Q460" s="19"/>
      <c r="R460" s="19"/>
      <c r="Z460" s="38"/>
    </row>
    <row r="461" spans="8:26">
      <c r="H461" s="64"/>
      <c r="J461" s="24"/>
      <c r="Q461" s="19"/>
      <c r="R461" s="19"/>
      <c r="Z461" s="38"/>
    </row>
    <row r="462" spans="8:26">
      <c r="H462" s="64"/>
      <c r="J462" s="24"/>
      <c r="Q462" s="19"/>
      <c r="R462" s="19"/>
      <c r="Z462" s="38"/>
    </row>
    <row r="463" spans="8:26">
      <c r="H463" s="64"/>
      <c r="J463" s="24"/>
      <c r="Q463" s="19"/>
      <c r="R463" s="19"/>
      <c r="Z463" s="38"/>
    </row>
    <row r="464" spans="8:26">
      <c r="H464" s="64"/>
      <c r="J464" s="24"/>
      <c r="Q464" s="19"/>
      <c r="R464" s="19"/>
      <c r="Z464" s="38"/>
    </row>
    <row r="465" spans="8:26">
      <c r="H465" s="64"/>
      <c r="J465" s="24"/>
      <c r="Q465" s="19"/>
      <c r="R465" s="19"/>
      <c r="Z465" s="38"/>
    </row>
    <row r="466" spans="8:26">
      <c r="H466" s="64"/>
      <c r="J466" s="24"/>
      <c r="Q466" s="19"/>
      <c r="R466" s="19"/>
      <c r="Z466" s="38"/>
    </row>
    <row r="467" spans="8:26">
      <c r="H467" s="64"/>
      <c r="J467" s="24"/>
      <c r="Q467" s="19"/>
      <c r="R467" s="19"/>
      <c r="Z467" s="38"/>
    </row>
    <row r="468" spans="8:26">
      <c r="H468" s="64"/>
      <c r="J468" s="24"/>
      <c r="Q468" s="19"/>
      <c r="R468" s="19"/>
      <c r="Z468" s="38"/>
    </row>
    <row r="469" spans="8:26">
      <c r="H469" s="64"/>
      <c r="J469" s="24"/>
      <c r="Q469" s="19"/>
      <c r="R469" s="19"/>
      <c r="Z469" s="38"/>
    </row>
    <row r="470" spans="8:26">
      <c r="H470" s="64"/>
      <c r="J470" s="24"/>
      <c r="Q470" s="19"/>
      <c r="R470" s="19"/>
      <c r="Z470" s="38"/>
    </row>
    <row r="471" spans="8:26">
      <c r="H471" s="64"/>
      <c r="J471" s="24"/>
      <c r="Q471" s="19"/>
      <c r="R471" s="19"/>
      <c r="Z471" s="38"/>
    </row>
    <row r="472" spans="8:26">
      <c r="H472" s="64"/>
      <c r="J472" s="24"/>
      <c r="Q472" s="19"/>
      <c r="R472" s="19"/>
      <c r="Z472" s="38"/>
    </row>
    <row r="473" spans="8:26">
      <c r="H473" s="64"/>
      <c r="J473" s="24"/>
      <c r="Q473" s="19"/>
      <c r="R473" s="19"/>
      <c r="Z473" s="38"/>
    </row>
    <row r="474" spans="8:26">
      <c r="H474" s="64"/>
      <c r="J474" s="24"/>
      <c r="Q474" s="19"/>
      <c r="R474" s="19"/>
      <c r="Z474" s="38"/>
    </row>
    <row r="475" spans="8:26">
      <c r="H475" s="64"/>
      <c r="J475" s="24"/>
      <c r="Q475" s="19"/>
      <c r="R475" s="19"/>
      <c r="Z475" s="38"/>
    </row>
    <row r="476" spans="8:26">
      <c r="H476" s="64"/>
      <c r="J476" s="24"/>
      <c r="Q476" s="19"/>
      <c r="R476" s="19"/>
      <c r="Z476" s="38"/>
    </row>
    <row r="477" spans="8:26">
      <c r="H477" s="64"/>
      <c r="J477" s="24"/>
      <c r="Q477" s="19"/>
      <c r="R477" s="19"/>
      <c r="Z477" s="38"/>
    </row>
    <row r="478" spans="8:26">
      <c r="H478" s="64"/>
      <c r="J478" s="24"/>
      <c r="Q478" s="19"/>
      <c r="R478" s="19"/>
      <c r="Z478" s="38"/>
    </row>
    <row r="479" spans="8:26">
      <c r="H479" s="64"/>
      <c r="J479" s="24"/>
      <c r="Q479" s="19"/>
      <c r="R479" s="19"/>
      <c r="Z479" s="38"/>
    </row>
    <row r="480" spans="8:26">
      <c r="H480" s="64"/>
      <c r="J480" s="24"/>
      <c r="Q480" s="19"/>
      <c r="R480" s="19"/>
      <c r="Z480" s="38"/>
    </row>
    <row r="481" spans="8:26">
      <c r="H481" s="64"/>
      <c r="J481" s="24"/>
      <c r="Q481" s="19"/>
      <c r="R481" s="19"/>
      <c r="Z481" s="38"/>
    </row>
    <row r="482" spans="8:26">
      <c r="H482" s="64"/>
      <c r="J482" s="24"/>
      <c r="Q482" s="19"/>
      <c r="R482" s="19"/>
      <c r="Z482" s="38"/>
    </row>
    <row r="483" spans="8:26">
      <c r="H483" s="64"/>
      <c r="J483" s="24"/>
      <c r="Q483" s="19"/>
      <c r="R483" s="19"/>
      <c r="Z483" s="38"/>
    </row>
    <row r="484" spans="8:26">
      <c r="H484" s="64"/>
      <c r="J484" s="24"/>
      <c r="Q484" s="19"/>
      <c r="R484" s="19"/>
      <c r="Z484" s="38"/>
    </row>
    <row r="485" spans="8:26">
      <c r="H485" s="64"/>
      <c r="J485" s="24"/>
      <c r="Q485" s="19"/>
      <c r="R485" s="19"/>
      <c r="Z485" s="38"/>
    </row>
    <row r="486" spans="8:26">
      <c r="H486" s="64"/>
      <c r="J486" s="24"/>
      <c r="Q486" s="19"/>
      <c r="R486" s="19"/>
      <c r="Z486" s="38"/>
    </row>
    <row r="487" spans="8:26">
      <c r="H487" s="64"/>
      <c r="J487" s="24"/>
      <c r="Q487" s="19"/>
      <c r="R487" s="19"/>
      <c r="Z487" s="38"/>
    </row>
    <row r="488" spans="8:26">
      <c r="H488" s="64"/>
      <c r="J488" s="24"/>
      <c r="Q488" s="19"/>
      <c r="R488" s="19"/>
      <c r="Z488" s="38"/>
    </row>
    <row r="489" spans="8:26">
      <c r="H489" s="64"/>
      <c r="J489" s="24"/>
      <c r="Q489" s="19"/>
      <c r="R489" s="19"/>
      <c r="Z489" s="38"/>
    </row>
    <row r="490" spans="8:26">
      <c r="H490" s="64"/>
      <c r="J490" s="24"/>
      <c r="Q490" s="19"/>
      <c r="R490" s="19"/>
      <c r="Z490" s="38"/>
    </row>
    <row r="491" spans="8:26">
      <c r="H491" s="64"/>
      <c r="J491" s="24"/>
      <c r="Q491" s="19"/>
      <c r="R491" s="19"/>
      <c r="Z491" s="38"/>
    </row>
    <row r="492" spans="8:26">
      <c r="H492" s="64"/>
      <c r="J492" s="24"/>
      <c r="Q492" s="19"/>
      <c r="R492" s="19"/>
      <c r="Z492" s="38"/>
    </row>
    <row r="493" spans="8:26">
      <c r="H493" s="64"/>
      <c r="J493" s="24"/>
      <c r="Q493" s="19"/>
      <c r="R493" s="19"/>
      <c r="Z493" s="38"/>
    </row>
    <row r="494" spans="8:26">
      <c r="H494" s="64"/>
      <c r="J494" s="24"/>
      <c r="Q494" s="19"/>
      <c r="R494" s="19"/>
      <c r="Z494" s="38"/>
    </row>
    <row r="495" spans="8:26">
      <c r="H495" s="64"/>
      <c r="J495" s="24"/>
      <c r="Q495" s="19"/>
      <c r="R495" s="19"/>
      <c r="Z495" s="38"/>
    </row>
    <row r="496" spans="8:26">
      <c r="H496" s="64"/>
      <c r="J496" s="24"/>
      <c r="Q496" s="19"/>
      <c r="R496" s="19"/>
      <c r="Z496" s="38"/>
    </row>
    <row r="497" spans="8:26">
      <c r="H497" s="64"/>
      <c r="J497" s="24"/>
      <c r="Q497" s="19"/>
      <c r="R497" s="19"/>
      <c r="Z497" s="38"/>
    </row>
    <row r="498" spans="8:26">
      <c r="H498" s="64"/>
      <c r="J498" s="24"/>
      <c r="Q498" s="19"/>
      <c r="R498" s="19"/>
      <c r="Z498" s="38"/>
    </row>
    <row r="499" spans="8:26">
      <c r="H499" s="64"/>
      <c r="J499" s="24"/>
      <c r="Q499" s="19"/>
      <c r="R499" s="19"/>
      <c r="Z499" s="38"/>
    </row>
    <row r="500" spans="8:26">
      <c r="H500" s="64"/>
      <c r="J500" s="24"/>
      <c r="Q500" s="19"/>
      <c r="R500" s="19"/>
      <c r="Z500" s="38"/>
    </row>
    <row r="501" spans="8:26">
      <c r="H501" s="64"/>
      <c r="J501" s="24"/>
      <c r="Q501" s="19"/>
      <c r="R501" s="19"/>
      <c r="Z501" s="38"/>
    </row>
    <row r="502" spans="8:26">
      <c r="H502" s="64"/>
      <c r="J502" s="24"/>
      <c r="Q502" s="19"/>
      <c r="R502" s="19"/>
      <c r="Z502" s="38"/>
    </row>
    <row r="503" spans="8:26">
      <c r="H503" s="64"/>
      <c r="J503" s="24"/>
      <c r="Q503" s="19"/>
      <c r="R503" s="19"/>
      <c r="Z503" s="38"/>
    </row>
    <row r="504" spans="8:26">
      <c r="H504" s="64"/>
      <c r="J504" s="24"/>
      <c r="Q504" s="19"/>
      <c r="R504" s="19"/>
      <c r="Z504" s="38"/>
    </row>
    <row r="505" spans="8:26">
      <c r="H505" s="64"/>
      <c r="J505" s="24"/>
      <c r="Q505" s="19"/>
      <c r="R505" s="19"/>
      <c r="Z505" s="38"/>
    </row>
    <row r="506" spans="8:26">
      <c r="H506" s="64"/>
      <c r="J506" s="24"/>
      <c r="Q506" s="19"/>
      <c r="R506" s="19"/>
      <c r="Z506" s="38"/>
    </row>
    <row r="507" spans="8:26">
      <c r="H507" s="64"/>
      <c r="J507" s="24"/>
      <c r="Q507" s="19"/>
      <c r="R507" s="19"/>
      <c r="Z507" s="38"/>
    </row>
    <row r="508" spans="8:26">
      <c r="H508" s="64"/>
      <c r="J508" s="24"/>
      <c r="Q508" s="19"/>
      <c r="R508" s="19"/>
      <c r="Z508" s="38"/>
    </row>
    <row r="509" spans="8:26">
      <c r="H509" s="64"/>
      <c r="J509" s="24"/>
      <c r="Q509" s="19"/>
      <c r="R509" s="19"/>
      <c r="Z509" s="38"/>
    </row>
    <row r="510" spans="8:26">
      <c r="H510" s="64"/>
      <c r="J510" s="24"/>
      <c r="Q510" s="19"/>
      <c r="R510" s="19"/>
      <c r="Z510" s="38"/>
    </row>
    <row r="511" spans="8:26">
      <c r="H511" s="64"/>
      <c r="J511" s="24"/>
      <c r="Q511" s="19"/>
      <c r="R511" s="19"/>
      <c r="Z511" s="38"/>
    </row>
    <row r="512" spans="8:26">
      <c r="H512" s="64"/>
      <c r="J512" s="24"/>
      <c r="Q512" s="19"/>
      <c r="R512" s="19"/>
      <c r="Z512" s="38"/>
    </row>
    <row r="513" spans="8:26">
      <c r="H513" s="64"/>
      <c r="J513" s="24"/>
      <c r="Q513" s="19"/>
      <c r="R513" s="19"/>
      <c r="Z513" s="38"/>
    </row>
    <row r="514" spans="8:26">
      <c r="H514" s="64"/>
      <c r="J514" s="24"/>
      <c r="Q514" s="19"/>
      <c r="R514" s="19"/>
      <c r="Z514" s="38"/>
    </row>
    <row r="515" spans="8:26">
      <c r="H515" s="64"/>
      <c r="J515" s="24"/>
      <c r="Q515" s="19"/>
      <c r="R515" s="19"/>
      <c r="Z515" s="38"/>
    </row>
    <row r="516" spans="8:26">
      <c r="H516" s="64"/>
      <c r="J516" s="24"/>
      <c r="Q516" s="19"/>
      <c r="R516" s="19"/>
      <c r="Z516" s="38"/>
    </row>
    <row r="517" spans="8:26">
      <c r="H517" s="64"/>
      <c r="J517" s="24"/>
      <c r="Q517" s="19"/>
      <c r="R517" s="19"/>
      <c r="Z517" s="38"/>
    </row>
    <row r="518" spans="8:26">
      <c r="H518" s="64"/>
      <c r="J518" s="24"/>
      <c r="Q518" s="19"/>
      <c r="R518" s="19"/>
      <c r="Z518" s="38"/>
    </row>
    <row r="519" spans="8:26">
      <c r="H519" s="64"/>
      <c r="J519" s="24"/>
      <c r="Q519" s="19"/>
      <c r="R519" s="19"/>
      <c r="Z519" s="38"/>
    </row>
    <row r="520" spans="8:26">
      <c r="H520" s="64"/>
      <c r="J520" s="24"/>
      <c r="Q520" s="19"/>
      <c r="R520" s="19"/>
      <c r="Z520" s="38"/>
    </row>
    <row r="521" spans="8:26">
      <c r="H521" s="64"/>
      <c r="J521" s="24"/>
      <c r="Q521" s="19"/>
      <c r="R521" s="19"/>
      <c r="Z521" s="38"/>
    </row>
    <row r="522" spans="8:26">
      <c r="H522" s="64"/>
      <c r="J522" s="24"/>
      <c r="Q522" s="19"/>
      <c r="R522" s="19"/>
      <c r="Z522" s="38"/>
    </row>
    <row r="523" spans="8:26">
      <c r="H523" s="64"/>
      <c r="J523" s="24"/>
      <c r="Q523" s="19"/>
      <c r="R523" s="19"/>
      <c r="Z523" s="38"/>
    </row>
    <row r="524" spans="8:26">
      <c r="H524" s="64"/>
      <c r="J524" s="24"/>
      <c r="Q524" s="19"/>
      <c r="R524" s="19"/>
      <c r="Z524" s="38"/>
    </row>
    <row r="525" spans="8:26">
      <c r="H525" s="64"/>
      <c r="J525" s="24"/>
      <c r="Q525" s="19"/>
      <c r="R525" s="19"/>
      <c r="Z525" s="38"/>
    </row>
    <row r="526" spans="8:26">
      <c r="H526" s="64"/>
      <c r="J526" s="24"/>
      <c r="Q526" s="19"/>
      <c r="R526" s="19"/>
      <c r="Z526" s="38"/>
    </row>
    <row r="527" spans="8:26">
      <c r="H527" s="64"/>
      <c r="J527" s="24"/>
      <c r="Q527" s="19"/>
      <c r="R527" s="19"/>
      <c r="Z527" s="38"/>
    </row>
    <row r="528" spans="8:26">
      <c r="H528" s="64"/>
      <c r="J528" s="24"/>
      <c r="Q528" s="19"/>
      <c r="R528" s="19"/>
      <c r="Z528" s="38"/>
    </row>
    <row r="529" spans="8:26">
      <c r="H529" s="64"/>
      <c r="J529" s="24"/>
      <c r="Q529" s="19"/>
      <c r="R529" s="19"/>
      <c r="Z529" s="38"/>
    </row>
    <row r="530" spans="8:26">
      <c r="H530" s="64"/>
      <c r="J530" s="24"/>
      <c r="Q530" s="19"/>
      <c r="R530" s="19"/>
      <c r="Z530" s="38"/>
    </row>
    <row r="531" spans="8:26">
      <c r="H531" s="64"/>
      <c r="J531" s="24"/>
      <c r="Q531" s="19"/>
      <c r="R531" s="19"/>
      <c r="Z531" s="38"/>
    </row>
    <row r="532" spans="8:26">
      <c r="H532" s="64"/>
      <c r="J532" s="24"/>
      <c r="Q532" s="19"/>
      <c r="R532" s="19"/>
      <c r="Z532" s="38"/>
    </row>
    <row r="533" spans="8:26">
      <c r="H533" s="64"/>
      <c r="J533" s="24"/>
      <c r="Q533" s="19"/>
      <c r="R533" s="19"/>
      <c r="Z533" s="38"/>
    </row>
    <row r="534" spans="8:26">
      <c r="H534" s="64"/>
      <c r="J534" s="24"/>
      <c r="Q534" s="19"/>
      <c r="R534" s="19"/>
      <c r="Z534" s="38"/>
    </row>
    <row r="535" spans="8:26">
      <c r="H535" s="64"/>
      <c r="J535" s="24"/>
      <c r="Q535" s="19"/>
      <c r="R535" s="19"/>
      <c r="Z535" s="38"/>
    </row>
    <row r="536" spans="8:26">
      <c r="H536" s="64"/>
      <c r="J536" s="24"/>
      <c r="Q536" s="19"/>
      <c r="R536" s="19"/>
      <c r="Z536" s="38"/>
    </row>
    <row r="537" spans="8:26">
      <c r="H537" s="64"/>
      <c r="J537" s="24"/>
      <c r="Q537" s="19"/>
      <c r="R537" s="19"/>
      <c r="Z537" s="38"/>
    </row>
    <row r="538" spans="8:26">
      <c r="H538" s="64"/>
      <c r="J538" s="24"/>
      <c r="Q538" s="19"/>
      <c r="R538" s="19"/>
      <c r="Z538" s="38"/>
    </row>
    <row r="539" spans="8:26">
      <c r="H539" s="64"/>
      <c r="J539" s="24"/>
      <c r="Q539" s="19"/>
      <c r="R539" s="19"/>
      <c r="Z539" s="38"/>
    </row>
    <row r="540" spans="8:26">
      <c r="H540" s="64"/>
      <c r="J540" s="24"/>
      <c r="Q540" s="19"/>
      <c r="R540" s="19"/>
      <c r="Z540" s="38"/>
    </row>
    <row r="541" spans="8:26">
      <c r="H541" s="64"/>
      <c r="J541" s="24"/>
      <c r="Q541" s="19"/>
      <c r="R541" s="19"/>
      <c r="Z541" s="38"/>
    </row>
    <row r="542" spans="8:26">
      <c r="H542" s="64"/>
      <c r="J542" s="24"/>
      <c r="Q542" s="19"/>
      <c r="R542" s="19"/>
      <c r="Z542" s="38"/>
    </row>
    <row r="543" spans="8:26">
      <c r="H543" s="64"/>
      <c r="J543" s="24"/>
      <c r="Q543" s="19"/>
      <c r="R543" s="19"/>
      <c r="Z543" s="38"/>
    </row>
    <row r="544" spans="8:26">
      <c r="H544" s="64"/>
      <c r="J544" s="24"/>
      <c r="Q544" s="19"/>
      <c r="R544" s="19"/>
      <c r="Z544" s="38"/>
    </row>
    <row r="545" spans="8:26">
      <c r="H545" s="64"/>
      <c r="J545" s="24"/>
      <c r="Q545" s="19"/>
      <c r="R545" s="19"/>
      <c r="Z545" s="38"/>
    </row>
    <row r="546" spans="8:26">
      <c r="H546" s="64"/>
      <c r="J546" s="24"/>
      <c r="Q546" s="19"/>
      <c r="R546" s="19"/>
      <c r="Z546" s="38"/>
    </row>
    <row r="547" spans="8:26">
      <c r="H547" s="64"/>
      <c r="J547" s="24"/>
      <c r="Q547" s="19"/>
      <c r="R547" s="19"/>
      <c r="Z547" s="38"/>
    </row>
    <row r="548" spans="8:26">
      <c r="H548" s="64"/>
      <c r="J548" s="24"/>
      <c r="Q548" s="19"/>
      <c r="R548" s="19"/>
      <c r="Z548" s="38"/>
    </row>
    <row r="549" spans="8:26">
      <c r="H549" s="64"/>
      <c r="J549" s="24"/>
      <c r="Q549" s="19"/>
      <c r="R549" s="19"/>
      <c r="Z549" s="38"/>
    </row>
    <row r="550" spans="8:26">
      <c r="H550" s="64"/>
      <c r="J550" s="24"/>
      <c r="Q550" s="19"/>
      <c r="R550" s="19"/>
      <c r="Z550" s="38"/>
    </row>
    <row r="551" spans="8:26">
      <c r="H551" s="64"/>
      <c r="J551" s="24"/>
      <c r="Q551" s="19"/>
      <c r="R551" s="19"/>
      <c r="Z551" s="38"/>
    </row>
    <row r="552" spans="8:26">
      <c r="H552" s="64"/>
      <c r="J552" s="24"/>
      <c r="Q552" s="19"/>
      <c r="R552" s="19"/>
      <c r="Z552" s="38"/>
    </row>
    <row r="553" spans="8:26">
      <c r="H553" s="64"/>
      <c r="J553" s="24"/>
      <c r="Q553" s="19"/>
      <c r="R553" s="19"/>
      <c r="Z553" s="38"/>
    </row>
    <row r="554" spans="8:26">
      <c r="H554" s="64"/>
      <c r="J554" s="24"/>
      <c r="Q554" s="19"/>
      <c r="R554" s="19"/>
      <c r="Z554" s="38"/>
    </row>
    <row r="555" spans="8:26">
      <c r="H555" s="64"/>
      <c r="J555" s="24"/>
      <c r="Q555" s="19"/>
      <c r="R555" s="19"/>
      <c r="Z555" s="38"/>
    </row>
    <row r="556" spans="8:26">
      <c r="H556" s="64"/>
      <c r="J556" s="24"/>
      <c r="Q556" s="19"/>
      <c r="R556" s="19"/>
      <c r="Z556" s="38"/>
    </row>
    <row r="557" spans="8:26">
      <c r="H557" s="64"/>
      <c r="J557" s="24"/>
      <c r="Q557" s="19"/>
      <c r="R557" s="19"/>
      <c r="Z557" s="38"/>
    </row>
    <row r="558" spans="8:26">
      <c r="H558" s="64"/>
      <c r="J558" s="24"/>
      <c r="Q558" s="19"/>
      <c r="R558" s="19"/>
      <c r="Z558" s="38"/>
    </row>
    <row r="559" spans="8:26">
      <c r="H559" s="64"/>
      <c r="J559" s="24"/>
      <c r="Q559" s="19"/>
      <c r="R559" s="19"/>
      <c r="Z559" s="38"/>
    </row>
    <row r="560" spans="8:26">
      <c r="H560" s="64"/>
      <c r="J560" s="24"/>
      <c r="Q560" s="19"/>
      <c r="R560" s="19"/>
      <c r="Z560" s="38"/>
    </row>
    <row r="561" spans="8:26">
      <c r="H561" s="64"/>
      <c r="J561" s="24"/>
      <c r="Q561" s="19"/>
      <c r="R561" s="19"/>
      <c r="Z561" s="38"/>
    </row>
    <row r="562" spans="8:26">
      <c r="H562" s="64"/>
      <c r="J562" s="24"/>
      <c r="Q562" s="19"/>
      <c r="R562" s="19"/>
      <c r="Z562" s="38"/>
    </row>
    <row r="563" spans="8:26">
      <c r="H563" s="64"/>
      <c r="J563" s="24"/>
      <c r="Q563" s="19"/>
      <c r="R563" s="19"/>
      <c r="Z563" s="38"/>
    </row>
    <row r="564" spans="8:26">
      <c r="H564" s="64"/>
      <c r="J564" s="24"/>
      <c r="Q564" s="19"/>
      <c r="R564" s="19"/>
      <c r="Z564" s="38"/>
    </row>
    <row r="565" spans="8:26">
      <c r="H565" s="64"/>
      <c r="J565" s="24"/>
      <c r="Q565" s="19"/>
      <c r="R565" s="19"/>
      <c r="Z565" s="38"/>
    </row>
    <row r="566" spans="8:26">
      <c r="H566" s="64"/>
      <c r="J566" s="24"/>
      <c r="Q566" s="19"/>
      <c r="R566" s="19"/>
      <c r="Z566" s="38"/>
    </row>
    <row r="567" spans="8:26">
      <c r="H567" s="64"/>
      <c r="J567" s="24"/>
      <c r="Q567" s="19"/>
      <c r="R567" s="19"/>
      <c r="Z567" s="38"/>
    </row>
    <row r="568" spans="8:26">
      <c r="H568" s="64"/>
      <c r="J568" s="24"/>
      <c r="Q568" s="19"/>
      <c r="R568" s="19"/>
      <c r="Z568" s="38"/>
    </row>
    <row r="569" spans="8:26">
      <c r="H569" s="64"/>
      <c r="J569" s="24"/>
      <c r="Q569" s="19"/>
      <c r="R569" s="19"/>
      <c r="Z569" s="38"/>
    </row>
    <row r="570" spans="8:26">
      <c r="H570" s="64"/>
      <c r="J570" s="24"/>
      <c r="Q570" s="19"/>
      <c r="R570" s="19"/>
      <c r="Z570" s="38"/>
    </row>
    <row r="571" spans="8:26">
      <c r="H571" s="64"/>
      <c r="J571" s="24"/>
      <c r="Q571" s="19"/>
      <c r="R571" s="19"/>
      <c r="Z571" s="38"/>
    </row>
    <row r="572" spans="8:26">
      <c r="H572" s="64"/>
      <c r="J572" s="24"/>
      <c r="Q572" s="19"/>
      <c r="R572" s="19"/>
      <c r="Z572" s="38"/>
    </row>
    <row r="573" spans="8:26">
      <c r="H573" s="64"/>
      <c r="J573" s="24"/>
      <c r="Q573" s="19"/>
      <c r="R573" s="19"/>
      <c r="Z573" s="38"/>
    </row>
    <row r="574" spans="8:26">
      <c r="H574" s="64"/>
      <c r="J574" s="24"/>
      <c r="Q574" s="19"/>
      <c r="R574" s="19"/>
      <c r="Z574" s="38"/>
    </row>
    <row r="575" spans="8:26">
      <c r="H575" s="64"/>
      <c r="J575" s="24"/>
      <c r="Q575" s="19"/>
      <c r="R575" s="19"/>
      <c r="Z575" s="38"/>
    </row>
    <row r="576" spans="8:26">
      <c r="H576" s="64"/>
      <c r="J576" s="24"/>
      <c r="Q576" s="19"/>
      <c r="R576" s="19"/>
      <c r="Z576" s="38"/>
    </row>
    <row r="577" spans="8:26">
      <c r="H577" s="64"/>
      <c r="J577" s="24"/>
      <c r="Q577" s="19"/>
      <c r="R577" s="19"/>
      <c r="Z577" s="38"/>
    </row>
    <row r="578" spans="8:26">
      <c r="H578" s="64"/>
      <c r="J578" s="24"/>
      <c r="Q578" s="19"/>
      <c r="R578" s="19"/>
      <c r="Z578" s="38"/>
    </row>
    <row r="579" spans="8:26">
      <c r="H579" s="64"/>
      <c r="J579" s="24"/>
      <c r="Q579" s="19"/>
      <c r="R579" s="19"/>
      <c r="Z579" s="38"/>
    </row>
    <row r="580" spans="8:26">
      <c r="H580" s="64"/>
      <c r="J580" s="24"/>
      <c r="Q580" s="19"/>
      <c r="R580" s="19"/>
      <c r="Z580" s="38"/>
    </row>
    <row r="581" spans="8:26">
      <c r="H581" s="64"/>
      <c r="J581" s="24"/>
      <c r="Q581" s="19"/>
      <c r="R581" s="19"/>
      <c r="Z581" s="38"/>
    </row>
    <row r="582" spans="8:26">
      <c r="H582" s="64"/>
      <c r="J582" s="24"/>
      <c r="Q582" s="19"/>
      <c r="R582" s="19"/>
      <c r="Z582" s="38"/>
    </row>
    <row r="583" spans="8:26">
      <c r="H583" s="64"/>
      <c r="J583" s="24"/>
      <c r="Q583" s="19"/>
      <c r="R583" s="19"/>
      <c r="Z583" s="38"/>
    </row>
    <row r="584" spans="8:26">
      <c r="H584" s="64"/>
      <c r="J584" s="24"/>
      <c r="Q584" s="19"/>
      <c r="R584" s="19"/>
      <c r="Z584" s="38"/>
    </row>
    <row r="585" spans="8:26">
      <c r="H585" s="64"/>
      <c r="J585" s="24"/>
      <c r="Q585" s="19"/>
      <c r="R585" s="19"/>
      <c r="Z585" s="38"/>
    </row>
    <row r="586" spans="8:26">
      <c r="H586" s="64"/>
      <c r="J586" s="24"/>
      <c r="Q586" s="19"/>
      <c r="R586" s="19"/>
      <c r="Z586" s="38"/>
    </row>
    <row r="587" spans="8:26">
      <c r="H587" s="64"/>
      <c r="J587" s="24"/>
      <c r="Q587" s="19"/>
      <c r="R587" s="19"/>
      <c r="Z587" s="38"/>
    </row>
    <row r="588" spans="8:26">
      <c r="H588" s="64"/>
      <c r="J588" s="24"/>
      <c r="Q588" s="19"/>
      <c r="R588" s="19"/>
      <c r="Z588" s="38"/>
    </row>
    <row r="589" spans="8:26">
      <c r="H589" s="64"/>
      <c r="J589" s="24"/>
      <c r="Q589" s="19"/>
      <c r="R589" s="19"/>
      <c r="Z589" s="38"/>
    </row>
    <row r="590" spans="8:26">
      <c r="H590" s="64"/>
      <c r="J590" s="24"/>
      <c r="Q590" s="19"/>
      <c r="R590" s="19"/>
      <c r="Z590" s="38"/>
    </row>
    <row r="591" spans="8:26">
      <c r="H591" s="64"/>
      <c r="J591" s="24"/>
      <c r="Q591" s="19"/>
      <c r="R591" s="19"/>
      <c r="Z591" s="38"/>
    </row>
    <row r="592" spans="8:26">
      <c r="H592" s="64"/>
      <c r="J592" s="24"/>
      <c r="Q592" s="19"/>
      <c r="R592" s="19"/>
      <c r="Z592" s="38"/>
    </row>
    <row r="593" spans="8:26">
      <c r="H593" s="64"/>
      <c r="J593" s="24"/>
      <c r="Q593" s="19"/>
      <c r="R593" s="19"/>
      <c r="Z593" s="38"/>
    </row>
    <row r="594" spans="8:26">
      <c r="H594" s="64"/>
      <c r="J594" s="24"/>
      <c r="Q594" s="19"/>
      <c r="R594" s="19"/>
      <c r="Z594" s="38"/>
    </row>
    <row r="595" spans="8:26">
      <c r="H595" s="64"/>
      <c r="J595" s="24"/>
      <c r="Q595" s="19"/>
      <c r="R595" s="19"/>
      <c r="Z595" s="38"/>
    </row>
    <row r="596" spans="8:26">
      <c r="H596" s="64"/>
      <c r="J596" s="24"/>
      <c r="Q596" s="19"/>
      <c r="R596" s="19"/>
      <c r="Z596" s="38"/>
    </row>
    <row r="597" spans="8:26">
      <c r="H597" s="64"/>
      <c r="J597" s="24"/>
      <c r="Q597" s="19"/>
      <c r="R597" s="19"/>
      <c r="Z597" s="38"/>
    </row>
    <row r="598" spans="8:26">
      <c r="H598" s="64"/>
      <c r="J598" s="24"/>
      <c r="Q598" s="19"/>
      <c r="R598" s="19"/>
      <c r="Z598" s="38"/>
    </row>
    <row r="599" spans="8:26">
      <c r="H599" s="64"/>
      <c r="J599" s="24"/>
      <c r="Q599" s="19"/>
      <c r="R599" s="19"/>
      <c r="Z599" s="38"/>
    </row>
    <row r="600" spans="8:26">
      <c r="H600" s="64"/>
      <c r="J600" s="24"/>
      <c r="Q600" s="19"/>
      <c r="R600" s="19"/>
      <c r="Z600" s="38"/>
    </row>
    <row r="601" spans="8:26">
      <c r="H601" s="64"/>
      <c r="J601" s="24"/>
      <c r="Q601" s="19"/>
      <c r="R601" s="19"/>
      <c r="Z601" s="38"/>
    </row>
    <row r="602" spans="8:26">
      <c r="H602" s="64"/>
      <c r="J602" s="24"/>
      <c r="Q602" s="19"/>
      <c r="R602" s="19"/>
      <c r="Z602" s="38"/>
    </row>
    <row r="603" spans="8:26">
      <c r="H603" s="64"/>
      <c r="J603" s="24"/>
      <c r="Q603" s="19"/>
      <c r="R603" s="19"/>
      <c r="Z603" s="38"/>
    </row>
    <row r="604" spans="8:26">
      <c r="H604" s="64"/>
      <c r="J604" s="24"/>
      <c r="Q604" s="19"/>
      <c r="R604" s="19"/>
      <c r="Z604" s="38"/>
    </row>
    <row r="605" spans="8:26">
      <c r="H605" s="64"/>
      <c r="J605" s="24"/>
      <c r="Q605" s="19"/>
      <c r="R605" s="19"/>
      <c r="Z605" s="38"/>
    </row>
    <row r="606" spans="8:26">
      <c r="H606" s="64"/>
      <c r="J606" s="24"/>
      <c r="Q606" s="19"/>
      <c r="R606" s="19"/>
      <c r="Z606" s="38"/>
    </row>
    <row r="607" spans="8:26">
      <c r="H607" s="64"/>
      <c r="J607" s="24"/>
      <c r="Q607" s="19"/>
      <c r="R607" s="19"/>
      <c r="Z607" s="38"/>
    </row>
    <row r="608" spans="8:26">
      <c r="H608" s="64"/>
      <c r="J608" s="24"/>
      <c r="Q608" s="19"/>
      <c r="R608" s="19"/>
      <c r="Z608" s="38"/>
    </row>
    <row r="609" spans="8:26">
      <c r="H609" s="64"/>
      <c r="J609" s="24"/>
      <c r="Q609" s="19"/>
      <c r="R609" s="19"/>
      <c r="Z609" s="38"/>
    </row>
    <row r="610" spans="8:26">
      <c r="H610" s="64"/>
      <c r="J610" s="24"/>
      <c r="Q610" s="19"/>
      <c r="R610" s="19"/>
      <c r="Z610" s="38"/>
    </row>
    <row r="611" spans="8:26">
      <c r="H611" s="64"/>
      <c r="J611" s="24"/>
      <c r="Q611" s="19"/>
      <c r="R611" s="19"/>
      <c r="Z611" s="38"/>
    </row>
    <row r="612" spans="8:26">
      <c r="H612" s="64"/>
      <c r="J612" s="24"/>
      <c r="Q612" s="19"/>
      <c r="R612" s="19"/>
      <c r="Z612" s="38"/>
    </row>
    <row r="613" spans="8:26">
      <c r="H613" s="64"/>
      <c r="J613" s="24"/>
      <c r="Q613" s="19"/>
      <c r="R613" s="19"/>
      <c r="Z613" s="38"/>
    </row>
    <row r="614" spans="8:26">
      <c r="H614" s="64"/>
      <c r="J614" s="24"/>
      <c r="Q614" s="19"/>
      <c r="R614" s="19"/>
      <c r="Z614" s="38"/>
    </row>
    <row r="615" spans="8:26">
      <c r="H615" s="64"/>
      <c r="J615" s="24"/>
      <c r="Q615" s="19"/>
      <c r="R615" s="19"/>
      <c r="Z615" s="38"/>
    </row>
    <row r="616" spans="8:26">
      <c r="H616" s="64"/>
      <c r="J616" s="24"/>
      <c r="Q616" s="19"/>
      <c r="R616" s="19"/>
      <c r="Z616" s="38"/>
    </row>
    <row r="617" spans="8:26">
      <c r="H617" s="64"/>
      <c r="J617" s="24"/>
      <c r="Q617" s="19"/>
      <c r="R617" s="19"/>
      <c r="Z617" s="38"/>
    </row>
    <row r="618" spans="8:26">
      <c r="H618" s="64"/>
      <c r="J618" s="24"/>
      <c r="Q618" s="19"/>
      <c r="R618" s="19"/>
      <c r="Z618" s="38"/>
    </row>
    <row r="619" spans="8:26">
      <c r="H619" s="64"/>
      <c r="J619" s="24"/>
      <c r="Q619" s="19"/>
      <c r="R619" s="19"/>
      <c r="Z619" s="38"/>
    </row>
    <row r="620" spans="8:26">
      <c r="H620" s="64"/>
      <c r="J620" s="24"/>
      <c r="Q620" s="19"/>
      <c r="R620" s="19"/>
      <c r="Z620" s="38"/>
    </row>
    <row r="621" spans="8:26">
      <c r="H621" s="64"/>
      <c r="J621" s="24"/>
      <c r="Q621" s="19"/>
      <c r="R621" s="19"/>
      <c r="Z621" s="38"/>
    </row>
    <row r="622" spans="8:26">
      <c r="H622" s="64"/>
      <c r="J622" s="24"/>
      <c r="Q622" s="19"/>
      <c r="R622" s="19"/>
      <c r="Z622" s="38"/>
    </row>
    <row r="623" spans="8:26">
      <c r="H623" s="64"/>
      <c r="J623" s="24"/>
      <c r="Q623" s="19"/>
      <c r="R623" s="19"/>
      <c r="Z623" s="38"/>
    </row>
    <row r="624" spans="8:26">
      <c r="H624" s="64"/>
      <c r="J624" s="24"/>
      <c r="Q624" s="19"/>
      <c r="R624" s="19"/>
      <c r="Z624" s="38"/>
    </row>
    <row r="625" spans="8:26">
      <c r="H625" s="64"/>
      <c r="J625" s="24"/>
      <c r="Q625" s="19"/>
      <c r="R625" s="19"/>
      <c r="Z625" s="38"/>
    </row>
    <row r="626" spans="8:26">
      <c r="H626" s="64"/>
      <c r="J626" s="24"/>
      <c r="Q626" s="19"/>
      <c r="R626" s="19"/>
      <c r="Z626" s="38"/>
    </row>
    <row r="627" spans="8:26">
      <c r="H627" s="64"/>
      <c r="J627" s="24"/>
      <c r="Q627" s="19"/>
      <c r="R627" s="19"/>
      <c r="Z627" s="38"/>
    </row>
    <row r="628" spans="8:26">
      <c r="H628" s="64"/>
      <c r="J628" s="24"/>
      <c r="Q628" s="19"/>
      <c r="R628" s="19"/>
      <c r="Z628" s="38"/>
    </row>
    <row r="629" spans="8:26">
      <c r="H629" s="64"/>
      <c r="J629" s="24"/>
      <c r="Q629" s="19"/>
      <c r="R629" s="19"/>
      <c r="Z629" s="38"/>
    </row>
    <row r="630" spans="8:26">
      <c r="H630" s="64"/>
      <c r="J630" s="24"/>
      <c r="Q630" s="19"/>
      <c r="R630" s="19"/>
      <c r="Z630" s="38"/>
    </row>
    <row r="631" spans="8:26">
      <c r="H631" s="64"/>
      <c r="I631" s="24"/>
      <c r="J631" s="24"/>
      <c r="Q631" s="19"/>
      <c r="R631" s="19"/>
      <c r="Z631" s="38"/>
    </row>
    <row r="632" spans="8:26">
      <c r="H632" s="64"/>
      <c r="I632" s="24"/>
      <c r="J632" s="24"/>
      <c r="Q632" s="19"/>
      <c r="R632" s="19"/>
      <c r="Z632" s="38"/>
    </row>
    <row r="633" spans="8:26">
      <c r="H633" s="64"/>
      <c r="J633" s="24"/>
      <c r="Q633" s="19"/>
      <c r="R633" s="19"/>
      <c r="Z633" s="38"/>
    </row>
    <row r="634" spans="8:26">
      <c r="H634" s="64"/>
      <c r="I634" s="24"/>
      <c r="J634" s="24"/>
      <c r="Q634" s="19"/>
      <c r="R634" s="19"/>
      <c r="Z634" s="38"/>
    </row>
    <row r="635" spans="8:26">
      <c r="H635" s="64"/>
      <c r="J635" s="24"/>
      <c r="Q635" s="19"/>
      <c r="R635" s="19"/>
      <c r="Z635" s="38"/>
    </row>
    <row r="636" spans="8:26">
      <c r="H636" s="64"/>
      <c r="I636" s="24"/>
      <c r="J636" s="24"/>
      <c r="Q636" s="19"/>
      <c r="R636" s="19"/>
      <c r="Z636" s="38"/>
    </row>
    <row r="637" spans="8:26">
      <c r="H637" s="64"/>
      <c r="I637" s="24"/>
      <c r="J637" s="24"/>
      <c r="Q637" s="19"/>
      <c r="R637" s="19"/>
      <c r="Z637" s="38"/>
    </row>
    <row r="638" spans="8:26">
      <c r="H638" s="64"/>
      <c r="J638" s="24"/>
      <c r="Q638" s="19"/>
      <c r="R638" s="19"/>
      <c r="Z638" s="38"/>
    </row>
    <row r="639" spans="8:26">
      <c r="H639" s="64"/>
      <c r="J639" s="24"/>
      <c r="Q639" s="19"/>
      <c r="R639" s="19"/>
      <c r="Z639" s="38"/>
    </row>
    <row r="640" spans="8:26">
      <c r="H640" s="64"/>
      <c r="J640" s="24"/>
      <c r="Q640" s="19"/>
      <c r="R640" s="19"/>
      <c r="Z640" s="38"/>
    </row>
    <row r="641" spans="8:26">
      <c r="H641" s="64"/>
      <c r="J641" s="24"/>
      <c r="Q641" s="19"/>
      <c r="R641" s="19"/>
      <c r="Z641" s="38"/>
    </row>
    <row r="642" spans="8:26">
      <c r="H642" s="64"/>
      <c r="J642" s="24"/>
      <c r="Q642" s="19"/>
      <c r="R642" s="19"/>
      <c r="Z642" s="38"/>
    </row>
    <row r="643" spans="8:26">
      <c r="H643" s="64"/>
      <c r="J643" s="24"/>
      <c r="Q643" s="19"/>
      <c r="R643" s="19"/>
      <c r="Z643" s="38"/>
    </row>
    <row r="644" spans="8:26">
      <c r="H644" s="64"/>
      <c r="J644" s="24"/>
      <c r="Q644" s="19"/>
      <c r="R644" s="19"/>
      <c r="Z644" s="38"/>
    </row>
    <row r="645" spans="8:26">
      <c r="H645" s="64"/>
      <c r="J645" s="24"/>
      <c r="Q645" s="19"/>
      <c r="R645" s="19"/>
      <c r="Z645" s="38"/>
    </row>
    <row r="646" spans="8:26">
      <c r="H646" s="64"/>
      <c r="J646" s="24"/>
      <c r="Q646" s="19"/>
      <c r="R646" s="19"/>
      <c r="Z646" s="38"/>
    </row>
    <row r="647" spans="8:26">
      <c r="H647" s="64"/>
      <c r="J647" s="24"/>
      <c r="Q647" s="19"/>
      <c r="R647" s="19"/>
      <c r="Z647" s="38"/>
    </row>
    <row r="648" spans="8:26">
      <c r="H648" s="64"/>
      <c r="J648" s="24"/>
      <c r="Q648" s="19"/>
      <c r="R648" s="19"/>
      <c r="Z648" s="38"/>
    </row>
    <row r="649" spans="8:26">
      <c r="H649" s="64"/>
      <c r="J649" s="24"/>
      <c r="Q649" s="19"/>
      <c r="R649" s="19"/>
      <c r="Z649" s="38"/>
    </row>
    <row r="650" spans="8:26">
      <c r="H650" s="64"/>
      <c r="J650" s="24"/>
      <c r="Q650" s="19"/>
      <c r="R650" s="19"/>
      <c r="Z650" s="38"/>
    </row>
    <row r="651" spans="8:26">
      <c r="H651" s="64"/>
      <c r="J651" s="24"/>
      <c r="Q651" s="19"/>
      <c r="R651" s="19"/>
      <c r="Z651" s="38"/>
    </row>
    <row r="652" spans="8:26">
      <c r="H652" s="64"/>
      <c r="J652" s="24"/>
      <c r="Q652" s="19"/>
      <c r="R652" s="19"/>
      <c r="Z652" s="38"/>
    </row>
    <row r="653" spans="8:26">
      <c r="H653" s="64"/>
      <c r="J653" s="24"/>
      <c r="Q653" s="19"/>
      <c r="R653" s="19"/>
      <c r="Z653" s="38"/>
    </row>
    <row r="654" spans="8:26">
      <c r="H654" s="64"/>
      <c r="J654" s="24"/>
      <c r="Q654" s="19"/>
      <c r="R654" s="19"/>
      <c r="Z654" s="38"/>
    </row>
    <row r="655" spans="8:26">
      <c r="H655" s="64"/>
      <c r="J655" s="24"/>
      <c r="Q655" s="19"/>
      <c r="R655" s="19"/>
      <c r="Z655" s="38"/>
    </row>
    <row r="656" spans="8:26">
      <c r="H656" s="64"/>
      <c r="J656" s="24"/>
      <c r="Q656" s="19"/>
      <c r="R656" s="19"/>
      <c r="Z656" s="38"/>
    </row>
    <row r="657" spans="8:26">
      <c r="H657" s="64"/>
      <c r="J657" s="24"/>
      <c r="Q657" s="19"/>
      <c r="R657" s="19"/>
      <c r="Z657" s="38"/>
    </row>
    <row r="658" spans="8:26">
      <c r="H658" s="64"/>
      <c r="J658" s="24"/>
      <c r="Q658" s="19"/>
      <c r="R658" s="19"/>
      <c r="Z658" s="38"/>
    </row>
    <row r="659" spans="8:26">
      <c r="H659" s="64"/>
      <c r="J659" s="24"/>
      <c r="Q659" s="19"/>
      <c r="R659" s="19"/>
      <c r="Z659" s="38"/>
    </row>
    <row r="660" spans="8:26">
      <c r="H660" s="64"/>
      <c r="J660" s="24"/>
      <c r="Q660" s="19"/>
      <c r="R660" s="19"/>
      <c r="Z660" s="38"/>
    </row>
    <row r="661" spans="8:26">
      <c r="H661" s="64"/>
      <c r="J661" s="24"/>
      <c r="Q661" s="19"/>
      <c r="R661" s="19"/>
      <c r="Z661" s="38"/>
    </row>
    <row r="662" spans="8:26">
      <c r="H662" s="64"/>
      <c r="J662" s="24"/>
      <c r="Q662" s="19"/>
      <c r="R662" s="19"/>
      <c r="Z662" s="38"/>
    </row>
    <row r="663" spans="8:26">
      <c r="H663" s="64"/>
      <c r="J663" s="24"/>
      <c r="Q663" s="19"/>
      <c r="R663" s="19"/>
      <c r="Z663" s="38"/>
    </row>
    <row r="664" spans="8:26">
      <c r="H664" s="64"/>
      <c r="Q664" s="19"/>
      <c r="R664" s="19"/>
      <c r="Z664" s="38"/>
    </row>
    <row r="665" spans="8:26">
      <c r="H665" s="64"/>
      <c r="Q665" s="19"/>
      <c r="R665" s="19"/>
      <c r="Z665" s="38"/>
    </row>
    <row r="666" spans="8:26">
      <c r="H666" s="64"/>
      <c r="Q666" s="19"/>
      <c r="R666" s="19"/>
      <c r="Z666" s="38"/>
    </row>
    <row r="667" spans="8:26">
      <c r="H667" s="64"/>
      <c r="Q667" s="19"/>
      <c r="R667" s="19"/>
      <c r="Z667" s="38"/>
    </row>
    <row r="668" spans="8:26">
      <c r="H668" s="64"/>
      <c r="Q668" s="19"/>
      <c r="R668" s="19"/>
      <c r="Z668" s="38"/>
    </row>
    <row r="669" spans="8:26">
      <c r="H669" s="64"/>
      <c r="Q669" s="19"/>
      <c r="R669" s="19"/>
      <c r="Z669" s="38"/>
    </row>
    <row r="670" spans="8:26">
      <c r="H670" s="64"/>
      <c r="Q670" s="19"/>
      <c r="R670" s="19"/>
      <c r="Z670" s="38"/>
    </row>
    <row r="671" spans="8:26">
      <c r="H671" s="64"/>
      <c r="Q671" s="19"/>
      <c r="R671" s="19"/>
      <c r="Z671" s="38"/>
    </row>
    <row r="672" spans="8:26">
      <c r="H672" s="64"/>
      <c r="Q672" s="19"/>
      <c r="R672" s="19"/>
      <c r="Z672" s="38"/>
    </row>
    <row r="673" spans="8:26">
      <c r="H673" s="64"/>
      <c r="Q673" s="19"/>
      <c r="R673" s="19"/>
      <c r="Z673" s="38"/>
    </row>
    <row r="674" spans="8:26">
      <c r="H674" s="64"/>
      <c r="Q674" s="19"/>
      <c r="R674" s="19"/>
      <c r="Z674" s="38"/>
    </row>
    <row r="675" spans="8:26">
      <c r="H675" s="64"/>
      <c r="Q675" s="19"/>
      <c r="R675" s="19"/>
      <c r="Z675" s="38"/>
    </row>
    <row r="676" spans="8:26">
      <c r="H676" s="64"/>
      <c r="Q676" s="19"/>
      <c r="R676" s="19"/>
      <c r="Z676" s="38"/>
    </row>
    <row r="677" spans="8:26">
      <c r="H677" s="64"/>
      <c r="Q677" s="19"/>
      <c r="R677" s="19"/>
      <c r="Z677" s="38"/>
    </row>
    <row r="678" spans="8:26">
      <c r="H678" s="64"/>
      <c r="Q678" s="19"/>
      <c r="R678" s="19"/>
      <c r="Z678" s="38"/>
    </row>
    <row r="679" spans="8:26">
      <c r="H679" s="64"/>
      <c r="Q679" s="19"/>
      <c r="R679" s="19"/>
      <c r="Z679" s="38"/>
    </row>
    <row r="680" spans="8:26">
      <c r="H680" s="64"/>
      <c r="Q680" s="19"/>
      <c r="R680" s="19"/>
      <c r="Z680" s="38"/>
    </row>
    <row r="681" spans="8:26">
      <c r="H681" s="64"/>
      <c r="Q681" s="19"/>
      <c r="R681" s="19"/>
      <c r="Z681" s="38"/>
    </row>
    <row r="682" spans="8:26">
      <c r="H682" s="64"/>
      <c r="Q682" s="19"/>
      <c r="R682" s="19"/>
      <c r="Z682" s="38"/>
    </row>
    <row r="683" spans="8:26">
      <c r="H683" s="64"/>
      <c r="Q683" s="19"/>
      <c r="R683" s="19"/>
      <c r="Z683" s="38"/>
    </row>
    <row r="684" spans="8:26">
      <c r="H684" s="64"/>
      <c r="Q684" s="19"/>
      <c r="R684" s="19"/>
      <c r="Z684" s="38"/>
    </row>
    <row r="685" spans="8:26">
      <c r="H685" s="64"/>
      <c r="Q685" s="19"/>
      <c r="R685" s="19"/>
      <c r="Z685" s="38"/>
    </row>
    <row r="686" spans="8:26">
      <c r="H686" s="64"/>
      <c r="Q686" s="19"/>
      <c r="R686" s="19"/>
      <c r="Z686" s="38"/>
    </row>
    <row r="687" spans="8:26">
      <c r="H687" s="64"/>
      <c r="Q687" s="19"/>
      <c r="R687" s="19"/>
      <c r="Z687" s="38"/>
    </row>
    <row r="688" spans="8:26">
      <c r="H688" s="64"/>
      <c r="Q688" s="19"/>
      <c r="R688" s="19"/>
      <c r="Z688" s="38"/>
    </row>
    <row r="689" spans="8:26">
      <c r="H689" s="64"/>
      <c r="Q689" s="19"/>
      <c r="R689" s="19"/>
      <c r="Z689" s="38"/>
    </row>
    <row r="690" spans="8:26">
      <c r="H690" s="64"/>
      <c r="Q690" s="19"/>
      <c r="R690" s="19"/>
      <c r="Z690" s="38"/>
    </row>
    <row r="691" spans="8:26">
      <c r="H691" s="64"/>
      <c r="Q691" s="19"/>
      <c r="R691" s="19"/>
      <c r="Z691" s="38"/>
    </row>
    <row r="692" spans="8:26">
      <c r="H692" s="64"/>
      <c r="Q692" s="19"/>
      <c r="R692" s="19"/>
      <c r="Z692" s="38"/>
    </row>
    <row r="693" spans="8:26">
      <c r="H693" s="64"/>
      <c r="Q693" s="19"/>
      <c r="R693" s="19"/>
      <c r="Z693" s="38"/>
    </row>
    <row r="694" spans="8:26">
      <c r="H694" s="64"/>
      <c r="Q694" s="19"/>
      <c r="R694" s="19"/>
      <c r="Z694" s="38"/>
    </row>
    <row r="695" spans="8:26">
      <c r="H695" s="64"/>
      <c r="Q695" s="19"/>
      <c r="R695" s="19"/>
      <c r="Z695" s="38"/>
    </row>
    <row r="696" spans="8:26">
      <c r="H696" s="64"/>
      <c r="Q696" s="19"/>
      <c r="R696" s="19"/>
      <c r="Z696" s="38"/>
    </row>
    <row r="697" spans="8:26">
      <c r="H697" s="64"/>
      <c r="J697" s="24"/>
      <c r="Q697" s="19"/>
      <c r="R697" s="19"/>
      <c r="Z697" s="38"/>
    </row>
    <row r="698" spans="8:26">
      <c r="H698" s="64"/>
      <c r="J698" s="24"/>
      <c r="Q698" s="19"/>
      <c r="R698" s="19"/>
      <c r="Z698" s="38"/>
    </row>
    <row r="699" spans="8:26">
      <c r="H699" s="64"/>
      <c r="J699" s="24"/>
      <c r="Q699" s="19"/>
      <c r="R699" s="19"/>
      <c r="Z699" s="38"/>
    </row>
    <row r="700" spans="8:26">
      <c r="H700" s="64"/>
      <c r="J700" s="24"/>
      <c r="Q700" s="19"/>
      <c r="R700" s="19"/>
      <c r="Z700" s="38"/>
    </row>
    <row r="701" spans="8:26">
      <c r="H701" s="64"/>
      <c r="J701" s="24"/>
      <c r="Q701" s="19"/>
      <c r="R701" s="19"/>
      <c r="Z701" s="38"/>
    </row>
    <row r="702" spans="8:26">
      <c r="H702" s="64"/>
      <c r="J702" s="24"/>
      <c r="Q702" s="19"/>
      <c r="R702" s="19"/>
      <c r="Z702" s="38"/>
    </row>
    <row r="703" spans="8:26">
      <c r="H703" s="64"/>
      <c r="J703" s="24"/>
      <c r="Q703" s="19"/>
      <c r="R703" s="19"/>
      <c r="Z703" s="38"/>
    </row>
    <row r="704" spans="8:26">
      <c r="H704" s="64"/>
      <c r="J704" s="24"/>
      <c r="Q704" s="19"/>
      <c r="R704" s="19"/>
      <c r="Z704" s="38"/>
    </row>
    <row r="705" spans="8:26">
      <c r="H705" s="64"/>
      <c r="J705" s="24"/>
      <c r="Q705" s="19"/>
      <c r="R705" s="19"/>
      <c r="Z705" s="38"/>
    </row>
    <row r="706" spans="8:26">
      <c r="H706" s="64"/>
      <c r="I706" s="24"/>
      <c r="J706" s="24"/>
      <c r="Q706" s="19"/>
      <c r="R706" s="19"/>
      <c r="Z706" s="38"/>
    </row>
    <row r="707" spans="8:26">
      <c r="H707" s="64"/>
      <c r="I707" s="24"/>
      <c r="J707" s="24"/>
      <c r="Q707" s="19"/>
      <c r="R707" s="19"/>
      <c r="Z707" s="38"/>
    </row>
    <row r="708" spans="8:26">
      <c r="H708" s="64"/>
      <c r="J708" s="24"/>
      <c r="Q708" s="19"/>
      <c r="R708" s="19"/>
      <c r="Z708" s="38"/>
    </row>
    <row r="709" spans="8:26">
      <c r="H709" s="64"/>
      <c r="I709" s="24"/>
      <c r="J709" s="24"/>
      <c r="Q709" s="19"/>
      <c r="R709" s="19"/>
      <c r="Z709" s="38"/>
    </row>
    <row r="710" spans="8:26">
      <c r="H710" s="64"/>
      <c r="I710" s="24"/>
      <c r="J710" s="24"/>
      <c r="Q710" s="19"/>
      <c r="R710" s="19"/>
      <c r="Z710" s="38"/>
    </row>
    <row r="711" spans="8:26">
      <c r="H711" s="64"/>
      <c r="I711" s="24"/>
      <c r="J711" s="24"/>
      <c r="Q711" s="19"/>
      <c r="R711" s="19"/>
      <c r="Z711" s="38"/>
    </row>
    <row r="712" spans="8:26">
      <c r="H712" s="64"/>
      <c r="J712" s="24"/>
      <c r="Q712" s="19"/>
      <c r="R712" s="19"/>
      <c r="Z712" s="38"/>
    </row>
    <row r="713" spans="8:26">
      <c r="H713" s="64"/>
      <c r="J713" s="24"/>
      <c r="Q713" s="19"/>
      <c r="R713" s="19"/>
      <c r="Z713" s="38"/>
    </row>
    <row r="714" spans="8:26">
      <c r="H714" s="64"/>
      <c r="I714" s="24"/>
      <c r="J714" s="24"/>
      <c r="Q714" s="19"/>
      <c r="R714" s="19"/>
      <c r="Z714" s="38"/>
    </row>
    <row r="715" spans="8:26">
      <c r="H715" s="64"/>
      <c r="I715" s="24"/>
      <c r="J715" s="24"/>
      <c r="Q715" s="19"/>
      <c r="R715" s="19"/>
      <c r="Z715" s="38"/>
    </row>
    <row r="716" spans="8:26">
      <c r="H716" s="64"/>
      <c r="I716" s="24"/>
      <c r="J716" s="24"/>
      <c r="Q716" s="19"/>
      <c r="R716" s="19"/>
      <c r="Z716" s="38"/>
    </row>
    <row r="717" spans="8:26">
      <c r="H717" s="64"/>
      <c r="J717" s="24"/>
      <c r="Q717" s="19"/>
      <c r="R717" s="19"/>
      <c r="Z717" s="38"/>
    </row>
    <row r="718" spans="8:26">
      <c r="H718" s="64"/>
      <c r="J718" s="24"/>
      <c r="Q718" s="19"/>
      <c r="R718" s="19"/>
      <c r="Z718" s="38"/>
    </row>
    <row r="719" spans="8:26">
      <c r="H719" s="64"/>
      <c r="J719" s="24"/>
      <c r="Q719" s="19"/>
      <c r="R719" s="19"/>
      <c r="Z719" s="38"/>
    </row>
    <row r="720" spans="8:26">
      <c r="H720" s="64"/>
      <c r="J720" s="24"/>
      <c r="Q720" s="19"/>
      <c r="R720" s="19"/>
      <c r="Z720" s="38"/>
    </row>
    <row r="721" spans="8:26">
      <c r="H721" s="64"/>
      <c r="Q721" s="19"/>
      <c r="R721" s="19"/>
      <c r="Z721" s="38"/>
    </row>
    <row r="722" spans="8:26">
      <c r="H722" s="64"/>
      <c r="J722" s="24"/>
      <c r="Q722" s="19"/>
      <c r="R722" s="19"/>
      <c r="Z722" s="38"/>
    </row>
    <row r="723" spans="8:26">
      <c r="H723" s="64"/>
      <c r="Q723" s="19"/>
      <c r="R723" s="19"/>
      <c r="Z723" s="38"/>
    </row>
    <row r="724" spans="8:26">
      <c r="H724" s="64"/>
      <c r="Q724" s="19"/>
      <c r="R724" s="19"/>
      <c r="Z724" s="38"/>
    </row>
    <row r="725" spans="8:26">
      <c r="H725" s="64"/>
      <c r="Q725" s="19"/>
      <c r="R725" s="19"/>
      <c r="Z725" s="38"/>
    </row>
    <row r="726" spans="8:26">
      <c r="H726" s="64"/>
      <c r="Q726" s="19"/>
      <c r="R726" s="19"/>
      <c r="Z726" s="38"/>
    </row>
    <row r="727" spans="8:26">
      <c r="H727" s="64"/>
      <c r="I727" s="24"/>
      <c r="J727" s="24"/>
      <c r="Q727" s="19"/>
      <c r="R727" s="19"/>
      <c r="Z727" s="38"/>
    </row>
    <row r="728" spans="8:26">
      <c r="H728" s="64"/>
      <c r="I728" s="24"/>
      <c r="J728" s="24"/>
      <c r="Q728" s="19"/>
      <c r="R728" s="19"/>
      <c r="Z728" s="38"/>
    </row>
    <row r="729" spans="8:26">
      <c r="H729" s="64"/>
      <c r="I729" s="24"/>
      <c r="J729" s="24"/>
      <c r="Q729" s="19"/>
      <c r="R729" s="19"/>
      <c r="Z729" s="38"/>
    </row>
    <row r="730" spans="8:26">
      <c r="H730" s="64"/>
      <c r="I730" s="24"/>
      <c r="J730" s="24"/>
      <c r="Q730" s="19"/>
      <c r="R730" s="19"/>
      <c r="Z730" s="38"/>
    </row>
    <row r="731" spans="8:26">
      <c r="H731" s="64"/>
      <c r="I731" s="24"/>
      <c r="J731" s="24"/>
      <c r="Q731" s="19"/>
      <c r="R731" s="19"/>
      <c r="Z731" s="38"/>
    </row>
    <row r="732" spans="8:26">
      <c r="H732" s="64"/>
      <c r="J732" s="24"/>
      <c r="Q732" s="19"/>
      <c r="R732" s="19"/>
      <c r="Z732" s="38"/>
    </row>
    <row r="733" spans="8:26">
      <c r="H733" s="64"/>
      <c r="J733" s="24"/>
      <c r="Q733" s="19"/>
      <c r="R733" s="19"/>
      <c r="Z733" s="38"/>
    </row>
    <row r="734" spans="8:26">
      <c r="H734" s="64"/>
      <c r="Q734" s="19"/>
      <c r="R734" s="19"/>
      <c r="Z734" s="38"/>
    </row>
    <row r="735" spans="8:26">
      <c r="H735" s="64"/>
      <c r="Q735" s="19"/>
      <c r="R735" s="19"/>
      <c r="Z735" s="38"/>
    </row>
    <row r="736" spans="8:26">
      <c r="H736" s="64"/>
      <c r="Q736" s="19"/>
      <c r="R736" s="19"/>
      <c r="Z736" s="38"/>
    </row>
    <row r="737" spans="8:26">
      <c r="H737" s="64"/>
      <c r="Q737" s="19"/>
      <c r="R737" s="19"/>
      <c r="Z737" s="38"/>
    </row>
    <row r="738" spans="8:26">
      <c r="H738" s="64"/>
      <c r="Q738" s="19"/>
      <c r="R738" s="19"/>
      <c r="Z738" s="38"/>
    </row>
    <row r="739" spans="8:26">
      <c r="H739" s="64"/>
      <c r="Q739" s="19"/>
      <c r="R739" s="19"/>
      <c r="Z739" s="38"/>
    </row>
    <row r="740" spans="8:26">
      <c r="H740" s="64"/>
      <c r="Q740" s="19"/>
      <c r="R740" s="19"/>
      <c r="Z740" s="38"/>
    </row>
    <row r="741" spans="8:26">
      <c r="H741" s="64"/>
      <c r="Q741" s="19"/>
      <c r="R741" s="19"/>
      <c r="Z741" s="38"/>
    </row>
    <row r="742" spans="8:26">
      <c r="H742" s="64"/>
      <c r="Q742" s="19"/>
      <c r="R742" s="19"/>
      <c r="Z742" s="38"/>
    </row>
    <row r="743" spans="8:26">
      <c r="H743" s="64"/>
      <c r="Q743" s="19"/>
      <c r="R743" s="19"/>
      <c r="Z743" s="38"/>
    </row>
    <row r="744" spans="8:26">
      <c r="H744" s="64"/>
      <c r="Q744" s="19"/>
      <c r="R744" s="19"/>
      <c r="Z744" s="38"/>
    </row>
    <row r="745" spans="8:26">
      <c r="H745" s="64"/>
      <c r="Q745" s="19"/>
      <c r="R745" s="19"/>
      <c r="Z745" s="38"/>
    </row>
    <row r="746" spans="8:26">
      <c r="H746" s="64"/>
      <c r="Q746" s="19"/>
      <c r="R746" s="19"/>
      <c r="Z746" s="38"/>
    </row>
    <row r="747" spans="8:26">
      <c r="H747" s="64"/>
      <c r="Q747" s="19"/>
      <c r="R747" s="19"/>
      <c r="Z747" s="38"/>
    </row>
    <row r="748" spans="8:26">
      <c r="H748" s="64"/>
      <c r="Q748" s="19"/>
      <c r="R748" s="19"/>
      <c r="Z748" s="38"/>
    </row>
    <row r="749" spans="8:26">
      <c r="H749" s="64"/>
      <c r="Q749" s="19"/>
      <c r="R749" s="19"/>
      <c r="Z749" s="38"/>
    </row>
    <row r="750" spans="8:26">
      <c r="H750" s="64"/>
      <c r="I750" s="24"/>
      <c r="J750" s="24"/>
      <c r="Q750" s="19"/>
      <c r="R750" s="19"/>
      <c r="Z750" s="38"/>
    </row>
    <row r="751" spans="8:26">
      <c r="H751" s="64"/>
      <c r="Q751" s="19"/>
      <c r="R751" s="19"/>
      <c r="Z751" s="38"/>
    </row>
    <row r="752" spans="8:26">
      <c r="H752" s="64"/>
      <c r="Q752" s="19"/>
      <c r="R752" s="19"/>
      <c r="Z752" s="38"/>
    </row>
    <row r="753" spans="8:26">
      <c r="H753" s="64"/>
      <c r="Q753" s="19"/>
      <c r="R753" s="19"/>
      <c r="Z753" s="38"/>
    </row>
    <row r="754" spans="8:26">
      <c r="H754" s="64"/>
      <c r="Q754" s="19"/>
      <c r="R754" s="19"/>
      <c r="Z754" s="38"/>
    </row>
    <row r="755" spans="8:26">
      <c r="H755" s="64"/>
      <c r="Q755" s="19"/>
      <c r="R755" s="19"/>
      <c r="Z755" s="38"/>
    </row>
    <row r="756" spans="8:26">
      <c r="H756" s="64"/>
      <c r="Q756" s="19"/>
      <c r="R756" s="19"/>
      <c r="Z756" s="38"/>
    </row>
    <row r="757" spans="8:26">
      <c r="H757" s="64"/>
      <c r="Q757" s="19"/>
      <c r="R757" s="19"/>
      <c r="Z757" s="38"/>
    </row>
    <row r="758" spans="8:26">
      <c r="H758" s="64"/>
      <c r="Q758" s="19"/>
      <c r="R758" s="19"/>
      <c r="Z758" s="38"/>
    </row>
    <row r="759" spans="8:26">
      <c r="H759" s="64"/>
      <c r="Q759" s="19"/>
      <c r="R759" s="19"/>
      <c r="Z759" s="38"/>
    </row>
    <row r="760" spans="8:26">
      <c r="H760" s="64"/>
      <c r="Q760" s="19"/>
      <c r="R760" s="19"/>
      <c r="Z760" s="38"/>
    </row>
    <row r="761" spans="8:26">
      <c r="H761" s="64"/>
      <c r="Q761" s="19"/>
      <c r="R761" s="19"/>
      <c r="Z761" s="38"/>
    </row>
    <row r="762" spans="8:26">
      <c r="H762" s="64"/>
      <c r="Q762" s="19"/>
      <c r="R762" s="19"/>
      <c r="Z762" s="38"/>
    </row>
    <row r="763" spans="8:26">
      <c r="H763" s="64"/>
      <c r="Q763" s="19"/>
      <c r="R763" s="19"/>
      <c r="Z763" s="38"/>
    </row>
    <row r="764" spans="8:26">
      <c r="H764" s="64"/>
      <c r="Q764" s="19"/>
      <c r="R764" s="19"/>
      <c r="Z764" s="38"/>
    </row>
    <row r="765" spans="8:26">
      <c r="H765" s="64"/>
      <c r="Q765" s="19"/>
      <c r="R765" s="19"/>
      <c r="Z765" s="38"/>
    </row>
    <row r="766" spans="8:26">
      <c r="H766" s="64"/>
      <c r="Q766" s="19"/>
      <c r="R766" s="19"/>
      <c r="Z766" s="38"/>
    </row>
    <row r="767" spans="8:26">
      <c r="H767" s="64"/>
      <c r="Q767" s="19"/>
      <c r="R767" s="19"/>
      <c r="Z767" s="38"/>
    </row>
    <row r="768" spans="8:26">
      <c r="H768" s="64"/>
      <c r="Q768" s="19"/>
      <c r="R768" s="19"/>
      <c r="Z768" s="38"/>
    </row>
    <row r="769" spans="8:26">
      <c r="H769" s="64"/>
      <c r="Q769" s="19"/>
      <c r="R769" s="19"/>
      <c r="Z769" s="38"/>
    </row>
    <row r="770" spans="8:26">
      <c r="H770" s="64"/>
      <c r="Q770" s="19"/>
      <c r="R770" s="19"/>
      <c r="Z770" s="38"/>
    </row>
    <row r="771" spans="8:26">
      <c r="H771" s="64"/>
      <c r="Q771" s="19"/>
      <c r="R771" s="19"/>
      <c r="Z771" s="38"/>
    </row>
    <row r="772" spans="8:26">
      <c r="H772" s="64"/>
      <c r="Q772" s="19"/>
      <c r="R772" s="19"/>
      <c r="Z772" s="38"/>
    </row>
    <row r="773" spans="8:26">
      <c r="H773" s="64"/>
      <c r="Q773" s="19"/>
      <c r="R773" s="19"/>
      <c r="Z773" s="38"/>
    </row>
    <row r="774" spans="8:26">
      <c r="H774" s="64"/>
      <c r="Q774" s="19"/>
      <c r="R774" s="19"/>
      <c r="Z774" s="38"/>
    </row>
    <row r="775" spans="8:26">
      <c r="H775" s="64"/>
      <c r="Q775" s="19"/>
      <c r="R775" s="19"/>
      <c r="Z775" s="38"/>
    </row>
    <row r="776" spans="8:26">
      <c r="H776" s="64"/>
      <c r="Q776" s="19"/>
      <c r="R776" s="19"/>
      <c r="Z776" s="38"/>
    </row>
    <row r="777" spans="8:26">
      <c r="H777" s="64"/>
      <c r="Q777" s="19"/>
      <c r="R777" s="19"/>
      <c r="Z777" s="38"/>
    </row>
    <row r="778" spans="8:26">
      <c r="H778" s="64"/>
      <c r="Q778" s="19"/>
      <c r="R778" s="19"/>
      <c r="Z778" s="38"/>
    </row>
    <row r="779" spans="8:26">
      <c r="H779" s="64"/>
      <c r="Q779" s="19"/>
      <c r="R779" s="19"/>
      <c r="Z779" s="38"/>
    </row>
    <row r="780" spans="8:26">
      <c r="H780" s="64"/>
      <c r="Q780" s="19"/>
      <c r="R780" s="19"/>
      <c r="Z780" s="38"/>
    </row>
    <row r="781" spans="8:26">
      <c r="H781" s="64"/>
      <c r="Q781" s="19"/>
      <c r="R781" s="19"/>
      <c r="Z781" s="38"/>
    </row>
    <row r="782" spans="8:26">
      <c r="H782" s="64"/>
      <c r="Q782" s="19"/>
      <c r="R782" s="19"/>
      <c r="Z782" s="38"/>
    </row>
    <row r="783" spans="8:26">
      <c r="H783" s="64"/>
      <c r="Q783" s="19"/>
      <c r="R783" s="19"/>
      <c r="Z783" s="38"/>
    </row>
    <row r="784" spans="8:26">
      <c r="H784" s="64"/>
      <c r="Q784" s="19"/>
      <c r="R784" s="19"/>
      <c r="Z784" s="38"/>
    </row>
    <row r="785" spans="8:26">
      <c r="H785" s="64"/>
      <c r="Q785" s="19"/>
      <c r="R785" s="19"/>
      <c r="Z785" s="38"/>
    </row>
    <row r="786" spans="8:26">
      <c r="H786" s="64"/>
      <c r="Q786" s="19"/>
      <c r="R786" s="19"/>
      <c r="Z786" s="38"/>
    </row>
    <row r="787" spans="8:26">
      <c r="H787" s="64"/>
      <c r="Q787" s="19"/>
      <c r="R787" s="19"/>
      <c r="Z787" s="38"/>
    </row>
    <row r="788" spans="8:26">
      <c r="H788" s="64"/>
      <c r="Q788" s="19"/>
      <c r="R788" s="19"/>
      <c r="Z788" s="38"/>
    </row>
    <row r="789" spans="8:26">
      <c r="H789" s="64"/>
      <c r="Q789" s="19"/>
      <c r="R789" s="19"/>
      <c r="Z789" s="38"/>
    </row>
    <row r="790" spans="8:26">
      <c r="H790" s="64"/>
      <c r="Q790" s="19"/>
      <c r="R790" s="19"/>
      <c r="Z790" s="38"/>
    </row>
    <row r="791" spans="8:26">
      <c r="H791" s="64"/>
      <c r="Q791" s="19"/>
      <c r="R791" s="19"/>
      <c r="Z791" s="38"/>
    </row>
    <row r="792" spans="8:26">
      <c r="H792" s="64"/>
      <c r="Q792" s="19"/>
      <c r="R792" s="19"/>
      <c r="Z792" s="38"/>
    </row>
    <row r="793" spans="8:26">
      <c r="H793" s="64"/>
      <c r="Q793" s="19"/>
      <c r="R793" s="19"/>
      <c r="Z793" s="38"/>
    </row>
    <row r="794" spans="8:26">
      <c r="H794" s="64"/>
      <c r="Q794" s="19"/>
      <c r="R794" s="19"/>
      <c r="Z794" s="38"/>
    </row>
    <row r="795" spans="8:26">
      <c r="H795" s="64"/>
      <c r="Q795" s="19"/>
      <c r="R795" s="19"/>
      <c r="Z795" s="38"/>
    </row>
    <row r="796" spans="8:26">
      <c r="H796" s="64"/>
      <c r="Q796" s="19"/>
      <c r="R796" s="19"/>
      <c r="Z796" s="38"/>
    </row>
    <row r="797" spans="8:26">
      <c r="H797" s="64"/>
      <c r="Q797" s="19"/>
      <c r="R797" s="19"/>
      <c r="Z797" s="38"/>
    </row>
    <row r="798" spans="8:26">
      <c r="H798" s="64"/>
      <c r="Q798" s="19"/>
      <c r="R798" s="19"/>
      <c r="Z798" s="38"/>
    </row>
    <row r="799" spans="8:26">
      <c r="H799" s="64"/>
      <c r="Q799" s="19"/>
      <c r="R799" s="19"/>
      <c r="Z799" s="38"/>
    </row>
    <row r="800" spans="8:26">
      <c r="H800" s="64"/>
      <c r="Q800" s="19"/>
      <c r="R800" s="19"/>
      <c r="Z800" s="38"/>
    </row>
    <row r="801" spans="8:26">
      <c r="H801" s="64"/>
      <c r="Q801" s="19"/>
      <c r="R801" s="19"/>
      <c r="Z801" s="38"/>
    </row>
    <row r="802" spans="8:26">
      <c r="H802" s="64"/>
      <c r="Q802" s="19"/>
      <c r="R802" s="19"/>
      <c r="Z802" s="38"/>
    </row>
    <row r="803" spans="8:26">
      <c r="H803" s="64"/>
      <c r="Q803" s="19"/>
      <c r="R803" s="19"/>
      <c r="Z803" s="38"/>
    </row>
    <row r="804" spans="8:26">
      <c r="H804" s="64"/>
      <c r="Q804" s="19"/>
      <c r="R804" s="19"/>
      <c r="Z804" s="38"/>
    </row>
    <row r="805" spans="8:26">
      <c r="H805" s="64"/>
      <c r="I805" s="24"/>
      <c r="J805" s="24"/>
      <c r="Q805" s="19"/>
      <c r="R805" s="19"/>
      <c r="Z805" s="38"/>
    </row>
    <row r="806" spans="8:26">
      <c r="H806" s="64"/>
      <c r="Q806" s="19"/>
      <c r="R806" s="19"/>
      <c r="Z806" s="38"/>
    </row>
    <row r="807" spans="8:26">
      <c r="H807" s="64"/>
      <c r="Q807" s="19"/>
      <c r="R807" s="19"/>
      <c r="Z807" s="38"/>
    </row>
    <row r="808" spans="8:26">
      <c r="H808" s="64"/>
      <c r="Q808" s="19"/>
      <c r="R808" s="19"/>
      <c r="Z808" s="38"/>
    </row>
    <row r="809" spans="8:26">
      <c r="H809" s="64"/>
      <c r="Q809" s="19"/>
      <c r="R809" s="19"/>
      <c r="Z809" s="38"/>
    </row>
    <row r="810" spans="8:26">
      <c r="H810" s="64"/>
      <c r="Q810" s="19"/>
      <c r="R810" s="19"/>
      <c r="Z810" s="38"/>
    </row>
    <row r="811" spans="8:26">
      <c r="H811" s="64"/>
      <c r="Q811" s="19"/>
      <c r="R811" s="19"/>
      <c r="Z811" s="38"/>
    </row>
    <row r="812" spans="8:26">
      <c r="H812" s="64"/>
      <c r="Q812" s="19"/>
      <c r="R812" s="19"/>
      <c r="Z812" s="38"/>
    </row>
    <row r="813" spans="8:26">
      <c r="H813" s="64"/>
      <c r="Q813" s="19"/>
      <c r="R813" s="19"/>
      <c r="Z813" s="38"/>
    </row>
    <row r="814" spans="8:26">
      <c r="H814" s="64"/>
      <c r="Q814" s="19"/>
      <c r="R814" s="19"/>
      <c r="Z814" s="38"/>
    </row>
    <row r="815" spans="8:26">
      <c r="H815" s="64"/>
      <c r="Q815" s="19"/>
      <c r="R815" s="19"/>
      <c r="Z815" s="38"/>
    </row>
    <row r="816" spans="8:26">
      <c r="H816" s="64"/>
      <c r="Q816" s="19"/>
      <c r="R816" s="19"/>
      <c r="Z816" s="38"/>
    </row>
    <row r="817" spans="8:26">
      <c r="H817" s="64"/>
      <c r="Q817" s="19"/>
      <c r="R817" s="19"/>
      <c r="Z817" s="38"/>
    </row>
    <row r="818" spans="8:26">
      <c r="H818" s="64"/>
      <c r="Q818" s="19"/>
      <c r="R818" s="19"/>
      <c r="Z818" s="38"/>
    </row>
    <row r="819" spans="8:26">
      <c r="H819" s="64"/>
      <c r="Q819" s="19"/>
      <c r="R819" s="19"/>
      <c r="Z819" s="38"/>
    </row>
    <row r="820" spans="8:26">
      <c r="H820" s="64"/>
      <c r="Q820" s="19"/>
      <c r="R820" s="19"/>
      <c r="Z820" s="38"/>
    </row>
    <row r="821" spans="8:26">
      <c r="H821" s="64"/>
      <c r="Q821" s="19"/>
      <c r="R821" s="19"/>
      <c r="Z821" s="38"/>
    </row>
    <row r="822" spans="8:26">
      <c r="H822" s="64"/>
      <c r="Q822" s="19"/>
      <c r="R822" s="19"/>
      <c r="Z822" s="38"/>
    </row>
    <row r="823" spans="8:26">
      <c r="H823" s="64"/>
      <c r="Q823" s="19"/>
      <c r="R823" s="19"/>
      <c r="Z823" s="38"/>
    </row>
    <row r="824" spans="8:26">
      <c r="H824" s="64"/>
      <c r="Q824" s="19"/>
      <c r="R824" s="19"/>
      <c r="Z824" s="38"/>
    </row>
    <row r="825" spans="8:26">
      <c r="H825" s="64"/>
      <c r="Q825" s="19"/>
      <c r="R825" s="19"/>
      <c r="Z825" s="38"/>
    </row>
    <row r="826" spans="8:26">
      <c r="H826" s="64"/>
      <c r="Q826" s="19"/>
      <c r="R826" s="19"/>
      <c r="Z826" s="38"/>
    </row>
    <row r="827" spans="8:26">
      <c r="H827" s="64"/>
      <c r="Q827" s="19"/>
      <c r="R827" s="19"/>
      <c r="Z827" s="38"/>
    </row>
    <row r="828" spans="8:26">
      <c r="H828" s="64"/>
      <c r="Q828" s="19"/>
      <c r="R828" s="19"/>
      <c r="Z828" s="38"/>
    </row>
    <row r="829" spans="8:26">
      <c r="H829" s="64"/>
      <c r="Q829" s="19"/>
      <c r="R829" s="19"/>
      <c r="Z829" s="38"/>
    </row>
    <row r="830" spans="8:26">
      <c r="H830" s="64"/>
      <c r="Q830" s="19"/>
      <c r="R830" s="19"/>
      <c r="Z830" s="38"/>
    </row>
    <row r="831" spans="8:26">
      <c r="H831" s="64"/>
      <c r="Q831" s="19"/>
      <c r="R831" s="19"/>
      <c r="Z831" s="38"/>
    </row>
    <row r="832" spans="8:26">
      <c r="H832" s="64"/>
      <c r="Q832" s="19"/>
      <c r="R832" s="19"/>
      <c r="Z832" s="38"/>
    </row>
    <row r="833" spans="8:26">
      <c r="H833" s="64"/>
      <c r="Q833" s="19"/>
      <c r="R833" s="19"/>
      <c r="Z833" s="38"/>
    </row>
    <row r="834" spans="8:26">
      <c r="H834" s="64"/>
      <c r="Q834" s="19"/>
      <c r="R834" s="19"/>
      <c r="Z834" s="38"/>
    </row>
    <row r="835" spans="8:26">
      <c r="H835" s="64"/>
      <c r="Q835" s="19"/>
      <c r="R835" s="19"/>
      <c r="Z835" s="38"/>
    </row>
    <row r="836" spans="8:26">
      <c r="H836" s="64"/>
      <c r="Q836" s="19"/>
      <c r="R836" s="19"/>
      <c r="Z836" s="38"/>
    </row>
    <row r="837" spans="8:26">
      <c r="H837" s="64"/>
      <c r="Q837" s="19"/>
      <c r="R837" s="19"/>
      <c r="Z837" s="38"/>
    </row>
    <row r="838" spans="8:26">
      <c r="H838" s="64"/>
      <c r="Q838" s="19"/>
      <c r="R838" s="19"/>
      <c r="Z838" s="38"/>
    </row>
    <row r="839" spans="8:26">
      <c r="H839" s="64"/>
      <c r="Q839" s="19"/>
      <c r="R839" s="19"/>
      <c r="Z839" s="38"/>
    </row>
    <row r="840" spans="8:26">
      <c r="H840" s="64"/>
      <c r="Q840" s="19"/>
      <c r="R840" s="19"/>
      <c r="Z840" s="38"/>
    </row>
    <row r="841" spans="8:26">
      <c r="H841" s="64"/>
      <c r="Q841" s="19"/>
      <c r="R841" s="19"/>
      <c r="Z841" s="38"/>
    </row>
    <row r="842" spans="8:26">
      <c r="H842" s="64"/>
      <c r="Q842" s="19"/>
      <c r="R842" s="19"/>
      <c r="Z842" s="38"/>
    </row>
    <row r="843" spans="8:26">
      <c r="H843" s="64"/>
      <c r="Q843" s="19"/>
      <c r="R843" s="19"/>
      <c r="Z843" s="38"/>
    </row>
    <row r="844" spans="8:26">
      <c r="H844" s="64"/>
      <c r="Q844" s="19"/>
      <c r="R844" s="19"/>
      <c r="Z844" s="38"/>
    </row>
    <row r="845" spans="8:26">
      <c r="H845" s="64"/>
      <c r="Q845" s="19"/>
      <c r="R845" s="19"/>
      <c r="Z845" s="38"/>
    </row>
    <row r="846" spans="8:26">
      <c r="H846" s="64"/>
      <c r="Q846" s="19"/>
      <c r="R846" s="19"/>
      <c r="Z846" s="38"/>
    </row>
    <row r="847" spans="8:26">
      <c r="H847" s="64"/>
      <c r="Q847" s="19"/>
      <c r="R847" s="19"/>
      <c r="Z847" s="38"/>
    </row>
    <row r="848" spans="8:26">
      <c r="H848" s="64"/>
      <c r="Q848" s="19"/>
      <c r="R848" s="19"/>
      <c r="Z848" s="38"/>
    </row>
    <row r="849" spans="8:26">
      <c r="H849" s="64"/>
      <c r="Q849" s="19"/>
      <c r="R849" s="19"/>
      <c r="Z849" s="38"/>
    </row>
    <row r="850" spans="8:26">
      <c r="H850" s="64"/>
      <c r="Q850" s="19"/>
      <c r="R850" s="19"/>
      <c r="Z850" s="38"/>
    </row>
    <row r="851" spans="8:26">
      <c r="H851" s="64"/>
      <c r="Q851" s="19"/>
      <c r="R851" s="19"/>
      <c r="Z851" s="38"/>
    </row>
    <row r="852" spans="8:26">
      <c r="H852" s="64"/>
      <c r="Q852" s="19"/>
      <c r="R852" s="19"/>
      <c r="Z852" s="38"/>
    </row>
    <row r="853" spans="8:26">
      <c r="H853" s="64"/>
      <c r="Q853" s="19"/>
      <c r="R853" s="19"/>
      <c r="Z853" s="38"/>
    </row>
    <row r="854" spans="8:26">
      <c r="H854" s="64"/>
      <c r="Q854" s="19"/>
      <c r="R854" s="19"/>
      <c r="Z854" s="38"/>
    </row>
    <row r="855" spans="8:26">
      <c r="H855" s="64"/>
      <c r="Q855" s="19"/>
      <c r="R855" s="19"/>
      <c r="Z855" s="38"/>
    </row>
    <row r="856" spans="8:26">
      <c r="H856" s="64"/>
      <c r="Q856" s="19"/>
      <c r="R856" s="19"/>
      <c r="Z856" s="38"/>
    </row>
    <row r="857" spans="8:26">
      <c r="H857" s="64"/>
      <c r="Q857" s="19"/>
      <c r="R857" s="19"/>
      <c r="Z857" s="38"/>
    </row>
    <row r="858" spans="8:26">
      <c r="H858" s="64"/>
      <c r="Q858" s="19"/>
      <c r="R858" s="19"/>
      <c r="Z858" s="38"/>
    </row>
    <row r="859" spans="8:26">
      <c r="H859" s="64"/>
      <c r="Q859" s="19"/>
      <c r="R859" s="19"/>
      <c r="Z859" s="38"/>
    </row>
    <row r="860" spans="8:26">
      <c r="H860" s="64"/>
      <c r="Q860" s="19"/>
      <c r="R860" s="19"/>
      <c r="Z860" s="38"/>
    </row>
    <row r="861" spans="8:26">
      <c r="H861" s="64"/>
      <c r="Q861" s="19"/>
      <c r="R861" s="19"/>
      <c r="Z861" s="38"/>
    </row>
    <row r="862" spans="8:26">
      <c r="H862" s="64"/>
      <c r="Q862" s="19"/>
      <c r="R862" s="19"/>
      <c r="Z862" s="38"/>
    </row>
    <row r="863" spans="8:26">
      <c r="H863" s="64"/>
      <c r="Q863" s="19"/>
      <c r="R863" s="19"/>
      <c r="Z863" s="38"/>
    </row>
    <row r="864" spans="8:26">
      <c r="H864" s="64"/>
      <c r="Q864" s="19"/>
      <c r="R864" s="19"/>
      <c r="Z864" s="38"/>
    </row>
    <row r="865" spans="8:26">
      <c r="H865" s="64"/>
      <c r="Q865" s="19"/>
      <c r="R865" s="19"/>
      <c r="Z865" s="38"/>
    </row>
    <row r="866" spans="8:26">
      <c r="H866" s="64"/>
      <c r="Q866" s="19"/>
      <c r="R866" s="19"/>
      <c r="Z866" s="38"/>
    </row>
    <row r="867" spans="8:26">
      <c r="H867" s="64"/>
      <c r="Q867" s="19"/>
      <c r="R867" s="19"/>
      <c r="Z867" s="38"/>
    </row>
    <row r="868" spans="8:26">
      <c r="H868" s="64"/>
      <c r="Q868" s="19"/>
      <c r="R868" s="19"/>
      <c r="Z868" s="38"/>
    </row>
    <row r="869" spans="8:26">
      <c r="H869" s="64"/>
      <c r="Q869" s="19"/>
      <c r="R869" s="19"/>
      <c r="Z869" s="38"/>
    </row>
    <row r="870" spans="8:26">
      <c r="H870" s="64"/>
      <c r="Q870" s="19"/>
      <c r="R870" s="19"/>
      <c r="Z870" s="38"/>
    </row>
    <row r="871" spans="8:26">
      <c r="H871" s="64"/>
      <c r="Q871" s="19"/>
      <c r="R871" s="19"/>
      <c r="Z871" s="38"/>
    </row>
    <row r="872" spans="8:26">
      <c r="H872" s="64"/>
      <c r="Q872" s="19"/>
      <c r="R872" s="19"/>
      <c r="Z872" s="38"/>
    </row>
    <row r="873" spans="8:26">
      <c r="H873" s="64"/>
      <c r="Q873" s="19"/>
      <c r="R873" s="19"/>
      <c r="Z873" s="38"/>
    </row>
    <row r="874" spans="8:26">
      <c r="H874" s="64"/>
      <c r="Q874" s="19"/>
      <c r="R874" s="19"/>
      <c r="Z874" s="38"/>
    </row>
    <row r="875" spans="8:26">
      <c r="H875" s="64"/>
      <c r="Q875" s="19"/>
      <c r="R875" s="19"/>
      <c r="Z875" s="38"/>
    </row>
    <row r="876" spans="8:26">
      <c r="H876" s="64"/>
      <c r="Q876" s="19"/>
      <c r="R876" s="19"/>
      <c r="Z876" s="38"/>
    </row>
    <row r="877" spans="8:26">
      <c r="H877" s="64"/>
      <c r="Q877" s="19"/>
      <c r="R877" s="19"/>
      <c r="Z877" s="38"/>
    </row>
    <row r="878" spans="8:26">
      <c r="H878" s="64"/>
      <c r="Q878" s="19"/>
      <c r="R878" s="19"/>
      <c r="Z878" s="38"/>
    </row>
    <row r="879" spans="8:26">
      <c r="H879" s="64"/>
      <c r="Q879" s="19"/>
      <c r="R879" s="19"/>
      <c r="Z879" s="38"/>
    </row>
    <row r="880" spans="8:26">
      <c r="H880" s="64"/>
      <c r="Q880" s="19"/>
      <c r="R880" s="19"/>
      <c r="Z880" s="38"/>
    </row>
    <row r="881" spans="8:26">
      <c r="H881" s="64"/>
      <c r="Q881" s="19"/>
      <c r="R881" s="19"/>
      <c r="Z881" s="38"/>
    </row>
    <row r="882" spans="8:26">
      <c r="H882" s="64"/>
      <c r="Q882" s="19"/>
      <c r="R882" s="19"/>
      <c r="Z882" s="38"/>
    </row>
    <row r="883" spans="8:26">
      <c r="H883" s="64"/>
      <c r="Q883" s="19"/>
      <c r="R883" s="19"/>
      <c r="Z883" s="38"/>
    </row>
    <row r="884" spans="8:26">
      <c r="H884" s="64"/>
      <c r="Q884" s="19"/>
      <c r="R884" s="19"/>
      <c r="Z884" s="38"/>
    </row>
    <row r="885" spans="8:26">
      <c r="H885" s="64"/>
      <c r="Q885" s="19"/>
      <c r="R885" s="19"/>
      <c r="Z885" s="38"/>
    </row>
    <row r="886" spans="8:26">
      <c r="H886" s="64"/>
      <c r="Q886" s="19"/>
      <c r="R886" s="19"/>
      <c r="Z886" s="38"/>
    </row>
    <row r="887" spans="8:26">
      <c r="H887" s="64"/>
      <c r="Q887" s="19"/>
      <c r="R887" s="19"/>
      <c r="Z887" s="38"/>
    </row>
    <row r="888" spans="8:26">
      <c r="H888" s="64"/>
      <c r="Q888" s="19"/>
      <c r="R888" s="19"/>
      <c r="Z888" s="38"/>
    </row>
    <row r="889" spans="8:26">
      <c r="H889" s="64"/>
      <c r="Q889" s="19"/>
      <c r="R889" s="19"/>
      <c r="Z889" s="38"/>
    </row>
    <row r="890" spans="8:26">
      <c r="H890" s="64"/>
      <c r="Q890" s="19"/>
      <c r="R890" s="19"/>
      <c r="Z890" s="38"/>
    </row>
    <row r="891" spans="8:26">
      <c r="H891" s="64"/>
      <c r="Q891" s="19"/>
      <c r="R891" s="19"/>
      <c r="Z891" s="38"/>
    </row>
    <row r="892" spans="8:26">
      <c r="H892" s="64"/>
      <c r="Q892" s="19"/>
      <c r="R892" s="19"/>
      <c r="Z892" s="38"/>
    </row>
    <row r="893" spans="8:26">
      <c r="H893" s="64"/>
      <c r="Q893" s="19"/>
      <c r="R893" s="19"/>
      <c r="Z893" s="38"/>
    </row>
    <row r="894" spans="8:26">
      <c r="H894" s="64"/>
      <c r="Q894" s="19"/>
      <c r="R894" s="19"/>
      <c r="Z894" s="38"/>
    </row>
    <row r="895" spans="8:26">
      <c r="H895" s="64"/>
      <c r="Q895" s="19"/>
      <c r="R895" s="19"/>
      <c r="Z895" s="38"/>
    </row>
    <row r="896" spans="8:26">
      <c r="H896" s="64"/>
      <c r="Q896" s="19"/>
      <c r="R896" s="19"/>
      <c r="Z896" s="38"/>
    </row>
    <row r="897" spans="8:26">
      <c r="H897" s="64"/>
      <c r="Q897" s="19"/>
      <c r="R897" s="19"/>
      <c r="Z897" s="38"/>
    </row>
    <row r="898" spans="8:26">
      <c r="H898" s="64"/>
      <c r="Q898" s="19"/>
      <c r="R898" s="19"/>
      <c r="Z898" s="38"/>
    </row>
    <row r="899" spans="8:26">
      <c r="H899" s="64"/>
      <c r="Q899" s="19"/>
      <c r="R899" s="19"/>
      <c r="Z899" s="38"/>
    </row>
    <row r="900" spans="8:26">
      <c r="H900" s="64"/>
      <c r="Q900" s="19"/>
      <c r="R900" s="19"/>
      <c r="Z900" s="38"/>
    </row>
    <row r="901" spans="8:26">
      <c r="H901" s="64"/>
      <c r="Q901" s="19"/>
      <c r="R901" s="19"/>
      <c r="Z901" s="38"/>
    </row>
    <row r="902" spans="8:26">
      <c r="H902" s="64"/>
      <c r="Q902" s="19"/>
      <c r="R902" s="19"/>
      <c r="Z902" s="38"/>
    </row>
    <row r="903" spans="8:26">
      <c r="H903" s="64"/>
      <c r="Q903" s="19"/>
      <c r="R903" s="19"/>
      <c r="Z903" s="38"/>
    </row>
    <row r="904" spans="8:26">
      <c r="H904" s="64"/>
      <c r="Q904" s="19"/>
      <c r="R904" s="19"/>
      <c r="Z904" s="38"/>
    </row>
    <row r="905" spans="8:26">
      <c r="H905" s="64"/>
      <c r="Q905" s="19"/>
      <c r="R905" s="19"/>
      <c r="Z905" s="38"/>
    </row>
    <row r="906" spans="8:26">
      <c r="H906" s="64"/>
      <c r="Q906" s="19"/>
      <c r="R906" s="19"/>
      <c r="Z906" s="38"/>
    </row>
    <row r="907" spans="8:26">
      <c r="H907" s="64"/>
      <c r="Q907" s="19"/>
      <c r="R907" s="19"/>
      <c r="Z907" s="38"/>
    </row>
    <row r="908" spans="8:26">
      <c r="H908" s="64"/>
      <c r="Q908" s="19"/>
      <c r="R908" s="19"/>
      <c r="Z908" s="38"/>
    </row>
    <row r="909" spans="8:26">
      <c r="H909" s="64"/>
      <c r="Q909" s="19"/>
      <c r="R909" s="19"/>
      <c r="Z909" s="38"/>
    </row>
    <row r="910" spans="8:26">
      <c r="H910" s="64"/>
      <c r="Q910" s="19"/>
      <c r="R910" s="19"/>
      <c r="Z910" s="38"/>
    </row>
    <row r="911" spans="8:26">
      <c r="H911" s="64"/>
      <c r="Q911" s="19"/>
      <c r="R911" s="19"/>
      <c r="Z911" s="38"/>
    </row>
    <row r="912" spans="8:26">
      <c r="H912" s="64"/>
      <c r="Q912" s="19"/>
      <c r="R912" s="19"/>
      <c r="Z912" s="38"/>
    </row>
    <row r="913" spans="8:26">
      <c r="H913" s="64"/>
      <c r="Q913" s="19"/>
      <c r="R913" s="19"/>
      <c r="Z913" s="38"/>
    </row>
    <row r="914" spans="8:26">
      <c r="H914" s="64"/>
      <c r="Q914" s="19"/>
      <c r="R914" s="19"/>
      <c r="Z914" s="38"/>
    </row>
    <row r="915" spans="8:26">
      <c r="H915" s="64"/>
      <c r="Q915" s="19"/>
      <c r="R915" s="19"/>
      <c r="Z915" s="38"/>
    </row>
    <row r="916" spans="8:26">
      <c r="H916" s="64"/>
      <c r="Q916" s="19"/>
      <c r="R916" s="19"/>
      <c r="Z916" s="38"/>
    </row>
    <row r="917" spans="8:26">
      <c r="H917" s="64"/>
      <c r="Q917" s="19"/>
      <c r="R917" s="19"/>
      <c r="Z917" s="38"/>
    </row>
    <row r="918" spans="8:26">
      <c r="H918" s="64"/>
      <c r="Q918" s="19"/>
      <c r="R918" s="19"/>
      <c r="Z918" s="38"/>
    </row>
    <row r="919" spans="8:26">
      <c r="H919" s="64"/>
      <c r="Q919" s="19"/>
      <c r="R919" s="19"/>
      <c r="Z919" s="38"/>
    </row>
    <row r="920" spans="8:26">
      <c r="H920" s="64"/>
      <c r="Q920" s="19"/>
      <c r="R920" s="19"/>
      <c r="Z920" s="38"/>
    </row>
    <row r="921" spans="8:26">
      <c r="H921" s="64"/>
      <c r="Q921" s="19"/>
      <c r="R921" s="19"/>
      <c r="Z921" s="38"/>
    </row>
    <row r="922" spans="8:26">
      <c r="H922" s="64"/>
      <c r="Q922" s="19"/>
      <c r="R922" s="19"/>
      <c r="Z922" s="38"/>
    </row>
    <row r="923" spans="8:26">
      <c r="H923" s="64"/>
      <c r="Q923" s="19"/>
      <c r="R923" s="19"/>
      <c r="Z923" s="38"/>
    </row>
    <row r="924" spans="8:26">
      <c r="H924" s="64"/>
      <c r="Q924" s="19"/>
      <c r="R924" s="19"/>
      <c r="Z924" s="38"/>
    </row>
    <row r="925" spans="8:26">
      <c r="H925" s="64"/>
      <c r="Q925" s="19"/>
      <c r="R925" s="19"/>
      <c r="Z925" s="38"/>
    </row>
    <row r="926" spans="8:26">
      <c r="H926" s="64"/>
      <c r="Q926" s="19"/>
      <c r="R926" s="19"/>
      <c r="Z926" s="38"/>
    </row>
    <row r="927" spans="8:26">
      <c r="H927" s="64"/>
      <c r="Q927" s="19"/>
      <c r="R927" s="19"/>
      <c r="Z927" s="38"/>
    </row>
    <row r="928" spans="8:26">
      <c r="H928" s="64"/>
      <c r="Q928" s="19"/>
      <c r="R928" s="19"/>
      <c r="Z928" s="38"/>
    </row>
    <row r="929" spans="8:26">
      <c r="H929" s="64"/>
      <c r="Q929" s="19"/>
      <c r="R929" s="19"/>
      <c r="Z929" s="38"/>
    </row>
    <row r="930" spans="8:26">
      <c r="H930" s="64"/>
      <c r="Q930" s="19"/>
      <c r="R930" s="19"/>
      <c r="Z930" s="38"/>
    </row>
    <row r="931" spans="8:26">
      <c r="H931" s="64"/>
      <c r="Q931" s="19"/>
      <c r="R931" s="19"/>
      <c r="Z931" s="38"/>
    </row>
    <row r="932" spans="8:26">
      <c r="H932" s="64"/>
      <c r="Q932" s="19"/>
      <c r="R932" s="19"/>
      <c r="Z932" s="38"/>
    </row>
    <row r="933" spans="8:26">
      <c r="H933" s="64"/>
      <c r="Q933" s="19"/>
      <c r="R933" s="19"/>
      <c r="Z933" s="38"/>
    </row>
    <row r="934" spans="8:26">
      <c r="H934" s="64"/>
      <c r="Q934" s="19"/>
      <c r="R934" s="19"/>
      <c r="Z934" s="38"/>
    </row>
    <row r="935" spans="8:26">
      <c r="H935" s="64"/>
      <c r="Q935" s="19"/>
      <c r="R935" s="19"/>
      <c r="Z935" s="38"/>
    </row>
    <row r="936" spans="8:26">
      <c r="H936" s="64"/>
      <c r="Q936" s="19"/>
      <c r="R936" s="19"/>
      <c r="Z936" s="38"/>
    </row>
    <row r="937" spans="8:26">
      <c r="H937" s="64"/>
      <c r="Q937" s="19"/>
      <c r="R937" s="19"/>
      <c r="Z937" s="38"/>
    </row>
    <row r="938" spans="8:26">
      <c r="H938" s="64"/>
      <c r="Q938" s="19"/>
      <c r="R938" s="19"/>
      <c r="Z938" s="38"/>
    </row>
    <row r="939" spans="8:26">
      <c r="H939" s="64"/>
      <c r="Q939" s="19"/>
      <c r="R939" s="19"/>
      <c r="Z939" s="38"/>
    </row>
    <row r="940" spans="8:26">
      <c r="H940" s="64"/>
      <c r="Q940" s="19"/>
      <c r="R940" s="19"/>
      <c r="Z940" s="38"/>
    </row>
    <row r="941" spans="8:26">
      <c r="H941" s="64"/>
      <c r="Q941" s="19"/>
      <c r="R941" s="19"/>
      <c r="Z941" s="38"/>
    </row>
    <row r="942" spans="8:26">
      <c r="H942" s="64"/>
      <c r="Q942" s="19"/>
      <c r="R942" s="19"/>
      <c r="Z942" s="38"/>
    </row>
    <row r="943" spans="8:26">
      <c r="H943" s="64"/>
      <c r="Q943" s="19"/>
      <c r="R943" s="19"/>
      <c r="Z943" s="38"/>
    </row>
    <row r="944" spans="8:26">
      <c r="H944" s="64"/>
      <c r="Q944" s="19"/>
      <c r="R944" s="19"/>
      <c r="Z944" s="38"/>
    </row>
    <row r="945" spans="8:26">
      <c r="H945" s="64"/>
      <c r="Q945" s="19"/>
      <c r="R945" s="19"/>
      <c r="Z945" s="38"/>
    </row>
    <row r="946" spans="8:26">
      <c r="H946" s="64"/>
      <c r="Q946" s="19"/>
      <c r="R946" s="19"/>
      <c r="Z946" s="38"/>
    </row>
    <row r="947" spans="8:26">
      <c r="H947" s="64"/>
      <c r="Q947" s="19"/>
      <c r="R947" s="19"/>
      <c r="Z947" s="38"/>
    </row>
    <row r="948" spans="8:26">
      <c r="H948" s="64"/>
      <c r="Q948" s="19"/>
      <c r="R948" s="19"/>
      <c r="Z948" s="38"/>
    </row>
    <row r="949" spans="8:26">
      <c r="H949" s="64"/>
      <c r="Q949" s="19"/>
      <c r="R949" s="19"/>
      <c r="Z949" s="38"/>
    </row>
    <row r="950" spans="8:26">
      <c r="H950" s="64"/>
      <c r="Q950" s="19"/>
      <c r="R950" s="19"/>
      <c r="Z950" s="38"/>
    </row>
    <row r="951" spans="8:26">
      <c r="H951" s="64"/>
      <c r="Q951" s="19"/>
      <c r="R951" s="19"/>
      <c r="Z951" s="38"/>
    </row>
    <row r="952" spans="8:26">
      <c r="H952" s="64"/>
      <c r="Q952" s="19"/>
      <c r="R952" s="19"/>
      <c r="Z952" s="38"/>
    </row>
    <row r="953" spans="8:26">
      <c r="H953" s="64"/>
      <c r="Q953" s="19"/>
      <c r="R953" s="19"/>
      <c r="Z953" s="38"/>
    </row>
    <row r="954" spans="8:26">
      <c r="H954" s="64"/>
      <c r="Q954" s="19"/>
      <c r="R954" s="19"/>
      <c r="Z954" s="38"/>
    </row>
    <row r="955" spans="8:26">
      <c r="H955" s="64"/>
      <c r="Q955" s="19"/>
      <c r="R955" s="19"/>
      <c r="Z955" s="38"/>
    </row>
    <row r="956" spans="8:26">
      <c r="H956" s="64"/>
      <c r="Q956" s="19"/>
      <c r="R956" s="19"/>
      <c r="Z956" s="38"/>
    </row>
    <row r="957" spans="8:26">
      <c r="H957" s="64"/>
      <c r="Q957" s="19"/>
      <c r="R957" s="19"/>
      <c r="Z957" s="38"/>
    </row>
    <row r="958" spans="8:26">
      <c r="H958" s="64"/>
      <c r="Q958" s="19"/>
      <c r="R958" s="19"/>
      <c r="Z958" s="38"/>
    </row>
    <row r="959" spans="8:26">
      <c r="H959" s="64"/>
      <c r="Q959" s="19"/>
      <c r="R959" s="19"/>
      <c r="Z959" s="38"/>
    </row>
    <row r="960" spans="8:26">
      <c r="H960" s="64"/>
      <c r="Q960" s="19"/>
      <c r="R960" s="19"/>
      <c r="Z960" s="38"/>
    </row>
    <row r="961" spans="8:26">
      <c r="H961" s="64"/>
      <c r="Q961" s="19"/>
      <c r="R961" s="19"/>
      <c r="Z961" s="38"/>
    </row>
    <row r="962" spans="8:26">
      <c r="H962" s="64"/>
      <c r="Q962" s="19"/>
      <c r="R962" s="19"/>
      <c r="Z962" s="38"/>
    </row>
    <row r="963" spans="8:26">
      <c r="H963" s="64"/>
      <c r="Q963" s="19"/>
      <c r="R963" s="19"/>
      <c r="Z963" s="38"/>
    </row>
    <row r="964" spans="8:26">
      <c r="H964" s="64"/>
      <c r="Q964" s="19"/>
      <c r="R964" s="19"/>
      <c r="Z964" s="38"/>
    </row>
    <row r="965" spans="8:26">
      <c r="H965" s="64"/>
      <c r="Q965" s="19"/>
      <c r="R965" s="19"/>
      <c r="Z965" s="38"/>
    </row>
    <row r="966" spans="8:26">
      <c r="H966" s="64"/>
      <c r="Q966" s="19"/>
      <c r="R966" s="19"/>
      <c r="Z966" s="38"/>
    </row>
    <row r="967" spans="8:26">
      <c r="H967" s="64"/>
      <c r="Q967" s="19"/>
      <c r="R967" s="19"/>
      <c r="Z967" s="38"/>
    </row>
    <row r="968" spans="8:26">
      <c r="H968" s="64"/>
      <c r="Q968" s="19"/>
      <c r="R968" s="19"/>
      <c r="Z968" s="38"/>
    </row>
    <row r="969" spans="8:26">
      <c r="H969" s="64"/>
      <c r="Q969" s="19"/>
      <c r="R969" s="19"/>
      <c r="Z969" s="38"/>
    </row>
    <row r="970" spans="8:26">
      <c r="H970" s="64"/>
      <c r="Q970" s="19"/>
      <c r="R970" s="19"/>
      <c r="Z970" s="38"/>
    </row>
    <row r="971" spans="8:26">
      <c r="H971" s="64"/>
      <c r="Q971" s="19"/>
      <c r="R971" s="19"/>
      <c r="Z971" s="38"/>
    </row>
    <row r="972" spans="8:26">
      <c r="H972" s="64"/>
      <c r="Q972" s="19"/>
      <c r="R972" s="19"/>
      <c r="Z972" s="38"/>
    </row>
    <row r="973" spans="8:26">
      <c r="H973" s="64"/>
      <c r="Q973" s="19"/>
      <c r="R973" s="19"/>
      <c r="Z973" s="38"/>
    </row>
    <row r="974" spans="8:26">
      <c r="H974" s="64"/>
      <c r="Q974" s="19"/>
      <c r="R974" s="19"/>
      <c r="Z974" s="38"/>
    </row>
    <row r="975" spans="8:26">
      <c r="H975" s="64"/>
      <c r="Q975" s="19"/>
      <c r="R975" s="19"/>
      <c r="Z975" s="38"/>
    </row>
    <row r="976" spans="8:26">
      <c r="H976" s="64"/>
      <c r="Q976" s="19"/>
      <c r="R976" s="19"/>
      <c r="Z976" s="38"/>
    </row>
    <row r="977" spans="8:26">
      <c r="H977" s="64"/>
      <c r="Q977" s="19"/>
      <c r="R977" s="19"/>
      <c r="Z977" s="38"/>
    </row>
    <row r="978" spans="8:26">
      <c r="H978" s="64"/>
      <c r="Q978" s="19"/>
      <c r="R978" s="19"/>
      <c r="Z978" s="38"/>
    </row>
    <row r="979" spans="8:26">
      <c r="H979" s="64"/>
      <c r="Q979" s="19"/>
      <c r="R979" s="19"/>
      <c r="Z979" s="38"/>
    </row>
    <row r="980" spans="8:26">
      <c r="H980" s="64"/>
      <c r="Q980" s="19"/>
      <c r="R980" s="19"/>
      <c r="Z980" s="38"/>
    </row>
    <row r="981" spans="8:26">
      <c r="H981" s="64"/>
      <c r="Q981" s="19"/>
      <c r="R981" s="19"/>
      <c r="Z981" s="38"/>
    </row>
    <row r="982" spans="8:26">
      <c r="H982" s="64"/>
      <c r="Q982" s="19"/>
      <c r="R982" s="19"/>
      <c r="Z982" s="38"/>
    </row>
    <row r="983" spans="8:26">
      <c r="H983" s="64"/>
      <c r="Q983" s="19"/>
      <c r="R983" s="19"/>
      <c r="Z983" s="38"/>
    </row>
    <row r="984" spans="8:26">
      <c r="H984" s="64"/>
      <c r="Q984" s="19"/>
      <c r="R984" s="19"/>
      <c r="Z984" s="38"/>
    </row>
    <row r="985" spans="8:26">
      <c r="H985" s="64"/>
      <c r="Q985" s="19"/>
      <c r="R985" s="19"/>
      <c r="Z985" s="38"/>
    </row>
    <row r="986" spans="8:26">
      <c r="H986" s="64"/>
      <c r="Q986" s="19"/>
      <c r="R986" s="19"/>
      <c r="Z986" s="38"/>
    </row>
    <row r="987" spans="8:26">
      <c r="H987" s="64"/>
      <c r="Q987" s="19"/>
      <c r="R987" s="19"/>
      <c r="Z987" s="38"/>
    </row>
    <row r="988" spans="8:26">
      <c r="H988" s="64"/>
      <c r="Q988" s="19"/>
      <c r="R988" s="19"/>
      <c r="Z988" s="38"/>
    </row>
    <row r="989" spans="8:26">
      <c r="H989" s="64"/>
      <c r="Q989" s="19"/>
      <c r="R989" s="19"/>
      <c r="Z989" s="38"/>
    </row>
    <row r="990" spans="8:26">
      <c r="H990" s="64"/>
      <c r="Q990" s="19"/>
      <c r="R990" s="19"/>
      <c r="Z990" s="38"/>
    </row>
    <row r="991" spans="8:26">
      <c r="H991" s="64"/>
      <c r="Q991" s="19"/>
      <c r="R991" s="19"/>
      <c r="Z991" s="38"/>
    </row>
    <row r="992" spans="8:26">
      <c r="H992" s="64"/>
      <c r="Q992" s="19"/>
      <c r="R992" s="19"/>
      <c r="Z992" s="38"/>
    </row>
    <row r="993" spans="8:26">
      <c r="H993" s="64"/>
      <c r="Q993" s="19"/>
      <c r="R993" s="19"/>
      <c r="Z993" s="38"/>
    </row>
    <row r="994" spans="8:26">
      <c r="H994" s="64"/>
      <c r="Q994" s="19"/>
      <c r="R994" s="19"/>
      <c r="Z994" s="38"/>
    </row>
    <row r="995" spans="8:26">
      <c r="H995" s="64"/>
      <c r="Q995" s="19"/>
      <c r="R995" s="19"/>
      <c r="Z995" s="38"/>
    </row>
    <row r="996" spans="8:26">
      <c r="H996" s="64"/>
      <c r="Q996" s="19"/>
      <c r="R996" s="19"/>
      <c r="Z996" s="38"/>
    </row>
    <row r="997" spans="8:26">
      <c r="H997" s="64"/>
      <c r="Q997" s="19"/>
      <c r="R997" s="19"/>
      <c r="Z997" s="38"/>
    </row>
    <row r="998" spans="8:26">
      <c r="H998" s="64"/>
      <c r="Q998" s="19"/>
      <c r="R998" s="19"/>
      <c r="Z998" s="38"/>
    </row>
    <row r="999" spans="8:26">
      <c r="H999" s="64"/>
      <c r="Q999" s="19"/>
      <c r="R999" s="19"/>
      <c r="Z999" s="38"/>
    </row>
    <row r="1000" spans="8:26">
      <c r="H1000" s="64"/>
      <c r="Q1000" s="19"/>
      <c r="R1000" s="19"/>
      <c r="Z1000" s="38"/>
    </row>
    <row r="1001" spans="8:26">
      <c r="H1001" s="64"/>
      <c r="Q1001" s="19"/>
      <c r="R1001" s="19"/>
      <c r="Z1001" s="38"/>
    </row>
    <row r="1002" spans="8:26">
      <c r="H1002" s="64"/>
      <c r="Q1002" s="19"/>
      <c r="R1002" s="19"/>
      <c r="Z1002" s="38"/>
    </row>
    <row r="1003" spans="8:26">
      <c r="H1003" s="64"/>
      <c r="Q1003" s="19"/>
      <c r="R1003" s="19"/>
      <c r="Z1003" s="38"/>
    </row>
    <row r="1004" spans="8:26">
      <c r="H1004" s="64"/>
      <c r="Q1004" s="19"/>
      <c r="R1004" s="19"/>
      <c r="Z1004" s="38"/>
    </row>
    <row r="1005" spans="8:26">
      <c r="H1005" s="64"/>
      <c r="Q1005" s="19"/>
      <c r="R1005" s="19"/>
      <c r="Z1005" s="38"/>
    </row>
    <row r="1006" spans="8:26">
      <c r="H1006" s="64"/>
      <c r="Q1006" s="19"/>
      <c r="R1006" s="19"/>
      <c r="Z1006" s="38"/>
    </row>
    <row r="1007" spans="8:26">
      <c r="H1007" s="64"/>
      <c r="Q1007" s="19"/>
      <c r="R1007" s="19"/>
      <c r="Z1007" s="38"/>
    </row>
    <row r="1008" spans="8:26">
      <c r="H1008" s="64"/>
      <c r="Q1008" s="19"/>
      <c r="R1008" s="19"/>
      <c r="Z1008" s="38"/>
    </row>
    <row r="1009" spans="8:26">
      <c r="H1009" s="64"/>
      <c r="Q1009" s="19"/>
      <c r="R1009" s="19"/>
      <c r="Z1009" s="38"/>
    </row>
    <row r="1010" spans="8:26">
      <c r="H1010" s="64"/>
      <c r="Q1010" s="19"/>
      <c r="R1010" s="19"/>
      <c r="Z1010" s="38"/>
    </row>
    <row r="1011" spans="8:26">
      <c r="H1011" s="64"/>
      <c r="Q1011" s="19"/>
      <c r="R1011" s="19"/>
      <c r="Z1011" s="38"/>
    </row>
    <row r="1012" spans="8:26">
      <c r="H1012" s="64"/>
      <c r="Q1012" s="19"/>
      <c r="R1012" s="19"/>
      <c r="Z1012" s="38"/>
    </row>
    <row r="1013" spans="8:26">
      <c r="H1013" s="64"/>
      <c r="Q1013" s="19"/>
      <c r="R1013" s="19"/>
      <c r="Z1013" s="38"/>
    </row>
    <row r="1014" spans="8:26">
      <c r="H1014" s="64"/>
      <c r="Q1014" s="19"/>
      <c r="R1014" s="19"/>
      <c r="Z1014" s="38"/>
    </row>
  </sheetData>
  <pageMargins left="0.7" right="0.7" top="0.75" bottom="0.75" header="0.511811023622047" footer="0.511811023622047"/>
  <pageSetup paperSize="9" orientation="portrait" horizontalDpi="300" verticalDpi="300"/>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23"/>
  <sheetViews>
    <sheetView topLeftCell="AN2" workbookViewId="0">
      <selection activeCell="AV23" sqref="AV23:AW23"/>
    </sheetView>
  </sheetViews>
  <sheetFormatPr defaultColWidth="10.7142857142857" defaultRowHeight="12.75"/>
  <cols>
    <col min="1" max="1" width="41" style="3" customWidth="1"/>
    <col min="2" max="2" width="60.2857142857143" style="3" customWidth="1"/>
    <col min="3" max="3" width="39.7142857142857" style="3" customWidth="1"/>
    <col min="4" max="4" width="15.5714285714286" style="3" customWidth="1"/>
    <col min="5" max="5" width="19" style="3" customWidth="1"/>
    <col min="6" max="7" width="10.7142857142857" style="3"/>
    <col min="8" max="8" width="24.7142857142857" style="3" customWidth="1"/>
    <col min="9" max="26" width="10.7142857142857" style="3"/>
    <col min="27" max="27" width="9.14285714285714" customWidth="1"/>
    <col min="28" max="29" width="12.7142857142857" customWidth="1"/>
    <col min="30" max="30" width="11.8571428571429" style="32" customWidth="1"/>
    <col min="31" max="31" width="11.7142857142857" style="32" customWidth="1"/>
    <col min="32" max="32" width="13.4285714285714" style="32" customWidth="1"/>
    <col min="33" max="33" width="14.2857142857143" style="32" customWidth="1"/>
    <col min="34" max="34" width="16" style="32" customWidth="1"/>
    <col min="35" max="36" width="15.2857142857143" style="32" customWidth="1"/>
    <col min="37" max="37" width="15" style="32" customWidth="1"/>
    <col min="38" max="38" width="15.4285714285714" style="32" customWidth="1"/>
    <col min="39" max="39" width="15" style="32" customWidth="1"/>
    <col min="40" max="40" width="15.2857142857143" style="42" customWidth="1"/>
    <col min="41" max="41" width="17.8571428571429" style="82" customWidth="1"/>
    <col min="42" max="42" width="21.1428571428571" style="42" customWidth="1"/>
    <col min="43" max="43" width="22.5714285714286" style="19" customWidth="1"/>
    <col min="44" max="45" width="19.7142857142857" style="19" customWidth="1"/>
    <col min="46" max="46" width="21.1428571428571" style="19" customWidth="1"/>
    <col min="47" max="47" width="15.2857142857143" style="3" customWidth="1"/>
    <col min="48" max="48" width="49.8571428571429" style="3" customWidth="1"/>
    <col min="49" max="49" width="49" style="7" customWidth="1"/>
    <col min="50" max="1024" width="10.7142857142857" style="3"/>
  </cols>
  <sheetData>
    <row r="1" s="1" customFormat="1" ht="108" spans="1:46">
      <c r="A1" s="8" t="s">
        <v>11505</v>
      </c>
      <c r="B1" s="8" t="s">
        <v>11506</v>
      </c>
      <c r="C1" s="8" t="s">
        <v>11507</v>
      </c>
      <c r="D1" s="8" t="s">
        <v>11508</v>
      </c>
      <c r="E1" s="8" t="s">
        <v>11509</v>
      </c>
      <c r="F1" s="8" t="s">
        <v>11510</v>
      </c>
      <c r="G1" s="8" t="s">
        <v>11513</v>
      </c>
      <c r="H1" s="8" t="s">
        <v>11514</v>
      </c>
      <c r="I1" s="8" t="s">
        <v>11515</v>
      </c>
      <c r="J1" s="8" t="s">
        <v>11522</v>
      </c>
      <c r="K1" s="8" t="s">
        <v>12015</v>
      </c>
      <c r="L1" s="8" t="s">
        <v>12016</v>
      </c>
      <c r="M1" s="8" t="s">
        <v>12608</v>
      </c>
      <c r="N1" s="8" t="s">
        <v>12609</v>
      </c>
      <c r="O1" s="8" t="s">
        <v>11792</v>
      </c>
      <c r="P1" s="8" t="s">
        <v>11793</v>
      </c>
      <c r="Q1" s="8" t="s">
        <v>12610</v>
      </c>
      <c r="R1" s="8" t="s">
        <v>11540</v>
      </c>
      <c r="S1" s="8" t="s">
        <v>11796</v>
      </c>
      <c r="T1" s="8" t="s">
        <v>11541</v>
      </c>
      <c r="U1" s="8" t="s">
        <v>11548</v>
      </c>
      <c r="V1" s="8" t="s">
        <v>11550</v>
      </c>
      <c r="W1" s="8" t="s">
        <v>12052</v>
      </c>
      <c r="X1" s="8" t="s">
        <v>12053</v>
      </c>
      <c r="Y1" s="8" t="s">
        <v>11799</v>
      </c>
      <c r="Z1" s="8" t="s">
        <v>11558</v>
      </c>
      <c r="AA1" s="43" t="s">
        <v>11559</v>
      </c>
      <c r="AB1" s="13" t="s">
        <v>11560</v>
      </c>
      <c r="AC1" s="13" t="s">
        <v>11561</v>
      </c>
      <c r="AD1" s="13" t="s">
        <v>11562</v>
      </c>
      <c r="AE1" s="13" t="s">
        <v>11805</v>
      </c>
      <c r="AF1" s="13" t="s">
        <v>12611</v>
      </c>
      <c r="AG1" s="13" t="s">
        <v>11568</v>
      </c>
      <c r="AH1" s="13" t="s">
        <v>11885</v>
      </c>
      <c r="AI1" s="13" t="s">
        <v>12612</v>
      </c>
      <c r="AJ1" s="13" t="s">
        <v>12613</v>
      </c>
      <c r="AK1" s="13" t="s">
        <v>12614</v>
      </c>
      <c r="AL1" s="13" t="s">
        <v>12615</v>
      </c>
      <c r="AM1" s="13" t="s">
        <v>12060</v>
      </c>
      <c r="AN1" s="13" t="s">
        <v>11573</v>
      </c>
      <c r="AO1" s="13" t="s">
        <v>12064</v>
      </c>
      <c r="AP1" s="13" t="s">
        <v>12065</v>
      </c>
      <c r="AQ1" s="33" t="s">
        <v>12066</v>
      </c>
      <c r="AR1" s="33" t="s">
        <v>12067</v>
      </c>
      <c r="AS1" s="34" t="s">
        <v>11576</v>
      </c>
      <c r="AT1" s="34" t="s">
        <v>11577</v>
      </c>
    </row>
    <row r="2" s="2" customFormat="1" ht="67.5" spans="1:46">
      <c r="A2" s="9" t="s">
        <v>12616</v>
      </c>
      <c r="B2" s="9" t="s">
        <v>11579</v>
      </c>
      <c r="C2" s="9" t="s">
        <v>11580</v>
      </c>
      <c r="D2" s="9" t="s">
        <v>11581</v>
      </c>
      <c r="E2" s="9" t="s">
        <v>11582</v>
      </c>
      <c r="F2" s="9" t="s">
        <v>11583</v>
      </c>
      <c r="G2" s="9" t="s">
        <v>11586</v>
      </c>
      <c r="H2" s="9" t="s">
        <v>11587</v>
      </c>
      <c r="I2" s="9" t="s">
        <v>11588</v>
      </c>
      <c r="J2" s="9" t="s">
        <v>11595</v>
      </c>
      <c r="K2" s="9" t="s">
        <v>12070</v>
      </c>
      <c r="L2" s="9" t="s">
        <v>12071</v>
      </c>
      <c r="M2" s="9" t="s">
        <v>12072</v>
      </c>
      <c r="N2" s="9" t="s">
        <v>12073</v>
      </c>
      <c r="O2" s="9" t="s">
        <v>11815</v>
      </c>
      <c r="P2" s="9" t="s">
        <v>11816</v>
      </c>
      <c r="Q2" s="9" t="s">
        <v>12617</v>
      </c>
      <c r="R2" s="9" t="s">
        <v>11613</v>
      </c>
      <c r="S2" s="9" t="s">
        <v>11819</v>
      </c>
      <c r="T2" s="9" t="s">
        <v>11614</v>
      </c>
      <c r="U2" s="9" t="s">
        <v>11621</v>
      </c>
      <c r="V2" s="9" t="s">
        <v>11623</v>
      </c>
      <c r="W2" s="9" t="s">
        <v>12104</v>
      </c>
      <c r="X2" s="9" t="s">
        <v>12105</v>
      </c>
      <c r="Y2" s="9" t="s">
        <v>11822</v>
      </c>
      <c r="Z2" s="9" t="s">
        <v>11631</v>
      </c>
      <c r="AA2" s="44"/>
      <c r="AB2" s="13"/>
      <c r="AC2" s="13"/>
      <c r="AD2" s="17"/>
      <c r="AE2" s="17"/>
      <c r="AF2" s="17"/>
      <c r="AG2" s="17"/>
      <c r="AH2" s="17"/>
      <c r="AI2" s="17"/>
      <c r="AJ2" s="17"/>
      <c r="AK2" s="17"/>
      <c r="AL2" s="17"/>
      <c r="AM2" s="17"/>
      <c r="AN2" s="17"/>
      <c r="AO2" s="17"/>
      <c r="AP2" s="17"/>
      <c r="AQ2" s="34"/>
      <c r="AR2" s="34"/>
      <c r="AS2" s="34"/>
      <c r="AT2" s="34"/>
    </row>
    <row r="3" s="1" customFormat="1" ht="71.25" customHeight="1" spans="1:47">
      <c r="A3" s="10" t="s">
        <v>12618</v>
      </c>
      <c r="B3" s="10" t="s">
        <v>12619</v>
      </c>
      <c r="C3" s="10" t="s">
        <v>12620</v>
      </c>
      <c r="D3" s="10" t="s">
        <v>12621</v>
      </c>
      <c r="E3" s="10" t="s">
        <v>12622</v>
      </c>
      <c r="F3" s="10" t="s">
        <v>12623</v>
      </c>
      <c r="G3" s="10" t="s">
        <v>12624</v>
      </c>
      <c r="H3" s="10" t="s">
        <v>12625</v>
      </c>
      <c r="I3" s="10" t="s">
        <v>12626</v>
      </c>
      <c r="J3" s="10" t="s">
        <v>12627</v>
      </c>
      <c r="K3" s="10" t="s">
        <v>12628</v>
      </c>
      <c r="L3" s="10" t="s">
        <v>12629</v>
      </c>
      <c r="M3" s="10" t="s">
        <v>12630</v>
      </c>
      <c r="N3" s="10" t="s">
        <v>12631</v>
      </c>
      <c r="O3" s="10" t="s">
        <v>12632</v>
      </c>
      <c r="P3" s="10" t="s">
        <v>12633</v>
      </c>
      <c r="Q3" s="10" t="s">
        <v>12634</v>
      </c>
      <c r="R3" s="10" t="s">
        <v>12635</v>
      </c>
      <c r="S3" s="10" t="s">
        <v>12636</v>
      </c>
      <c r="T3" s="10" t="s">
        <v>12637</v>
      </c>
      <c r="U3" s="10" t="s">
        <v>12638</v>
      </c>
      <c r="V3" s="10" t="s">
        <v>12639</v>
      </c>
      <c r="W3" s="10" t="s">
        <v>12640</v>
      </c>
      <c r="X3" s="10" t="s">
        <v>12641</v>
      </c>
      <c r="Y3" s="10" t="s">
        <v>12642</v>
      </c>
      <c r="Z3" s="10" t="s">
        <v>12643</v>
      </c>
      <c r="AA3" s="45"/>
      <c r="AB3" s="16"/>
      <c r="AC3" s="16"/>
      <c r="AD3" s="16" t="s">
        <v>11683</v>
      </c>
      <c r="AE3" s="16" t="s">
        <v>11522</v>
      </c>
      <c r="AF3" s="16" t="s">
        <v>11523</v>
      </c>
      <c r="AG3" s="16" t="s">
        <v>11686</v>
      </c>
      <c r="AH3" s="16" t="s">
        <v>11687</v>
      </c>
      <c r="AI3" s="16" t="s">
        <v>12644</v>
      </c>
      <c r="AJ3" s="16" t="s">
        <v>12644</v>
      </c>
      <c r="AK3" s="16" t="s">
        <v>307</v>
      </c>
      <c r="AL3" s="16" t="s">
        <v>11871</v>
      </c>
      <c r="AM3" s="16" t="s">
        <v>12168</v>
      </c>
      <c r="AN3" s="16" t="s">
        <v>11695</v>
      </c>
      <c r="AO3" s="16" t="s">
        <v>12169</v>
      </c>
      <c r="AP3" s="16" t="s">
        <v>12170</v>
      </c>
      <c r="AQ3" s="35" t="s">
        <v>12171</v>
      </c>
      <c r="AR3" s="35" t="s">
        <v>12172</v>
      </c>
      <c r="AS3" s="35" t="s">
        <v>11698</v>
      </c>
      <c r="AT3" s="35" t="s">
        <v>11699</v>
      </c>
      <c r="AU3" s="37" t="s">
        <v>11700</v>
      </c>
    </row>
    <row r="4" spans="4:49">
      <c r="D4" s="50"/>
      <c r="E4" s="50"/>
      <c r="Z4" s="55"/>
      <c r="AB4" s="6">
        <f>IF(AND(D4&gt;4678396.48217382,D4&lt;4924789.13601513),0,1)</f>
        <v>1</v>
      </c>
      <c r="AC4" s="6">
        <f>IF(AND(E4&gt;1554744.35667513,E4&lt;1771650.40247209),0,1)</f>
        <v>1</v>
      </c>
      <c r="AD4" s="19">
        <f>+IF(U4&lt;3,IF(G4="",0,IF(G4&gt;0,0,1)),0)</f>
        <v>0</v>
      </c>
      <c r="AE4" s="32">
        <f>IF(U4&lt;3,IF(OR(J4=9999,J4&lt;=('[2]Input anno'!$A$1)),0,1),0)</f>
        <v>0</v>
      </c>
      <c r="AF4" s="32">
        <f>IF(U4&lt;3,IF(OR(K4=9800,K4=9999,K4&lt;='[2]Input anno'!$A$1),0,1),0)</f>
        <v>0</v>
      </c>
      <c r="AG4" s="32">
        <f>+IF(U4=3,IF(J4='[2]Input anno'!$A$1,0,1),0)</f>
        <v>0</v>
      </c>
      <c r="AH4" s="19">
        <f>+IF(U4&lt;3,IF(J4&lt;&gt;9999,IF(AND(J4&lt;K4,J4&lt;M4),0,1),0),0)</f>
        <v>1</v>
      </c>
      <c r="AI4" s="32">
        <f>+IF(U4&lt;3,IF(AND(L4&gt;0,L4&lt;6),0,1),0)</f>
        <v>1</v>
      </c>
      <c r="AJ4" s="32">
        <f>+IF(U4&lt;3,IF(AND(N4&gt;0,N4&lt;6),0,1),0)</f>
        <v>1</v>
      </c>
      <c r="AK4" s="32">
        <f>+IF(U4=1,IF(O4&gt;0,0,1),0)</f>
        <v>0</v>
      </c>
      <c r="AL4" s="32">
        <f>+IF(U4=1,IF(P4&gt;0,0,1),0)</f>
        <v>0</v>
      </c>
      <c r="AM4" s="32">
        <f>+IF(U4&lt;3,IF(AND(R4&gt;0,R4&lt;5),0,1),0)</f>
        <v>1</v>
      </c>
      <c r="AN4" s="19">
        <f>+IF(U4&lt;3,IF(J4&lt;&gt;9999,IF(J4&gt;=2014,IF(V4="A",0,1),0),IF(V4="X",0,1)),0)</f>
        <v>0</v>
      </c>
      <c r="AO4" s="82">
        <f>+IF(U4&lt;3,IF(K4&lt;9800,IF(K4&gt;=2014,IF(W4="A",0,1),0),IF(K4=9999,IF(W4="X",0,1),IF(W4="A",0,1))),0)</f>
        <v>0</v>
      </c>
      <c r="AP4" s="19">
        <f>+IF(U4&lt;3,IF(M4&lt;9800,IF(M4&gt;=2014,IF(X4="A",0,1),0),IF(M4=9999,IF(X4="X",0,1),IF(X4="A",0,1))),0)</f>
        <v>0</v>
      </c>
      <c r="AQ4" s="36">
        <f>+IF(U4&lt;3,IF(AND(K4&lt;&gt;9800,K4&lt;&gt;9999),IF(AND(K4&gt;=2019,L4&lt;4),1,0),0),0)</f>
        <v>0</v>
      </c>
      <c r="AR4" s="36">
        <f>+IF(U4&lt;3,IF(AND(M4&lt;&gt;9800,M4&lt;&gt;9999),IF(AND(M4&gt;=2019,N4&lt;4),1,0),0),0)</f>
        <v>0</v>
      </c>
      <c r="AS4" s="36">
        <f>IF(U4&lt;3,IF(J4=9999,0,IF(J4&gt;=2014,IF(AND(K4&gt;J4,M4&gt;J4,L4&gt;=4,N4&gt;=4),0,1),0)),0)</f>
        <v>0</v>
      </c>
      <c r="AT4" s="36">
        <f>+IF(U4&lt;3,IF(J4=9999,0,IF(J4&gt;=2015,IF(COUNTBLANK(B4:Z4)=0,0,1),0)),0)</f>
        <v>0</v>
      </c>
      <c r="AU4" s="38">
        <f>+IF(AND(J4='[2]Input anno'!$A$1,U4=1),COUNTBLANK(B4:Z4),0)</f>
        <v>0</v>
      </c>
      <c r="AV4" s="84" t="s">
        <v>11560</v>
      </c>
      <c r="AW4" s="84" t="str">
        <f>IF(SUM(AB:AB)=0,"OK","errore su coordinata Nord")</f>
        <v>errore su coordinata Nord</v>
      </c>
    </row>
    <row r="5" ht="14.25" spans="4:49">
      <c r="D5" s="50"/>
      <c r="E5" s="50"/>
      <c r="Z5" s="55"/>
      <c r="AB5" s="25"/>
      <c r="AC5" s="25"/>
      <c r="AD5" s="19"/>
      <c r="AH5" s="19"/>
      <c r="AN5" s="19"/>
      <c r="AO5" s="83"/>
      <c r="AP5" s="19"/>
      <c r="AQ5" s="36"/>
      <c r="AR5" s="36"/>
      <c r="AS5" s="36"/>
      <c r="AT5" s="36"/>
      <c r="AU5" s="38"/>
      <c r="AV5" s="84" t="s">
        <v>11561</v>
      </c>
      <c r="AW5" s="84" t="str">
        <f>IF(SUM(AC:AC)=0,"OK","errore su coordinata Est")</f>
        <v>errore su coordinata Est</v>
      </c>
    </row>
    <row r="6" ht="14.25" spans="4:49">
      <c r="D6" s="50"/>
      <c r="E6" s="50"/>
      <c r="Z6" s="55"/>
      <c r="AB6" s="25"/>
      <c r="AC6" s="25"/>
      <c r="AD6" s="19"/>
      <c r="AH6" s="19"/>
      <c r="AN6" s="19"/>
      <c r="AO6" s="83"/>
      <c r="AP6" s="19"/>
      <c r="AQ6" s="36"/>
      <c r="AR6" s="36"/>
      <c r="AS6" s="36"/>
      <c r="AT6" s="36"/>
      <c r="AU6" s="38"/>
      <c r="AV6" s="84" t="s">
        <v>11701</v>
      </c>
      <c r="AW6" s="56" t="str">
        <f>IF(SUM(AD:AD)=0,"OK","Attenzione! Possibile errore, QUOTA=0. Verificare e confermare i dati")</f>
        <v>OK</v>
      </c>
    </row>
    <row r="7" ht="14.25" spans="4:49">
      <c r="D7" s="50"/>
      <c r="E7" s="50"/>
      <c r="Z7" s="55"/>
      <c r="AB7" s="25"/>
      <c r="AC7" s="25"/>
      <c r="AD7" s="19"/>
      <c r="AH7" s="19"/>
      <c r="AN7" s="19"/>
      <c r="AO7" s="83"/>
      <c r="AP7" s="19"/>
      <c r="AQ7" s="36"/>
      <c r="AR7" s="36"/>
      <c r="AS7" s="36"/>
      <c r="AT7" s="36"/>
      <c r="AU7" s="38"/>
      <c r="AV7" s="84" t="s">
        <v>11522</v>
      </c>
      <c r="AW7" s="56" t="str">
        <f>IF(SUM(AE:AE)=0,"OK","errore su anno costruzione")</f>
        <v>OK</v>
      </c>
    </row>
    <row r="8" ht="14.25" spans="4:49">
      <c r="D8" s="50"/>
      <c r="E8" s="50"/>
      <c r="Z8" s="55"/>
      <c r="AB8" s="25"/>
      <c r="AC8" s="25"/>
      <c r="AD8" s="19"/>
      <c r="AH8" s="19"/>
      <c r="AN8" s="19"/>
      <c r="AO8" s="83"/>
      <c r="AP8" s="19"/>
      <c r="AQ8" s="36"/>
      <c r="AR8" s="36"/>
      <c r="AS8" s="36"/>
      <c r="AT8" s="36"/>
      <c r="AU8" s="38"/>
      <c r="AV8" s="84" t="s">
        <v>11523</v>
      </c>
      <c r="AW8" s="56" t="str">
        <f>IF(SUM(AF:AF)=0,"OK","errore su anni ristrutturazione")</f>
        <v>OK</v>
      </c>
    </row>
    <row r="9" ht="14.25" spans="4:49">
      <c r="D9" s="50"/>
      <c r="E9" s="50"/>
      <c r="Z9" s="55"/>
      <c r="AB9" s="25"/>
      <c r="AC9" s="25"/>
      <c r="AD9" s="19"/>
      <c r="AH9" s="19"/>
      <c r="AN9" s="19"/>
      <c r="AO9" s="83"/>
      <c r="AP9" s="19"/>
      <c r="AQ9" s="36"/>
      <c r="AR9" s="36"/>
      <c r="AS9" s="36"/>
      <c r="AT9" s="36"/>
      <c r="AU9" s="38"/>
      <c r="AV9" s="84" t="s">
        <v>11686</v>
      </c>
      <c r="AW9" s="56" t="str">
        <f>IF(SUM(AG:AG)=0,"OK","errore congruenza su anno perforazione pari a 3")</f>
        <v>OK</v>
      </c>
    </row>
    <row r="10" ht="29.25" customHeight="1" spans="4:49">
      <c r="D10" s="50"/>
      <c r="E10" s="50"/>
      <c r="Z10" s="55"/>
      <c r="AB10" s="25"/>
      <c r="AC10" s="25"/>
      <c r="AD10" s="19"/>
      <c r="AH10" s="19"/>
      <c r="AN10" s="19"/>
      <c r="AO10" s="83"/>
      <c r="AP10" s="19"/>
      <c r="AQ10" s="36"/>
      <c r="AR10" s="36"/>
      <c r="AS10" s="36"/>
      <c r="AT10" s="36"/>
      <c r="AU10" s="38"/>
      <c r="AV10" s="84" t="s">
        <v>11704</v>
      </c>
      <c r="AW10" s="56" t="str">
        <f>IF(SUM(AH:AH)=0,"OK","anno costruzione non congruente con anno ristrutturazione")</f>
        <v>anno costruzione non congruente con anno ristrutturazione</v>
      </c>
    </row>
    <row r="11" ht="25.5" spans="4:49">
      <c r="D11" s="50"/>
      <c r="E11" s="50"/>
      <c r="Z11" s="55"/>
      <c r="AB11" s="25"/>
      <c r="AC11" s="25"/>
      <c r="AD11" s="19"/>
      <c r="AH11" s="19"/>
      <c r="AN11" s="19"/>
      <c r="AO11" s="83"/>
      <c r="AP11" s="19"/>
      <c r="AQ11" s="36"/>
      <c r="AR11" s="36"/>
      <c r="AS11" s="36"/>
      <c r="AT11" s="36"/>
      <c r="AU11" s="38"/>
      <c r="AV11" s="56" t="s">
        <v>12166</v>
      </c>
      <c r="AW11" s="56" t="str">
        <f>IF(SUM(AI:AI)=0,"OK","stato di conservazione op. civili non congruente con codifiche ammesse")</f>
        <v>stato di conservazione op. civili non congruente con codifiche ammesse</v>
      </c>
    </row>
    <row r="12" ht="25.5" spans="4:49">
      <c r="D12" s="50"/>
      <c r="E12" s="50"/>
      <c r="Z12" s="55"/>
      <c r="AB12" s="25"/>
      <c r="AC12" s="25"/>
      <c r="AD12" s="19"/>
      <c r="AH12" s="19"/>
      <c r="AN12" s="19"/>
      <c r="AO12" s="83"/>
      <c r="AP12" s="19"/>
      <c r="AQ12" s="36"/>
      <c r="AR12" s="36"/>
      <c r="AS12" s="36"/>
      <c r="AT12" s="36"/>
      <c r="AU12" s="38"/>
      <c r="AV12" s="56" t="s">
        <v>12645</v>
      </c>
      <c r="AW12" s="56" t="str">
        <f>IF(SUM(AJ:AJ)=0,"OK","stato di conservazione op. civili non congruente con codifiche ammesse")</f>
        <v>stato di conservazione op. civili non congruente con codifiche ammesse</v>
      </c>
    </row>
    <row r="13" ht="14.25" spans="4:49">
      <c r="D13" s="50"/>
      <c r="E13" s="50"/>
      <c r="Z13" s="55"/>
      <c r="AB13" s="25"/>
      <c r="AC13" s="25"/>
      <c r="AD13" s="19"/>
      <c r="AH13" s="19"/>
      <c r="AN13" s="19"/>
      <c r="AO13" s="83"/>
      <c r="AP13" s="19"/>
      <c r="AQ13" s="36"/>
      <c r="AR13" s="36"/>
      <c r="AS13" s="36"/>
      <c r="AT13" s="36"/>
      <c r="AU13" s="38"/>
      <c r="AV13" s="56" t="s">
        <v>307</v>
      </c>
      <c r="AW13" s="56" t="str">
        <f>IF(SUM(AK:AK)=0,"OK","potenza installata non congruente con stato impianto")</f>
        <v>OK</v>
      </c>
    </row>
    <row r="14" ht="14.25" spans="4:49">
      <c r="D14" s="50"/>
      <c r="E14" s="50"/>
      <c r="Z14" s="55"/>
      <c r="AB14" s="25"/>
      <c r="AC14" s="25"/>
      <c r="AD14" s="19"/>
      <c r="AH14" s="19"/>
      <c r="AN14" s="19"/>
      <c r="AO14" s="83"/>
      <c r="AP14" s="19"/>
      <c r="AQ14" s="36"/>
      <c r="AR14" s="36"/>
      <c r="AS14" s="36"/>
      <c r="AT14" s="36"/>
      <c r="AU14" s="38"/>
      <c r="AV14" s="56" t="s">
        <v>11871</v>
      </c>
      <c r="AW14" s="56" t="str">
        <f>IF(SUM(AL:AL)=0,"OK","consumo energia non congruente con stato impianto")</f>
        <v>OK</v>
      </c>
    </row>
    <row r="15" ht="25.5" spans="4:49">
      <c r="D15" s="50"/>
      <c r="E15" s="50"/>
      <c r="Z15" s="55"/>
      <c r="AB15" s="25"/>
      <c r="AC15" s="25"/>
      <c r="AD15" s="19"/>
      <c r="AH15" s="19"/>
      <c r="AN15" s="19"/>
      <c r="AO15" s="83"/>
      <c r="AP15" s="19"/>
      <c r="AQ15" s="36"/>
      <c r="AR15" s="36"/>
      <c r="AS15" s="36"/>
      <c r="AT15" s="36"/>
      <c r="AU15" s="38"/>
      <c r="AV15" s="56" t="s">
        <v>12168</v>
      </c>
      <c r="AW15" s="56" t="str">
        <f>IF(SUM(AM:AM)=0,"OK","tipo telecontrollo non congruente con codifica ammessa")</f>
        <v>tipo telecontrollo non congruente con codifica ammessa</v>
      </c>
    </row>
    <row r="16" ht="14.25" spans="4:49">
      <c r="D16" s="50"/>
      <c r="E16" s="50"/>
      <c r="Z16" s="55"/>
      <c r="AB16" s="25"/>
      <c r="AC16" s="25"/>
      <c r="AD16" s="19"/>
      <c r="AH16" s="19"/>
      <c r="AN16" s="19"/>
      <c r="AO16" s="83"/>
      <c r="AP16" s="19"/>
      <c r="AQ16" s="36"/>
      <c r="AR16" s="36"/>
      <c r="AS16" s="36"/>
      <c r="AT16" s="36"/>
      <c r="AU16" s="38"/>
      <c r="AV16" s="48" t="s">
        <v>11695</v>
      </c>
      <c r="AW16" s="57" t="str">
        <f>IF(SUM(AN:AN)=0,"OK","indice confidenza non congruente con anno di costruzione")</f>
        <v>OK</v>
      </c>
    </row>
    <row r="17" ht="14.25" spans="4:49">
      <c r="D17" s="50"/>
      <c r="E17" s="50"/>
      <c r="Z17" s="55"/>
      <c r="AB17" s="25"/>
      <c r="AC17" s="25"/>
      <c r="AD17" s="19"/>
      <c r="AH17" s="19"/>
      <c r="AN17" s="19"/>
      <c r="AO17" s="83"/>
      <c r="AP17" s="19"/>
      <c r="AQ17" s="36"/>
      <c r="AR17" s="36"/>
      <c r="AS17" s="36"/>
      <c r="AT17" s="36"/>
      <c r="AU17" s="38"/>
      <c r="AV17" s="48" t="s">
        <v>12169</v>
      </c>
      <c r="AW17" s="57" t="str">
        <f>IF(SUM(AO:AO)=0,"OK","indice confidenza non congruente con anno di ristrutt. Op. civili")</f>
        <v>OK</v>
      </c>
    </row>
    <row r="18" ht="14.25" spans="4:49">
      <c r="D18" s="50"/>
      <c r="E18" s="50"/>
      <c r="Z18" s="55"/>
      <c r="AB18" s="25"/>
      <c r="AC18" s="25"/>
      <c r="AD18" s="19"/>
      <c r="AH18" s="19"/>
      <c r="AN18" s="19"/>
      <c r="AO18" s="83"/>
      <c r="AP18" s="19"/>
      <c r="AQ18" s="36"/>
      <c r="AR18" s="36"/>
      <c r="AS18" s="36"/>
      <c r="AT18" s="36"/>
      <c r="AU18" s="38"/>
      <c r="AV18" s="48" t="s">
        <v>12170</v>
      </c>
      <c r="AW18" s="57" t="str">
        <f>IF(SUM(AP:AP)=0,"OK","indice confidenza non congruente con anno di ristrutt. Op. elettrom.")</f>
        <v>OK</v>
      </c>
    </row>
    <row r="19" ht="14.25" spans="4:49">
      <c r="D19" s="50"/>
      <c r="E19" s="50"/>
      <c r="Z19" s="55"/>
      <c r="AB19" s="25"/>
      <c r="AC19" s="25"/>
      <c r="AD19" s="19"/>
      <c r="AH19" s="19"/>
      <c r="AN19" s="19"/>
      <c r="AO19" s="83"/>
      <c r="AP19" s="19"/>
      <c r="AQ19" s="36"/>
      <c r="AR19" s="36"/>
      <c r="AS19" s="36"/>
      <c r="AT19" s="36"/>
      <c r="AU19" s="38"/>
      <c r="AV19" s="58" t="s">
        <v>12174</v>
      </c>
      <c r="AW19" s="59" t="str">
        <f>IF(SUM(AQ:AQ)=0,"OK","conservazione opere CIVILI non congruente con anno di ristrutturazione &gt;=2018")</f>
        <v>OK</v>
      </c>
    </row>
    <row r="20" ht="14.25" spans="4:49">
      <c r="D20" s="50"/>
      <c r="E20" s="50"/>
      <c r="Z20" s="55"/>
      <c r="AB20" s="25"/>
      <c r="AC20" s="25"/>
      <c r="AD20" s="19"/>
      <c r="AH20" s="19"/>
      <c r="AN20" s="19"/>
      <c r="AO20" s="83"/>
      <c r="AP20" s="19"/>
      <c r="AQ20" s="36"/>
      <c r="AR20" s="36"/>
      <c r="AS20" s="36"/>
      <c r="AT20" s="36"/>
      <c r="AU20" s="38"/>
      <c r="AV20" s="58" t="s">
        <v>12175</v>
      </c>
      <c r="AW20" s="59" t="str">
        <f>IF(SUM(AR:AR)=0,"OK","conservazione opere ELETTROM non congruente con anno di ristrutturazione &gt;=2018")</f>
        <v>OK</v>
      </c>
    </row>
    <row r="21" ht="14.25" spans="4:49">
      <c r="D21" s="50"/>
      <c r="E21" s="50"/>
      <c r="Z21" s="55"/>
      <c r="AB21" s="25"/>
      <c r="AC21" s="25"/>
      <c r="AD21" s="19"/>
      <c r="AH21" s="19"/>
      <c r="AN21" s="19"/>
      <c r="AO21" s="83"/>
      <c r="AP21" s="19"/>
      <c r="AQ21" s="36"/>
      <c r="AR21" s="36"/>
      <c r="AS21" s="36"/>
      <c r="AT21" s="36"/>
      <c r="AU21" s="38"/>
      <c r="AV21" s="59" t="s">
        <v>11698</v>
      </c>
      <c r="AW21" s="59" t="str">
        <f>IF(SUM(AS:AS)=0,"OK","Anno ristrutt. e/o stato di conservazione non congruenti con anno di costruzione &gt;=2014")</f>
        <v>OK</v>
      </c>
    </row>
    <row r="22" ht="14.25" spans="4:49">
      <c r="D22" s="50"/>
      <c r="E22" s="50"/>
      <c r="Z22" s="55"/>
      <c r="AB22" s="25"/>
      <c r="AC22" s="25"/>
      <c r="AD22" s="19"/>
      <c r="AH22" s="19"/>
      <c r="AN22" s="19"/>
      <c r="AO22" s="83"/>
      <c r="AP22" s="19"/>
      <c r="AQ22" s="36"/>
      <c r="AR22" s="36"/>
      <c r="AS22" s="36"/>
      <c r="AT22" s="36"/>
      <c r="AU22" s="38"/>
      <c r="AV22" s="59" t="s">
        <v>11699</v>
      </c>
      <c r="AW22" s="59" t="str">
        <f>IF(SUM(AT:AT)=0,"OK","Errore: celle vuote in corrispondenza di opera costruita in anno &gt;=2015")</f>
        <v>OK</v>
      </c>
    </row>
    <row r="23" spans="48:49">
      <c r="AV23" s="37" t="s">
        <v>11700</v>
      </c>
      <c r="AW23" s="41" t="str">
        <f>IF(SUM(AU:AU)=0,"OK","Errore: verifica completezza su nuove opere")</f>
        <v>OK</v>
      </c>
    </row>
  </sheetData>
  <pageMargins left="0.75" right="0.75" top="1" bottom="1" header="0.511811023622047" footer="0.511811023622047"/>
  <pageSetup paperSize="9" orientation="portrait" horizontalDpi="300" verticalDpi="300"/>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
  <sheetViews>
    <sheetView zoomScale="98" zoomScaleNormal="98" topLeftCell="I1" workbookViewId="0">
      <selection activeCell="O4" sqref="O4"/>
    </sheetView>
  </sheetViews>
  <sheetFormatPr defaultColWidth="8.71428571428571" defaultRowHeight="12.75"/>
  <cols>
    <col min="1" max="1" width="21" style="3" customWidth="1"/>
    <col min="2" max="13" width="13.4285714285714" style="3" customWidth="1"/>
    <col min="15" max="15" width="13" style="19" customWidth="1"/>
    <col min="16" max="16" width="14.7142857142857" style="19" customWidth="1"/>
    <col min="17" max="18" width="11.7142857142857" style="19" customWidth="1"/>
    <col min="19" max="19" width="17.8571428571429" style="42" customWidth="1"/>
    <col min="20" max="21" width="11.7142857142857" style="19" customWidth="1"/>
    <col min="22" max="22" width="14" style="19" customWidth="1"/>
    <col min="23" max="24" width="11.7142857142857" style="19" customWidth="1"/>
    <col min="26" max="26" width="46.1428571428571" customWidth="1"/>
    <col min="27" max="27" width="20.2857142857143" customWidth="1"/>
  </cols>
  <sheetData>
    <row r="1" ht="99.75" customHeight="1" spans="1:24">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43" t="s">
        <v>11559</v>
      </c>
      <c r="O1" s="13" t="s">
        <v>11883</v>
      </c>
      <c r="P1" s="13" t="s">
        <v>11566</v>
      </c>
      <c r="Q1" s="13" t="s">
        <v>11567</v>
      </c>
      <c r="R1" s="13" t="s">
        <v>11885</v>
      </c>
      <c r="S1" s="13" t="s">
        <v>12402</v>
      </c>
      <c r="T1" s="47" t="s">
        <v>11575</v>
      </c>
      <c r="U1" s="13" t="s">
        <v>11889</v>
      </c>
      <c r="V1" s="13" t="s">
        <v>11890</v>
      </c>
      <c r="W1" s="13" t="s">
        <v>11891</v>
      </c>
      <c r="X1" s="13" t="s">
        <v>11892</v>
      </c>
    </row>
    <row r="2" ht="56.25" spans="1:24">
      <c r="A2" s="9" t="s">
        <v>11709</v>
      </c>
      <c r="B2" s="9" t="s">
        <v>11597</v>
      </c>
      <c r="C2" s="9" t="s">
        <v>11893</v>
      </c>
      <c r="D2" s="9" t="s">
        <v>11596</v>
      </c>
      <c r="E2" s="9" t="s">
        <v>11894</v>
      </c>
      <c r="F2" s="9" t="s">
        <v>11895</v>
      </c>
      <c r="G2" s="9" t="s">
        <v>11896</v>
      </c>
      <c r="H2" s="9" t="s">
        <v>11897</v>
      </c>
      <c r="I2" s="9" t="s">
        <v>11898</v>
      </c>
      <c r="J2" s="9" t="s">
        <v>11624</v>
      </c>
      <c r="K2" s="9" t="s">
        <v>11899</v>
      </c>
      <c r="L2" s="9" t="s">
        <v>11900</v>
      </c>
      <c r="M2" s="9" t="s">
        <v>11901</v>
      </c>
      <c r="N2" s="44"/>
      <c r="O2" s="17"/>
      <c r="P2" s="17"/>
      <c r="Q2" s="17"/>
      <c r="R2" s="17"/>
      <c r="S2" s="17"/>
      <c r="T2" s="17"/>
      <c r="U2" s="17"/>
      <c r="V2" s="17"/>
      <c r="W2" s="17"/>
      <c r="X2" s="17"/>
    </row>
    <row r="3" ht="60" spans="1:24">
      <c r="A3" s="10" t="s">
        <v>12646</v>
      </c>
      <c r="B3" s="10" t="s">
        <v>12647</v>
      </c>
      <c r="C3" s="10" t="s">
        <v>12648</v>
      </c>
      <c r="D3" s="10" t="s">
        <v>12649</v>
      </c>
      <c r="E3" s="10" t="s">
        <v>12650</v>
      </c>
      <c r="F3" s="10" t="s">
        <v>12651</v>
      </c>
      <c r="G3" s="10" t="s">
        <v>12652</v>
      </c>
      <c r="H3" s="10" t="s">
        <v>12653</v>
      </c>
      <c r="I3" s="10" t="s">
        <v>12654</v>
      </c>
      <c r="J3" s="10" t="s">
        <v>12655</v>
      </c>
      <c r="K3" s="10" t="s">
        <v>12656</v>
      </c>
      <c r="L3" s="10" t="s">
        <v>12657</v>
      </c>
      <c r="M3" s="10" t="s">
        <v>12658</v>
      </c>
      <c r="N3" s="45"/>
      <c r="O3" s="46" t="s">
        <v>11915</v>
      </c>
      <c r="P3" s="16" t="s">
        <v>11916</v>
      </c>
      <c r="Q3" s="16" t="s">
        <v>11523</v>
      </c>
      <c r="R3" s="16" t="s">
        <v>11917</v>
      </c>
      <c r="S3" s="16" t="s">
        <v>12416</v>
      </c>
      <c r="T3" s="16" t="s">
        <v>11697</v>
      </c>
      <c r="U3" s="16" t="s">
        <v>11919</v>
      </c>
      <c r="V3" s="16" t="s">
        <v>11920</v>
      </c>
      <c r="W3" s="16" t="s">
        <v>11877</v>
      </c>
      <c r="X3" s="16" t="s">
        <v>11921</v>
      </c>
    </row>
    <row r="4" spans="15:27">
      <c r="O4" s="19">
        <f>+IF(AND(B4&gt;0,B4&lt;6),0,1)</f>
        <v>1</v>
      </c>
      <c r="P4" s="19">
        <f>IF(OR(C4=9999,C4&lt;=('[2]Input anno'!$A$1)),0,1)</f>
        <v>0</v>
      </c>
      <c r="Q4" s="19">
        <f>IF(OR(D4=9800,D4=9999,D4=9999,D4&lt;='[2]Input anno'!$A$1),0,1)</f>
        <v>0</v>
      </c>
      <c r="R4" s="19">
        <f>+IF(C4&lt;&gt;9999,IF(C4&lt;D4,0,1),0)</f>
        <v>1</v>
      </c>
      <c r="S4" s="19">
        <f>+IF(D4&lt;9800,IF(D4&gt;=2014,IF(J4&lt;="A",0,1),0),IF(D4=9999,IF(J4="X",0,1),IF(J4="A",0,1)))</f>
        <v>0</v>
      </c>
      <c r="T4" s="19">
        <f>+IF(AND(D4&lt;&gt;9800,D4&lt;&gt;9999),IF(AND(D4&gt;=2019,B4&lt;4),1,0),0)</f>
        <v>0</v>
      </c>
      <c r="U4" s="19">
        <f>+IF(E4&gt;0,0,1)</f>
        <v>1</v>
      </c>
      <c r="V4" s="19">
        <f>+IF(F4&gt;0,0,1)</f>
        <v>1</v>
      </c>
      <c r="W4" s="19">
        <f>+IF(G4&gt;0,0,1)</f>
        <v>1</v>
      </c>
      <c r="X4" s="19">
        <f>+IF(OR(H4=0,H4=1),0,1)</f>
        <v>0</v>
      </c>
      <c r="Z4" s="21" t="s">
        <v>11915</v>
      </c>
      <c r="AA4" s="48" t="str">
        <f>IF(SUM(O:O)=0,"OK","stato di conservazione non congruente con codifiche ammesse")</f>
        <v>stato di conservazione non congruente con codifiche ammesse</v>
      </c>
    </row>
    <row r="5" spans="19:27">
      <c r="S5" s="19"/>
      <c r="Z5" s="49" t="s">
        <v>11874</v>
      </c>
      <c r="AA5" s="48" t="str">
        <f>IF(SUM(P:P)=0,"OK","errore su anno installazione")</f>
        <v>OK</v>
      </c>
    </row>
    <row r="6" spans="19:27">
      <c r="S6" s="19"/>
      <c r="Z6" s="49" t="s">
        <v>11523</v>
      </c>
      <c r="AA6" s="48" t="str">
        <f>IF(SUM(Q:Q)=0,"OK","errore su anni ristrutturazione")</f>
        <v>OK</v>
      </c>
    </row>
    <row r="7" spans="19:27">
      <c r="S7" s="19"/>
      <c r="Z7" s="49" t="s">
        <v>11922</v>
      </c>
      <c r="AA7" s="48" t="str">
        <f>IF(SUM(R:R)=0,"OK","anno installazione non congruente con anno ristrutturazione")</f>
        <v>anno installazione non congruente con anno ristrutturazione</v>
      </c>
    </row>
    <row r="8" spans="19:27">
      <c r="S8" s="19"/>
      <c r="Z8" s="49" t="s">
        <v>11923</v>
      </c>
      <c r="AA8" s="48" t="str">
        <f>IF(SUM(S:S)=0,"OK","indice confidenza non congruente con anno installazione")</f>
        <v>OK</v>
      </c>
    </row>
    <row r="9" spans="19:27">
      <c r="S9" s="19"/>
      <c r="Z9" s="49" t="s">
        <v>11924</v>
      </c>
      <c r="AA9" s="48" t="str">
        <f>IF(SUM(T:T)=0,"OK","stato conservazione non congruente con anno ristrutturazione")</f>
        <v>OK</v>
      </c>
    </row>
    <row r="10" spans="19:27">
      <c r="S10" s="19"/>
      <c r="Z10" s="21" t="s">
        <v>307</v>
      </c>
      <c r="AA10" s="48" t="str">
        <f>IF(SUM(U:U)=0,"OK","potenza errata")</f>
        <v>potenza errata</v>
      </c>
    </row>
    <row r="11" spans="19:27">
      <c r="S11" s="19"/>
      <c r="Z11" s="21" t="s">
        <v>343</v>
      </c>
      <c r="AA11" s="48" t="str">
        <f>IF(SUM(V:V)=0,"OK","portata errata")</f>
        <v>portata errata</v>
      </c>
    </row>
    <row r="12" spans="19:27">
      <c r="S12" s="19"/>
      <c r="Z12" s="21" t="s">
        <v>345</v>
      </c>
      <c r="AA12" s="48" t="str">
        <f>IF(SUM(W:W)=0,"OK","prevalenza errata")</f>
        <v>prevalenza errata</v>
      </c>
    </row>
    <row r="13" spans="19:27">
      <c r="S13" s="19"/>
      <c r="Z13" s="21" t="s">
        <v>11921</v>
      </c>
      <c r="AA13" s="48" t="str">
        <f>IF(SUM(X:X)=0,"OK","funzione di riserva errata")</f>
        <v>OK</v>
      </c>
    </row>
  </sheetData>
  <pageMargins left="0.75" right="0.75" top="1" bottom="1" header="0.511811023622047" footer="0.511811023622047"/>
  <pageSetup paperSize="9" orientation="portrait" horizontalDpi="300" verticalDpi="300"/>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1"/>
  <sheetViews>
    <sheetView topLeftCell="Q1" workbookViewId="0">
      <selection activeCell="AD12" sqref="AD12:AE12"/>
    </sheetView>
  </sheetViews>
  <sheetFormatPr defaultColWidth="10.7142857142857" defaultRowHeight="12.75"/>
  <cols>
    <col min="1" max="2" width="9" customWidth="1"/>
    <col min="3" max="3" width="41.5714285714286" customWidth="1"/>
    <col min="4" max="4" width="12" customWidth="1"/>
    <col min="5" max="5" width="9" customWidth="1"/>
    <col min="6" max="6" width="12.7142857142857" customWidth="1"/>
    <col min="7" max="7" width="12.8571428571429" customWidth="1"/>
    <col min="8" max="8" width="14.2857142857143" customWidth="1"/>
    <col min="9" max="13" width="9" customWidth="1"/>
    <col min="14" max="14" width="11.8571428571429" customWidth="1"/>
    <col min="15" max="15" width="9" customWidth="1"/>
    <col min="16" max="19" width="11.5714285714286" customWidth="1"/>
    <col min="20" max="21" width="9.14285714285714" style="32" customWidth="1"/>
    <col min="22" max="22" width="19" style="32" customWidth="1"/>
    <col min="23" max="23" width="18" style="32" customWidth="1"/>
    <col min="24" max="24" width="14.2857142857143" style="32" customWidth="1"/>
    <col min="25" max="25" width="11.8571428571429" style="32" customWidth="1"/>
    <col min="26" max="26" width="13.4285714285714" style="32" customWidth="1"/>
    <col min="27" max="28" width="20.7142857142857" style="3" customWidth="1"/>
    <col min="29" max="29" width="6.71428571428571" customWidth="1"/>
    <col min="30" max="30" width="34.8571428571429" customWidth="1"/>
    <col min="31" max="31" width="35.5714285714286" customWidth="1"/>
    <col min="32" max="38" width="9.14285714285714" customWidth="1"/>
    <col min="39" max="1024" width="10.7142857142857" style="3"/>
  </cols>
  <sheetData>
    <row r="1" s="1" customFormat="1" ht="78.75" spans="1:28">
      <c r="A1" s="8" t="s">
        <v>11505</v>
      </c>
      <c r="B1" s="8" t="s">
        <v>11506</v>
      </c>
      <c r="C1" s="8" t="s">
        <v>12659</v>
      </c>
      <c r="D1" s="8" t="s">
        <v>12191</v>
      </c>
      <c r="E1" s="27" t="s">
        <v>12521</v>
      </c>
      <c r="F1" s="27" t="s">
        <v>12522</v>
      </c>
      <c r="G1" s="27" t="s">
        <v>12660</v>
      </c>
      <c r="H1" s="8" t="s">
        <v>12661</v>
      </c>
      <c r="I1" s="8" t="s">
        <v>12527</v>
      </c>
      <c r="J1" s="8" t="s">
        <v>12524</v>
      </c>
      <c r="K1" s="26" t="s">
        <v>12205</v>
      </c>
      <c r="L1" s="8" t="s">
        <v>11540</v>
      </c>
      <c r="M1" s="8" t="s">
        <v>11541</v>
      </c>
      <c r="N1" s="8" t="s">
        <v>11548</v>
      </c>
      <c r="O1" s="8" t="s">
        <v>12208</v>
      </c>
      <c r="P1" s="8" t="s">
        <v>12662</v>
      </c>
      <c r="Q1" s="27" t="s">
        <v>12663</v>
      </c>
      <c r="R1" s="8" t="s">
        <v>11558</v>
      </c>
      <c r="S1" s="12" t="s">
        <v>11559</v>
      </c>
      <c r="T1" s="13" t="s">
        <v>11802</v>
      </c>
      <c r="U1" s="13" t="s">
        <v>12664</v>
      </c>
      <c r="V1" s="13" t="s">
        <v>12665</v>
      </c>
      <c r="W1" s="13" t="s">
        <v>12666</v>
      </c>
      <c r="X1" s="13" t="s">
        <v>12667</v>
      </c>
      <c r="Y1" s="13" t="s">
        <v>11802</v>
      </c>
      <c r="Z1" s="13" t="s">
        <v>12060</v>
      </c>
      <c r="AA1" s="76"/>
      <c r="AB1" s="13" t="s">
        <v>12221</v>
      </c>
    </row>
    <row r="2" s="2" customFormat="1" ht="90" spans="1:28">
      <c r="A2" s="9" t="s">
        <v>12668</v>
      </c>
      <c r="B2" s="9" t="s">
        <v>11579</v>
      </c>
      <c r="C2" s="9" t="s">
        <v>11580</v>
      </c>
      <c r="D2" s="9" t="s">
        <v>12224</v>
      </c>
      <c r="E2" s="29" t="s">
        <v>12541</v>
      </c>
      <c r="F2" s="29" t="s">
        <v>12669</v>
      </c>
      <c r="G2" s="29" t="s">
        <v>12670</v>
      </c>
      <c r="H2" s="9" t="s">
        <v>12671</v>
      </c>
      <c r="I2" s="9" t="s">
        <v>12672</v>
      </c>
      <c r="J2" s="9" t="s">
        <v>12673</v>
      </c>
      <c r="K2" s="28" t="s">
        <v>82</v>
      </c>
      <c r="L2" s="9" t="s">
        <v>11613</v>
      </c>
      <c r="M2" s="9" t="s">
        <v>11614</v>
      </c>
      <c r="N2" s="9" t="s">
        <v>11621</v>
      </c>
      <c r="O2" s="9" t="s">
        <v>12240</v>
      </c>
      <c r="P2" s="9" t="s">
        <v>12674</v>
      </c>
      <c r="Q2" s="29" t="s">
        <v>12675</v>
      </c>
      <c r="R2" s="9" t="s">
        <v>11631</v>
      </c>
      <c r="S2" s="14"/>
      <c r="T2" s="17"/>
      <c r="U2" s="17"/>
      <c r="V2" s="17"/>
      <c r="W2" s="17"/>
      <c r="X2" s="17"/>
      <c r="Y2" s="17"/>
      <c r="Z2" s="17"/>
      <c r="AA2" s="77"/>
      <c r="AB2" s="17"/>
    </row>
    <row r="3" s="1" customFormat="1" ht="40.5" customHeight="1" spans="1:28">
      <c r="A3" s="10" t="s">
        <v>12676</v>
      </c>
      <c r="B3" s="10" t="s">
        <v>12677</v>
      </c>
      <c r="C3" s="10" t="s">
        <v>12678</v>
      </c>
      <c r="D3" s="10" t="s">
        <v>12679</v>
      </c>
      <c r="E3" s="10">
        <v>117300</v>
      </c>
      <c r="F3" s="10">
        <v>117400</v>
      </c>
      <c r="G3" s="10">
        <v>117500</v>
      </c>
      <c r="H3" s="10" t="s">
        <v>12680</v>
      </c>
      <c r="I3" s="10" t="s">
        <v>12681</v>
      </c>
      <c r="J3" s="10" t="s">
        <v>12682</v>
      </c>
      <c r="K3" s="10" t="s">
        <v>12683</v>
      </c>
      <c r="L3" s="10" t="s">
        <v>12684</v>
      </c>
      <c r="M3" s="10" t="s">
        <v>12685</v>
      </c>
      <c r="N3" s="10" t="s">
        <v>12686</v>
      </c>
      <c r="O3" s="10" t="s">
        <v>12687</v>
      </c>
      <c r="P3" s="10" t="s">
        <v>12688</v>
      </c>
      <c r="Q3" s="10">
        <v>119300</v>
      </c>
      <c r="R3" s="10" t="s">
        <v>12689</v>
      </c>
      <c r="S3" s="15"/>
      <c r="T3" s="16" t="s">
        <v>12191</v>
      </c>
      <c r="U3" s="16" t="s">
        <v>806</v>
      </c>
      <c r="V3" s="16" t="s">
        <v>12690</v>
      </c>
      <c r="W3" s="16" t="s">
        <v>12691</v>
      </c>
      <c r="X3" s="16" t="s">
        <v>12661</v>
      </c>
      <c r="Y3" s="16" t="s">
        <v>12524</v>
      </c>
      <c r="Z3" s="16" t="s">
        <v>12168</v>
      </c>
      <c r="AA3" s="78" t="s">
        <v>12572</v>
      </c>
      <c r="AB3" s="16" t="s">
        <v>12266</v>
      </c>
    </row>
    <row r="4" s="3" customFormat="1" customHeight="1" spans="16:38">
      <c r="P4"/>
      <c r="Q4"/>
      <c r="R4"/>
      <c r="S4"/>
      <c r="T4" s="32">
        <f>+IF(N4&lt;3,IF(D4&gt;0,0,1),0)</f>
        <v>1</v>
      </c>
      <c r="U4" s="32">
        <f>IF(N4&lt;3,IF(E4&gt;=0,0,1),0)</f>
        <v>0</v>
      </c>
      <c r="V4" s="32">
        <f>IF(F4&lt;=E4,0,1)</f>
        <v>0</v>
      </c>
      <c r="W4" s="32">
        <f>IF(G4&lt;=H4,0,1)</f>
        <v>0</v>
      </c>
      <c r="X4" s="32">
        <f>+IF(N4&lt;3,IF(H4&gt;0,0,1),0)</f>
        <v>1</v>
      </c>
      <c r="Y4" s="32">
        <f>+IF(N4&lt;3,IF(J4&gt;0,0,1),0)</f>
        <v>1</v>
      </c>
      <c r="Z4" s="32">
        <f>+IF(N4&lt;3,IF(AND(L4&gt;0,L4&lt;5),0,1),0)</f>
        <v>1</v>
      </c>
      <c r="AA4" s="6">
        <f>SUMIF(Collett_tronchi!A:A,B4,Collett_tronchi!I:I)</f>
        <v>0</v>
      </c>
      <c r="AB4" s="79">
        <f>+IF(N4&lt;3,TRUNC(AA4-D4),0)</f>
        <v>0</v>
      </c>
      <c r="AC4"/>
      <c r="AD4" s="80" t="s">
        <v>12573</v>
      </c>
      <c r="AE4" s="80" t="str">
        <f>IF(SUM(T:T)=0,"OK","errore su lunghezza totale")</f>
        <v>errore su lunghezza totale</v>
      </c>
      <c r="AF4"/>
      <c r="AG4"/>
      <c r="AH4"/>
      <c r="AI4"/>
      <c r="AJ4"/>
      <c r="AK4"/>
      <c r="AL4"/>
    </row>
    <row r="5" customHeight="1" spans="1:31">
      <c r="A5" s="3"/>
      <c r="B5" s="3"/>
      <c r="C5" s="3"/>
      <c r="D5" s="3"/>
      <c r="E5" s="3"/>
      <c r="F5" s="3"/>
      <c r="G5" s="3"/>
      <c r="H5" s="3"/>
      <c r="I5" s="3"/>
      <c r="J5" s="3"/>
      <c r="K5" s="3"/>
      <c r="L5" s="3"/>
      <c r="M5" s="3"/>
      <c r="N5" s="3"/>
      <c r="O5" s="3"/>
      <c r="AA5" s="6"/>
      <c r="AB5" s="79"/>
      <c r="AD5" s="80" t="s">
        <v>12576</v>
      </c>
      <c r="AE5" s="80" t="str">
        <f>IF(SUM(U:U)=0,"OK","errore su utenze totali")</f>
        <v>OK</v>
      </c>
    </row>
    <row r="6" customHeight="1" spans="1:31">
      <c r="A6" s="3"/>
      <c r="B6" s="3"/>
      <c r="C6" s="3"/>
      <c r="D6" s="3"/>
      <c r="E6" s="3"/>
      <c r="F6" s="3"/>
      <c r="G6" s="3"/>
      <c r="H6" s="3"/>
      <c r="I6" s="3"/>
      <c r="J6" s="3"/>
      <c r="K6" s="3"/>
      <c r="L6" s="3"/>
      <c r="M6" s="3"/>
      <c r="N6" s="3"/>
      <c r="O6" s="3"/>
      <c r="AA6" s="6"/>
      <c r="AB6" s="79"/>
      <c r="AD6" s="80" t="s">
        <v>12577</v>
      </c>
      <c r="AE6" s="80" t="str">
        <f>IF(SUM(V:V)=0,"OK","errore su numero utenze industriali")</f>
        <v>OK</v>
      </c>
    </row>
    <row r="7" customHeight="1" spans="1:31">
      <c r="A7" s="3"/>
      <c r="B7" s="3"/>
      <c r="C7" s="3"/>
      <c r="D7" s="3"/>
      <c r="E7" s="3"/>
      <c r="F7" s="3"/>
      <c r="G7" s="3"/>
      <c r="H7" s="3"/>
      <c r="I7" s="3"/>
      <c r="J7" s="3"/>
      <c r="K7" s="3"/>
      <c r="L7" s="3"/>
      <c r="M7" s="3"/>
      <c r="N7" s="55"/>
      <c r="O7" s="3"/>
      <c r="AA7" s="6"/>
      <c r="AB7" s="79"/>
      <c r="AD7" s="80" t="s">
        <v>12692</v>
      </c>
      <c r="AE7" s="80" t="str">
        <f>IF(SUM(W:W)=0,"OK","errore su volume utenze industriali")</f>
        <v>OK</v>
      </c>
    </row>
    <row r="8" customHeight="1" spans="1:31">
      <c r="A8" s="3"/>
      <c r="B8" s="3"/>
      <c r="C8" s="3"/>
      <c r="D8" s="3"/>
      <c r="E8" s="3"/>
      <c r="F8" s="3"/>
      <c r="G8" s="3"/>
      <c r="H8" s="3"/>
      <c r="I8" s="3"/>
      <c r="J8" s="3"/>
      <c r="K8" s="3"/>
      <c r="L8" s="3"/>
      <c r="M8" s="3"/>
      <c r="N8" s="55"/>
      <c r="O8" s="3"/>
      <c r="AA8" s="6"/>
      <c r="AB8" s="79"/>
      <c r="AD8" s="80" t="s">
        <v>12693</v>
      </c>
      <c r="AE8" s="80" t="str">
        <f>IF(SUM(X:X)=0,"OK","errore su volume trasportato")</f>
        <v>errore su volume trasportato</v>
      </c>
    </row>
    <row r="9" spans="1:31">
      <c r="A9" s="3"/>
      <c r="B9" s="3"/>
      <c r="C9" s="3"/>
      <c r="D9" s="3"/>
      <c r="E9" s="3"/>
      <c r="F9" s="3"/>
      <c r="G9" s="3"/>
      <c r="H9" s="3"/>
      <c r="I9" s="3"/>
      <c r="J9" s="3"/>
      <c r="K9" s="3"/>
      <c r="L9" s="3"/>
      <c r="M9" s="3"/>
      <c r="N9" s="55"/>
      <c r="O9" s="3"/>
      <c r="AA9" s="6"/>
      <c r="AB9" s="79"/>
      <c r="AD9" s="80" t="s">
        <v>12579</v>
      </c>
      <c r="AE9" s="80" t="str">
        <f>IF(SUM(Y:Y)=0,"OK","Attenzione:possibile errore, numero scaricatori di piena pari a 0. Verificare e confermare i dati")</f>
        <v>Attenzione:possibile errore, numero scaricatori di piena pari a 0. Verificare e confermare i dati</v>
      </c>
    </row>
    <row r="10" spans="1:31">
      <c r="A10" s="3"/>
      <c r="B10" s="3"/>
      <c r="C10" s="3"/>
      <c r="D10" s="3"/>
      <c r="E10" s="3"/>
      <c r="F10" s="3"/>
      <c r="G10" s="3"/>
      <c r="H10" s="3"/>
      <c r="I10" s="3"/>
      <c r="J10" s="3"/>
      <c r="K10" s="3"/>
      <c r="L10" s="3"/>
      <c r="M10" s="3"/>
      <c r="N10" s="55"/>
      <c r="O10" s="3"/>
      <c r="AA10" s="6"/>
      <c r="AB10" s="79"/>
      <c r="AD10" s="80" t="s">
        <v>12581</v>
      </c>
      <c r="AE10" s="80" t="str">
        <f>IF(SUM(Z:Z)=0,"OK","errore su Tipo telecontrollo")</f>
        <v>errore su Tipo telecontrollo</v>
      </c>
    </row>
    <row r="11" spans="1:31">
      <c r="A11" s="3"/>
      <c r="B11" s="3"/>
      <c r="C11" s="3"/>
      <c r="D11" s="3"/>
      <c r="E11" s="3"/>
      <c r="F11" s="3"/>
      <c r="G11" s="3"/>
      <c r="H11" s="3"/>
      <c r="I11" s="3"/>
      <c r="J11" s="3"/>
      <c r="K11" s="3"/>
      <c r="L11" s="3"/>
      <c r="M11" s="3"/>
      <c r="N11" s="55"/>
      <c r="O11" s="3"/>
      <c r="AA11" s="6"/>
      <c r="AB11" s="79"/>
      <c r="AD11" s="81" t="s">
        <v>12266</v>
      </c>
      <c r="AE11" s="81" t="str">
        <f>+IF(SUM(AB:AB)=0,"OK","Errore: lunghezza aggregata non congruente con somma di lunghezze dei singoli tratti")</f>
        <v>OK</v>
      </c>
    </row>
  </sheetData>
  <pageMargins left="0.75" right="0.75" top="1" bottom="1" header="0.511811023622047" footer="0.511811023622047"/>
  <pageSetup paperSize="9" orientation="portrait" horizontalDpi="300" verticalDpi="300"/>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4"/>
  <sheetViews>
    <sheetView topLeftCell="H1" workbookViewId="0">
      <selection activeCell="P4" sqref="P4"/>
    </sheetView>
  </sheetViews>
  <sheetFormatPr defaultColWidth="8.71428571428571" defaultRowHeight="12.75"/>
  <cols>
    <col min="1" max="1" width="22.4285714285714" style="3" customWidth="1"/>
    <col min="2" max="2" width="24" style="3" customWidth="1"/>
    <col min="3" max="12" width="16.4285714285714" style="3" customWidth="1"/>
    <col min="13" max="13" width="17.4285714285714" style="3" customWidth="1"/>
    <col min="14" max="15" width="12.4285714285714" customWidth="1"/>
    <col min="16" max="16" width="19.5714285714286" style="19" customWidth="1"/>
    <col min="17" max="18" width="24" style="61" customWidth="1"/>
    <col min="19" max="20" width="14.4285714285714" style="19" customWidth="1"/>
    <col min="21" max="23" width="15.1428571428571" style="19" customWidth="1"/>
    <col min="24" max="24" width="23" style="19" customWidth="1"/>
    <col min="25" max="25" width="15.1428571428571" style="19" customWidth="1"/>
    <col min="26" max="26" width="16.4285714285714" style="19" customWidth="1"/>
    <col min="27" max="27" width="7.28571428571429" style="11" customWidth="1"/>
    <col min="28" max="28" width="36.5714285714286" style="11" customWidth="1"/>
    <col min="29" max="29" width="29" customWidth="1"/>
  </cols>
  <sheetData>
    <row r="1" ht="60" spans="1:27">
      <c r="A1" s="8" t="s">
        <v>11706</v>
      </c>
      <c r="B1" s="8" t="s">
        <v>12274</v>
      </c>
      <c r="C1" s="8" t="s">
        <v>12275</v>
      </c>
      <c r="D1" s="8" t="s">
        <v>11524</v>
      </c>
      <c r="E1" s="8" t="s">
        <v>11999</v>
      </c>
      <c r="F1" s="8" t="s">
        <v>12276</v>
      </c>
      <c r="G1" s="62" t="s">
        <v>12584</v>
      </c>
      <c r="H1" s="8" t="s">
        <v>12585</v>
      </c>
      <c r="I1" s="8" t="s">
        <v>12278</v>
      </c>
      <c r="J1" s="8" t="s">
        <v>12279</v>
      </c>
      <c r="K1" s="8" t="s">
        <v>12280</v>
      </c>
      <c r="L1" s="8" t="s">
        <v>12281</v>
      </c>
      <c r="M1" s="8" t="s">
        <v>12282</v>
      </c>
      <c r="N1" s="26" t="s">
        <v>12586</v>
      </c>
      <c r="O1" s="43" t="s">
        <v>11559</v>
      </c>
      <c r="P1" s="13" t="s">
        <v>12283</v>
      </c>
      <c r="Q1" s="13" t="s">
        <v>11883</v>
      </c>
      <c r="R1" s="13"/>
      <c r="S1" s="65" t="s">
        <v>11802</v>
      </c>
      <c r="T1" s="65"/>
      <c r="U1" s="65" t="s">
        <v>11802</v>
      </c>
      <c r="V1" s="13" t="s">
        <v>12587</v>
      </c>
      <c r="W1" s="65"/>
      <c r="X1" s="66" t="s">
        <v>12284</v>
      </c>
      <c r="Y1" s="68" t="s">
        <v>12285</v>
      </c>
      <c r="Z1" s="65"/>
      <c r="AA1" s="3"/>
    </row>
    <row r="2" ht="33.75" spans="1:27">
      <c r="A2" s="9" t="s">
        <v>11709</v>
      </c>
      <c r="B2" s="9" t="s">
        <v>12286</v>
      </c>
      <c r="C2" s="9" t="s">
        <v>12287</v>
      </c>
      <c r="D2" s="9" t="s">
        <v>11597</v>
      </c>
      <c r="E2" s="9" t="s">
        <v>12588</v>
      </c>
      <c r="F2" s="9" t="s">
        <v>12289</v>
      </c>
      <c r="G2" s="63" t="s">
        <v>12589</v>
      </c>
      <c r="H2" s="9" t="s">
        <v>12694</v>
      </c>
      <c r="I2" s="9" t="s">
        <v>12291</v>
      </c>
      <c r="J2" s="9" t="s">
        <v>12292</v>
      </c>
      <c r="K2" s="9" t="s">
        <v>12293</v>
      </c>
      <c r="L2" s="9" t="s">
        <v>12294</v>
      </c>
      <c r="M2" s="9" t="s">
        <v>12295</v>
      </c>
      <c r="N2" s="28" t="s">
        <v>126</v>
      </c>
      <c r="O2" s="44"/>
      <c r="P2" s="17"/>
      <c r="Q2" s="17"/>
      <c r="R2" s="17"/>
      <c r="X2" s="66"/>
      <c r="Y2" s="68"/>
      <c r="AA2" s="3"/>
    </row>
    <row r="3" ht="36" spans="1:27">
      <c r="A3" s="10" t="s">
        <v>12695</v>
      </c>
      <c r="B3" s="10" t="s">
        <v>12696</v>
      </c>
      <c r="C3" s="10" t="s">
        <v>12697</v>
      </c>
      <c r="D3" s="10" t="s">
        <v>12698</v>
      </c>
      <c r="E3" s="10" t="s">
        <v>12699</v>
      </c>
      <c r="F3" s="10" t="s">
        <v>12700</v>
      </c>
      <c r="G3" s="10">
        <v>120000</v>
      </c>
      <c r="H3" s="10" t="s">
        <v>12701</v>
      </c>
      <c r="I3" s="10" t="s">
        <v>12702</v>
      </c>
      <c r="J3" s="10" t="s">
        <v>12703</v>
      </c>
      <c r="K3" s="10" t="s">
        <v>12704</v>
      </c>
      <c r="L3" s="10" t="s">
        <v>12705</v>
      </c>
      <c r="M3" s="10" t="s">
        <v>12706</v>
      </c>
      <c r="N3" s="10" t="s">
        <v>12707</v>
      </c>
      <c r="O3" s="45"/>
      <c r="P3" s="46" t="s">
        <v>12308</v>
      </c>
      <c r="Q3" s="16" t="s">
        <v>11915</v>
      </c>
      <c r="R3" s="16" t="s">
        <v>12309</v>
      </c>
      <c r="S3" s="16" t="s">
        <v>11999</v>
      </c>
      <c r="T3" s="16" t="s">
        <v>12604</v>
      </c>
      <c r="U3" s="16" t="s">
        <v>12278</v>
      </c>
      <c r="V3" s="16" t="s">
        <v>12584</v>
      </c>
      <c r="W3" s="16" t="s">
        <v>12708</v>
      </c>
      <c r="X3" s="67" t="s">
        <v>12310</v>
      </c>
      <c r="Y3" s="69" t="s">
        <v>11699</v>
      </c>
      <c r="Z3" s="37" t="s">
        <v>12311</v>
      </c>
      <c r="AA3" s="3"/>
    </row>
    <row r="4" customHeight="1" spans="8:29">
      <c r="H4" s="64"/>
      <c r="P4" s="19">
        <f>+IF(AND(C4&gt;0,C4&lt;55),0,1)</f>
        <v>1</v>
      </c>
      <c r="Q4" s="19">
        <f>+IF(AND(D4&gt;0,D4&lt;6),0,1)</f>
        <v>1</v>
      </c>
      <c r="R4" s="19">
        <f>IF(OR(F4&lt;2014,F4=9999),0,IF(D4&gt;=3,0,1))</f>
        <v>0</v>
      </c>
      <c r="S4" s="19">
        <f>+IF(E4&gt;0,0,1)</f>
        <v>1</v>
      </c>
      <c r="T4" s="19">
        <f>+IF(OR(H4=0,H4=1,H4="S",H4="N"),0,1)</f>
        <v>0</v>
      </c>
      <c r="U4" s="19">
        <f>+IF(I4&gt;0,0,1)</f>
        <v>1</v>
      </c>
      <c r="V4" s="19">
        <f>+IF(OR(G4=1,G4=2),0,1)</f>
        <v>1</v>
      </c>
      <c r="W4" s="19">
        <f>+IF(OR(N4=0,N4=1,N4="S",N4="N"),0,1)</f>
        <v>0</v>
      </c>
      <c r="X4" s="66">
        <f>IF(OR(F4=9999,F4&lt;2015),0,IF(OR(J4="X",K4="X",L4="X",M4="X"),1,0))</f>
        <v>0</v>
      </c>
      <c r="Y4" s="68">
        <f>IF(F4=9999,0,IF(F4&gt;=2015,IF(COUNTBLANK(A4:N4)=0,0,1),0))</f>
        <v>0</v>
      </c>
      <c r="Z4" s="38">
        <f>+IF(F4='[2]Input anno'!$A$1,COUNTBLANK(A4:N4),0)</f>
        <v>0</v>
      </c>
      <c r="AB4" s="70" t="s">
        <v>635</v>
      </c>
      <c r="AC4" s="49" t="str">
        <f>+IF(SUM(P:P)=0,"OK","errore su materiale")</f>
        <v>errore su materiale</v>
      </c>
    </row>
    <row r="5" customHeight="1" spans="8:29">
      <c r="H5" s="64"/>
      <c r="Q5" s="19"/>
      <c r="R5" s="19"/>
      <c r="Z5" s="71"/>
      <c r="AB5" s="70" t="s">
        <v>11915</v>
      </c>
      <c r="AC5" s="49" t="str">
        <f>+IF(SUM(Q:Q)=0,"OK","errore su stato di conservazione")</f>
        <v>errore su stato di conservazione</v>
      </c>
    </row>
    <row r="6" customHeight="1" spans="8:29">
      <c r="H6" s="64"/>
      <c r="Q6" s="19"/>
      <c r="R6" s="19"/>
      <c r="Z6" s="71"/>
      <c r="AB6" s="70" t="s">
        <v>12309</v>
      </c>
      <c r="AC6" s="49" t="str">
        <f>+IF(SUM(R:R)=0,"OK","errore su stato di conservazione nuove opere")</f>
        <v>OK</v>
      </c>
    </row>
    <row r="7" customHeight="1" spans="8:29">
      <c r="H7" s="64"/>
      <c r="Q7" s="19"/>
      <c r="R7" s="19"/>
      <c r="Z7" s="38"/>
      <c r="AB7" s="70" t="s">
        <v>401</v>
      </c>
      <c r="AC7" s="49" t="str">
        <f>+IF(SUM(S:S)=0,"OK","errore su diametro")</f>
        <v>errore su diametro</v>
      </c>
    </row>
    <row r="8" customHeight="1" spans="8:29">
      <c r="H8" s="64"/>
      <c r="Q8" s="19"/>
      <c r="R8" s="19"/>
      <c r="Z8" s="38"/>
      <c r="AB8" s="70" t="s">
        <v>12709</v>
      </c>
      <c r="AC8" s="49" t="str">
        <f>+IF(SUM(T:T)=0,"OK","errore su funziona gravità")</f>
        <v>OK</v>
      </c>
    </row>
    <row r="9" customHeight="1" spans="8:29">
      <c r="H9" s="64"/>
      <c r="Q9" s="19"/>
      <c r="R9" s="19"/>
      <c r="Z9" s="38"/>
      <c r="AB9" s="70" t="s">
        <v>12606</v>
      </c>
      <c r="AC9" s="49" t="str">
        <f>+IF(SUM(U:U)=0,"OK","errore su lunghezza tronco")</f>
        <v>errore su lunghezza tronco</v>
      </c>
    </row>
    <row r="10" spans="8:29">
      <c r="H10" s="64"/>
      <c r="Q10" s="19"/>
      <c r="R10" s="19"/>
      <c r="Z10" s="38"/>
      <c r="AB10" s="70" t="s">
        <v>838</v>
      </c>
      <c r="AC10" s="49" t="str">
        <f>+IF(SUM(V:V)=0,"OK","errore su refluo trasportato")</f>
        <v>errore su refluo trasportato</v>
      </c>
    </row>
    <row r="11" spans="8:29">
      <c r="H11" s="64"/>
      <c r="Q11" s="19"/>
      <c r="R11" s="19"/>
      <c r="Z11" s="38"/>
      <c r="AB11" s="70" t="s">
        <v>12708</v>
      </c>
      <c r="AC11" s="49" t="str">
        <f>+IF(SUM(W:W)=0,"OK","errore su depurazione finale")</f>
        <v>OK</v>
      </c>
    </row>
    <row r="12" spans="8:29">
      <c r="H12" s="64"/>
      <c r="Q12" s="19"/>
      <c r="R12" s="19"/>
      <c r="Z12" s="38"/>
      <c r="AB12" s="72" t="s">
        <v>12318</v>
      </c>
      <c r="AC12" s="74" t="str">
        <f>IF(SUM(X:X)=0,"OK","Indici di confidenza errati")</f>
        <v>OK</v>
      </c>
    </row>
    <row r="13" spans="8:29">
      <c r="H13" s="64"/>
      <c r="Q13" s="19"/>
      <c r="R13" s="19"/>
      <c r="Z13" s="38"/>
      <c r="AB13" s="72" t="s">
        <v>11699</v>
      </c>
      <c r="AC13" s="74" t="str">
        <f>IF(SUM(Y:Y)=0,"OK","Errore: celle vuote in corrispondenza di opera costruita in anno &gt;=2015")</f>
        <v>OK</v>
      </c>
    </row>
    <row r="14" spans="8:29">
      <c r="H14" s="64"/>
      <c r="Q14" s="19"/>
      <c r="R14" s="19"/>
      <c r="Z14" s="38"/>
      <c r="AB14" s="73" t="s">
        <v>12710</v>
      </c>
      <c r="AC14" s="75" t="str">
        <f>+IF(SUM(Z:Z)=0,"OK","errore, dati nuovi tronchi non completi")</f>
        <v>OK</v>
      </c>
    </row>
  </sheetData>
  <pageMargins left="0.75" right="0.75" top="1" bottom="1" header="0.511811023622047" footer="0.511811023622047"/>
  <pageSetup paperSize="9" orientation="portrait" horizontalDpi="300" verticalDpi="300"/>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E38"/>
  <sheetViews>
    <sheetView topLeftCell="DU10" workbookViewId="0">
      <selection activeCell="ED38" sqref="ED38:EE38"/>
    </sheetView>
  </sheetViews>
  <sheetFormatPr defaultColWidth="10.7142857142857" defaultRowHeight="12.75"/>
  <cols>
    <col min="1" max="1" width="19.2857142857143" style="11" customWidth="1"/>
    <col min="2" max="2" width="22.8571428571429" style="3" customWidth="1"/>
    <col min="3" max="3" width="31.8571428571429" style="3" customWidth="1"/>
    <col min="4" max="5" width="13.8571428571429" style="3" customWidth="1"/>
    <col min="6" max="7" width="11.1428571428571" style="3" customWidth="1"/>
    <col min="8" max="8" width="20" style="3" customWidth="1"/>
    <col min="9" max="9" width="15.8571428571429" style="3" customWidth="1"/>
    <col min="10" max="10" width="37.5714285714286" style="3" customWidth="1"/>
    <col min="11" max="50" width="11.1428571428571" style="3" customWidth="1"/>
    <col min="51" max="51" width="23.7142857142857" style="3" customWidth="1"/>
    <col min="52" max="56" width="10.7142857142857" style="3"/>
    <col min="57" max="57" width="12.4285714285714" style="3" customWidth="1"/>
    <col min="58" max="83" width="10.7142857142857" style="3"/>
    <col min="84" max="85" width="14.1428571428571" customWidth="1"/>
    <col min="86" max="86" width="15.1428571428571" customWidth="1"/>
    <col min="87" max="87" width="14.1428571428571" customWidth="1"/>
    <col min="88" max="98" width="9.14285714285714" customWidth="1"/>
    <col min="99" max="100" width="12.7142857142857" customWidth="1"/>
    <col min="101" max="101" width="12.8571428571429" style="32" customWidth="1"/>
    <col min="102" max="102" width="9.14285714285714" style="32" customWidth="1"/>
    <col min="103" max="103" width="16.7142857142857" style="32" customWidth="1"/>
    <col min="104" max="104" width="13.8571428571429" style="32" customWidth="1"/>
    <col min="105" max="105" width="14.4285714285714" style="32" customWidth="1"/>
    <col min="106" max="109" width="9.14285714285714" style="32" customWidth="1"/>
    <col min="110" max="110" width="14" style="32" customWidth="1"/>
    <col min="111" max="111" width="9.14285714285714" style="32" customWidth="1"/>
    <col min="112" max="116" width="10.7142857142857" style="19"/>
    <col min="117" max="117" width="12.7142857142857" style="19" customWidth="1"/>
    <col min="118" max="118" width="12.4285714285714" style="19" customWidth="1"/>
    <col min="119" max="119" width="13.5714285714286" style="19" customWidth="1"/>
    <col min="120" max="120" width="13.8571428571429" style="19" customWidth="1"/>
    <col min="121" max="122" width="16.1428571428571" style="19" customWidth="1"/>
    <col min="123" max="124" width="15" style="19" customWidth="1"/>
    <col min="125" max="125" width="12.2857142857143" style="19" customWidth="1"/>
    <col min="126" max="126" width="15.2857142857143" style="42" customWidth="1"/>
    <col min="127" max="127" width="17.8571428571429" style="42" customWidth="1"/>
    <col min="128" max="128" width="21.1428571428571" style="42" customWidth="1"/>
    <col min="129" max="129" width="20.2857142857143" style="19" customWidth="1"/>
    <col min="130" max="130" width="19.7142857142857" style="19" customWidth="1"/>
    <col min="131" max="131" width="17.1428571428571" style="19" customWidth="1"/>
    <col min="132" max="132" width="19" style="19" customWidth="1"/>
    <col min="133" max="133" width="14.4285714285714" style="3" customWidth="1"/>
    <col min="134" max="134" width="53.8571428571429" style="3" customWidth="1"/>
    <col min="135" max="135" width="52.5714285714286" style="7" customWidth="1"/>
    <col min="136" max="1024" width="10.7142857142857" style="3"/>
  </cols>
  <sheetData>
    <row r="1" s="1" customFormat="1" ht="104.25" customHeight="1" spans="1:132">
      <c r="A1" s="8" t="s">
        <v>11505</v>
      </c>
      <c r="B1" s="8" t="s">
        <v>11506</v>
      </c>
      <c r="C1" s="8" t="s">
        <v>11507</v>
      </c>
      <c r="D1" s="8" t="s">
        <v>11508</v>
      </c>
      <c r="E1" s="8" t="s">
        <v>11509</v>
      </c>
      <c r="F1" s="8" t="s">
        <v>11510</v>
      </c>
      <c r="G1" s="8" t="s">
        <v>11513</v>
      </c>
      <c r="H1" s="8" t="s">
        <v>11514</v>
      </c>
      <c r="I1" s="8" t="s">
        <v>11515</v>
      </c>
      <c r="J1" s="8" t="s">
        <v>12711</v>
      </c>
      <c r="K1" s="8" t="s">
        <v>11522</v>
      </c>
      <c r="L1" s="8" t="s">
        <v>12015</v>
      </c>
      <c r="M1" s="8" t="s">
        <v>12016</v>
      </c>
      <c r="N1" s="8" t="s">
        <v>12017</v>
      </c>
      <c r="O1" s="8" t="s">
        <v>12018</v>
      </c>
      <c r="P1" s="8" t="s">
        <v>12712</v>
      </c>
      <c r="Q1" s="8" t="s">
        <v>12713</v>
      </c>
      <c r="R1" s="8" t="s">
        <v>12714</v>
      </c>
      <c r="S1" s="8" t="s">
        <v>12715</v>
      </c>
      <c r="T1" s="8" t="s">
        <v>12716</v>
      </c>
      <c r="U1" s="8" t="s">
        <v>12717</v>
      </c>
      <c r="V1" s="8" t="s">
        <v>12718</v>
      </c>
      <c r="W1" s="8" t="s">
        <v>11540</v>
      </c>
      <c r="X1" s="8" t="s">
        <v>12719</v>
      </c>
      <c r="Y1" s="8" t="s">
        <v>11792</v>
      </c>
      <c r="Z1" s="8" t="s">
        <v>11793</v>
      </c>
      <c r="AA1" s="8" t="s">
        <v>12720</v>
      </c>
      <c r="AB1" s="8" t="s">
        <v>12022</v>
      </c>
      <c r="AC1" s="26" t="s">
        <v>12025</v>
      </c>
      <c r="AD1" s="26" t="s">
        <v>12026</v>
      </c>
      <c r="AE1" s="8" t="s">
        <v>12721</v>
      </c>
      <c r="AF1" s="8" t="s">
        <v>12722</v>
      </c>
      <c r="AG1" s="8" t="s">
        <v>12723</v>
      </c>
      <c r="AH1" s="8" t="s">
        <v>12724</v>
      </c>
      <c r="AI1" s="8" t="s">
        <v>12725</v>
      </c>
      <c r="AJ1" s="8" t="s">
        <v>12726</v>
      </c>
      <c r="AK1" s="8" t="s">
        <v>12727</v>
      </c>
      <c r="AL1" s="8" t="s">
        <v>12728</v>
      </c>
      <c r="AM1" s="8" t="s">
        <v>12729</v>
      </c>
      <c r="AN1" s="8" t="s">
        <v>12730</v>
      </c>
      <c r="AO1" s="8" t="s">
        <v>12731</v>
      </c>
      <c r="AP1" s="8" t="s">
        <v>12732</v>
      </c>
      <c r="AQ1" s="8" t="s">
        <v>12733</v>
      </c>
      <c r="AR1" s="8" t="s">
        <v>12734</v>
      </c>
      <c r="AS1" s="8" t="s">
        <v>12735</v>
      </c>
      <c r="AT1" s="8" t="s">
        <v>12736</v>
      </c>
      <c r="AU1" s="8" t="s">
        <v>12737</v>
      </c>
      <c r="AV1" s="8" t="s">
        <v>12738</v>
      </c>
      <c r="AW1" s="8" t="s">
        <v>12739</v>
      </c>
      <c r="AX1" s="8" t="s">
        <v>12740</v>
      </c>
      <c r="AY1" s="8" t="s">
        <v>12741</v>
      </c>
      <c r="AZ1" s="8" t="s">
        <v>12742</v>
      </c>
      <c r="BA1" s="27" t="s">
        <v>12743</v>
      </c>
      <c r="BB1" s="27" t="s">
        <v>12744</v>
      </c>
      <c r="BC1" s="8" t="s">
        <v>12745</v>
      </c>
      <c r="BD1" s="8" t="s">
        <v>12746</v>
      </c>
      <c r="BE1" s="8" t="s">
        <v>12747</v>
      </c>
      <c r="BF1" s="8" t="s">
        <v>12748</v>
      </c>
      <c r="BG1" s="26" t="s">
        <v>12749</v>
      </c>
      <c r="BH1" s="26" t="s">
        <v>12750</v>
      </c>
      <c r="BI1" s="8" t="s">
        <v>12751</v>
      </c>
      <c r="BJ1" s="8" t="s">
        <v>12752</v>
      </c>
      <c r="BK1" s="8" t="s">
        <v>12753</v>
      </c>
      <c r="BL1" s="8" t="s">
        <v>12754</v>
      </c>
      <c r="BM1" s="8" t="s">
        <v>12755</v>
      </c>
      <c r="BN1" s="8" t="s">
        <v>12756</v>
      </c>
      <c r="BO1" s="8" t="s">
        <v>12757</v>
      </c>
      <c r="BP1" s="8" t="s">
        <v>12758</v>
      </c>
      <c r="BQ1" s="8" t="s">
        <v>12759</v>
      </c>
      <c r="BR1" s="8" t="s">
        <v>12760</v>
      </c>
      <c r="BS1" s="8" t="s">
        <v>12761</v>
      </c>
      <c r="BT1" s="27" t="s">
        <v>12762</v>
      </c>
      <c r="BU1" s="27" t="s">
        <v>12763</v>
      </c>
      <c r="BV1" s="27" t="s">
        <v>12764</v>
      </c>
      <c r="BW1" s="27" t="s">
        <v>12765</v>
      </c>
      <c r="BX1" s="27" t="s">
        <v>12766</v>
      </c>
      <c r="BY1" s="8" t="s">
        <v>12767</v>
      </c>
      <c r="BZ1" s="8" t="s">
        <v>12768</v>
      </c>
      <c r="CA1" s="8" t="s">
        <v>11548</v>
      </c>
      <c r="CB1" s="8" t="s">
        <v>11550</v>
      </c>
      <c r="CC1" s="8" t="s">
        <v>12052</v>
      </c>
      <c r="CD1" s="8" t="s">
        <v>12053</v>
      </c>
      <c r="CE1" s="8" t="s">
        <v>12769</v>
      </c>
      <c r="CF1" s="8" t="s">
        <v>12770</v>
      </c>
      <c r="CG1" s="8" t="s">
        <v>12771</v>
      </c>
      <c r="CH1" s="8" t="s">
        <v>12772</v>
      </c>
      <c r="CI1" s="8" t="s">
        <v>12773</v>
      </c>
      <c r="CJ1" s="8" t="s">
        <v>12774</v>
      </c>
      <c r="CK1" s="8" t="s">
        <v>11799</v>
      </c>
      <c r="CL1" s="27" t="s">
        <v>12775</v>
      </c>
      <c r="CM1" s="27" t="s">
        <v>12776</v>
      </c>
      <c r="CN1" s="27" t="s">
        <v>12777</v>
      </c>
      <c r="CO1" s="27" t="s">
        <v>12778</v>
      </c>
      <c r="CP1" s="27" t="s">
        <v>12779</v>
      </c>
      <c r="CQ1" s="27" t="s">
        <v>12780</v>
      </c>
      <c r="CR1" s="27" t="s">
        <v>12781</v>
      </c>
      <c r="CS1" s="8" t="s">
        <v>11558</v>
      </c>
      <c r="CT1" s="12" t="s">
        <v>11559</v>
      </c>
      <c r="CU1" s="13" t="s">
        <v>11560</v>
      </c>
      <c r="CV1" s="13" t="s">
        <v>11561</v>
      </c>
      <c r="CW1" s="13" t="s">
        <v>11562</v>
      </c>
      <c r="CX1" s="13" t="s">
        <v>11805</v>
      </c>
      <c r="CY1" s="13" t="s">
        <v>12782</v>
      </c>
      <c r="CZ1" s="13" t="s">
        <v>11568</v>
      </c>
      <c r="DA1" s="13" t="s">
        <v>11885</v>
      </c>
      <c r="DB1" s="13" t="s">
        <v>12612</v>
      </c>
      <c r="DC1" s="13" t="s">
        <v>12783</v>
      </c>
      <c r="DD1" s="13" t="s">
        <v>12059</v>
      </c>
      <c r="DE1" s="13" t="s">
        <v>12059</v>
      </c>
      <c r="DF1" s="13" t="s">
        <v>12060</v>
      </c>
      <c r="DG1" s="13" t="s">
        <v>12059</v>
      </c>
      <c r="DH1" s="13" t="s">
        <v>12059</v>
      </c>
      <c r="DI1" s="13" t="s">
        <v>12059</v>
      </c>
      <c r="DJ1" s="13" t="s">
        <v>12059</v>
      </c>
      <c r="DK1" s="13" t="s">
        <v>12059</v>
      </c>
      <c r="DL1" s="13" t="s">
        <v>12059</v>
      </c>
      <c r="DM1" s="13" t="s">
        <v>12784</v>
      </c>
      <c r="DN1" s="13" t="s">
        <v>12785</v>
      </c>
      <c r="DO1" s="13" t="s">
        <v>12786</v>
      </c>
      <c r="DP1" s="13" t="s">
        <v>12787</v>
      </c>
      <c r="DQ1" s="13" t="s">
        <v>12788</v>
      </c>
      <c r="DR1" s="13" t="s">
        <v>12789</v>
      </c>
      <c r="DS1" s="13" t="s">
        <v>12790</v>
      </c>
      <c r="DT1" s="13" t="s">
        <v>12791</v>
      </c>
      <c r="DU1" s="13" t="s">
        <v>12792</v>
      </c>
      <c r="DV1" s="13" t="s">
        <v>11573</v>
      </c>
      <c r="DW1" s="17" t="s">
        <v>12064</v>
      </c>
      <c r="DX1" s="17" t="s">
        <v>12065</v>
      </c>
      <c r="DY1" s="33" t="s">
        <v>12066</v>
      </c>
      <c r="DZ1" s="33" t="s">
        <v>12067</v>
      </c>
      <c r="EA1" s="34" t="s">
        <v>11576</v>
      </c>
      <c r="EB1" s="34" t="s">
        <v>11577</v>
      </c>
    </row>
    <row r="2" s="2" customFormat="1" ht="40.5" customHeight="1" spans="1:132">
      <c r="A2" s="9" t="s">
        <v>12793</v>
      </c>
      <c r="B2" s="9" t="s">
        <v>11579</v>
      </c>
      <c r="C2" s="9" t="s">
        <v>11580</v>
      </c>
      <c r="D2" s="9" t="s">
        <v>11581</v>
      </c>
      <c r="E2" s="9" t="s">
        <v>11582</v>
      </c>
      <c r="F2" s="9" t="s">
        <v>11583</v>
      </c>
      <c r="G2" s="9" t="s">
        <v>11586</v>
      </c>
      <c r="H2" s="9" t="s">
        <v>11587</v>
      </c>
      <c r="I2" s="9" t="s">
        <v>11588</v>
      </c>
      <c r="J2" s="9" t="s">
        <v>12794</v>
      </c>
      <c r="K2" s="9" t="s">
        <v>11595</v>
      </c>
      <c r="L2" s="9" t="s">
        <v>12070</v>
      </c>
      <c r="M2" s="9" t="s">
        <v>12071</v>
      </c>
      <c r="N2" s="9" t="s">
        <v>12072</v>
      </c>
      <c r="O2" s="9" t="s">
        <v>12073</v>
      </c>
      <c r="P2" s="9" t="s">
        <v>12795</v>
      </c>
      <c r="Q2" s="9" t="s">
        <v>12796</v>
      </c>
      <c r="R2" s="9" t="s">
        <v>12797</v>
      </c>
      <c r="S2" s="9" t="s">
        <v>12798</v>
      </c>
      <c r="T2" s="9" t="s">
        <v>12799</v>
      </c>
      <c r="U2" s="9" t="s">
        <v>12800</v>
      </c>
      <c r="V2" s="9" t="s">
        <v>12801</v>
      </c>
      <c r="W2" s="9" t="s">
        <v>11613</v>
      </c>
      <c r="X2" s="9" t="s">
        <v>12802</v>
      </c>
      <c r="Y2" s="9" t="s">
        <v>11815</v>
      </c>
      <c r="Z2" s="9" t="s">
        <v>11816</v>
      </c>
      <c r="AA2" s="9" t="s">
        <v>12803</v>
      </c>
      <c r="AB2" s="9" t="s">
        <v>12804</v>
      </c>
      <c r="AC2" s="28" t="s">
        <v>126</v>
      </c>
      <c r="AD2" s="28" t="s">
        <v>126</v>
      </c>
      <c r="AE2" s="9" t="s">
        <v>12805</v>
      </c>
      <c r="AF2" s="9" t="s">
        <v>12806</v>
      </c>
      <c r="AG2" s="9" t="s">
        <v>12807</v>
      </c>
      <c r="AH2" s="9" t="s">
        <v>12808</v>
      </c>
      <c r="AI2" s="9" t="s">
        <v>12809</v>
      </c>
      <c r="AJ2" s="9" t="s">
        <v>12810</v>
      </c>
      <c r="AK2" s="9" t="s">
        <v>12811</v>
      </c>
      <c r="AL2" s="9" t="s">
        <v>12812</v>
      </c>
      <c r="AM2" s="9" t="s">
        <v>12813</v>
      </c>
      <c r="AN2" s="9" t="s">
        <v>12814</v>
      </c>
      <c r="AO2" s="9" t="s">
        <v>12815</v>
      </c>
      <c r="AP2" s="9" t="s">
        <v>12816</v>
      </c>
      <c r="AQ2" s="9" t="s">
        <v>12817</v>
      </c>
      <c r="AR2" s="9" t="s">
        <v>12818</v>
      </c>
      <c r="AS2" s="9" t="s">
        <v>12819</v>
      </c>
      <c r="AT2" s="9" t="s">
        <v>12820</v>
      </c>
      <c r="AU2" s="9" t="s">
        <v>12821</v>
      </c>
      <c r="AV2" s="9" t="s">
        <v>12822</v>
      </c>
      <c r="AW2" s="9" t="s">
        <v>12823</v>
      </c>
      <c r="AX2" s="9" t="s">
        <v>12824</v>
      </c>
      <c r="AY2" s="9" t="s">
        <v>12825</v>
      </c>
      <c r="AZ2" s="9" t="s">
        <v>12826</v>
      </c>
      <c r="BA2" s="29" t="s">
        <v>12827</v>
      </c>
      <c r="BB2" s="29" t="s">
        <v>12828</v>
      </c>
      <c r="BC2" s="9" t="s">
        <v>12829</v>
      </c>
      <c r="BD2" s="9" t="s">
        <v>12830</v>
      </c>
      <c r="BE2" s="9" t="s">
        <v>12831</v>
      </c>
      <c r="BF2" s="9" t="s">
        <v>12832</v>
      </c>
      <c r="BG2" s="28" t="s">
        <v>113</v>
      </c>
      <c r="BH2" s="28" t="s">
        <v>126</v>
      </c>
      <c r="BI2" s="9" t="s">
        <v>12833</v>
      </c>
      <c r="BJ2" s="9" t="s">
        <v>12834</v>
      </c>
      <c r="BK2" s="9" t="s">
        <v>12835</v>
      </c>
      <c r="BL2" s="9" t="s">
        <v>12836</v>
      </c>
      <c r="BM2" s="9" t="s">
        <v>12837</v>
      </c>
      <c r="BN2" s="9" t="s">
        <v>12838</v>
      </c>
      <c r="BO2" s="9" t="s">
        <v>12839</v>
      </c>
      <c r="BP2" s="9" t="s">
        <v>12840</v>
      </c>
      <c r="BQ2" s="9" t="s">
        <v>12841</v>
      </c>
      <c r="BR2" s="9" t="s">
        <v>12842</v>
      </c>
      <c r="BS2" s="9" t="s">
        <v>12843</v>
      </c>
      <c r="BT2" s="29" t="s">
        <v>12844</v>
      </c>
      <c r="BU2" s="29" t="s">
        <v>12845</v>
      </c>
      <c r="BV2" s="29" t="s">
        <v>12846</v>
      </c>
      <c r="BW2" s="29" t="s">
        <v>12847</v>
      </c>
      <c r="BX2" s="29" t="s">
        <v>12848</v>
      </c>
      <c r="BY2" s="9" t="s">
        <v>12849</v>
      </c>
      <c r="BZ2" s="9" t="s">
        <v>12850</v>
      </c>
      <c r="CA2" s="9" t="s">
        <v>11621</v>
      </c>
      <c r="CB2" s="9" t="s">
        <v>11623</v>
      </c>
      <c r="CC2" s="9" t="s">
        <v>12104</v>
      </c>
      <c r="CD2" s="9" t="s">
        <v>12105</v>
      </c>
      <c r="CE2" s="9" t="s">
        <v>12851</v>
      </c>
      <c r="CF2" s="9" t="s">
        <v>12852</v>
      </c>
      <c r="CG2" s="9" t="s">
        <v>12853</v>
      </c>
      <c r="CH2" s="9" t="s">
        <v>12854</v>
      </c>
      <c r="CI2" s="9" t="s">
        <v>12855</v>
      </c>
      <c r="CJ2" s="9" t="s">
        <v>12856</v>
      </c>
      <c r="CK2" s="9" t="s">
        <v>11822</v>
      </c>
      <c r="CL2" s="29" t="s">
        <v>12857</v>
      </c>
      <c r="CM2" s="29" t="s">
        <v>12858</v>
      </c>
      <c r="CN2" s="29" t="s">
        <v>12859</v>
      </c>
      <c r="CO2" s="29" t="s">
        <v>12860</v>
      </c>
      <c r="CP2" s="29" t="s">
        <v>12861</v>
      </c>
      <c r="CQ2" s="29" t="s">
        <v>12862</v>
      </c>
      <c r="CR2" s="29" t="s">
        <v>12863</v>
      </c>
      <c r="CS2" s="9" t="s">
        <v>11631</v>
      </c>
      <c r="CT2" s="14"/>
      <c r="CU2" s="13"/>
      <c r="CV2" s="13"/>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34"/>
      <c r="DZ2" s="34"/>
      <c r="EA2" s="34"/>
      <c r="EB2" s="34"/>
    </row>
    <row r="3" s="1" customFormat="1" ht="60" spans="1:133">
      <c r="A3" s="10" t="s">
        <v>12864</v>
      </c>
      <c r="B3" s="10" t="s">
        <v>12865</v>
      </c>
      <c r="C3" s="10" t="s">
        <v>12866</v>
      </c>
      <c r="D3" s="10" t="s">
        <v>12867</v>
      </c>
      <c r="E3" s="10" t="s">
        <v>12868</v>
      </c>
      <c r="F3" s="10" t="s">
        <v>12869</v>
      </c>
      <c r="G3" s="10" t="s">
        <v>12870</v>
      </c>
      <c r="H3" s="10" t="s">
        <v>12871</v>
      </c>
      <c r="I3" s="10" t="s">
        <v>12872</v>
      </c>
      <c r="J3" s="10" t="s">
        <v>12873</v>
      </c>
      <c r="K3" s="10" t="s">
        <v>12874</v>
      </c>
      <c r="L3" s="10" t="s">
        <v>12875</v>
      </c>
      <c r="M3" s="10" t="s">
        <v>12876</v>
      </c>
      <c r="N3" s="10" t="s">
        <v>12877</v>
      </c>
      <c r="O3" s="10" t="s">
        <v>12878</v>
      </c>
      <c r="P3" s="10" t="s">
        <v>12879</v>
      </c>
      <c r="Q3" s="10" t="s">
        <v>12880</v>
      </c>
      <c r="R3" s="10" t="s">
        <v>12881</v>
      </c>
      <c r="S3" s="10" t="s">
        <v>12882</v>
      </c>
      <c r="T3" s="10" t="s">
        <v>12883</v>
      </c>
      <c r="U3" s="10" t="s">
        <v>12884</v>
      </c>
      <c r="V3" s="10" t="s">
        <v>12885</v>
      </c>
      <c r="W3" s="10" t="s">
        <v>12886</v>
      </c>
      <c r="X3" s="10" t="s">
        <v>12887</v>
      </c>
      <c r="Y3" s="10" t="s">
        <v>12888</v>
      </c>
      <c r="Z3" s="10" t="s">
        <v>12889</v>
      </c>
      <c r="AA3" s="10" t="s">
        <v>12890</v>
      </c>
      <c r="AB3" s="10" t="s">
        <v>12891</v>
      </c>
      <c r="AC3" s="10" t="s">
        <v>12892</v>
      </c>
      <c r="AD3" s="10" t="s">
        <v>12893</v>
      </c>
      <c r="AE3" s="10" t="s">
        <v>12894</v>
      </c>
      <c r="AF3" s="10" t="s">
        <v>12895</v>
      </c>
      <c r="AG3" s="10" t="s">
        <v>12896</v>
      </c>
      <c r="AH3" s="10" t="s">
        <v>12897</v>
      </c>
      <c r="AI3" s="10" t="s">
        <v>12898</v>
      </c>
      <c r="AJ3" s="10" t="s">
        <v>12899</v>
      </c>
      <c r="AK3" s="10" t="s">
        <v>12900</v>
      </c>
      <c r="AL3" s="10" t="s">
        <v>12901</v>
      </c>
      <c r="AM3" s="10" t="s">
        <v>12902</v>
      </c>
      <c r="AN3" s="10" t="s">
        <v>12903</v>
      </c>
      <c r="AO3" s="10" t="s">
        <v>12904</v>
      </c>
      <c r="AP3" s="10" t="s">
        <v>12905</v>
      </c>
      <c r="AQ3" s="10" t="s">
        <v>12906</v>
      </c>
      <c r="AR3" s="10" t="s">
        <v>12907</v>
      </c>
      <c r="AS3" s="10" t="s">
        <v>12908</v>
      </c>
      <c r="AT3" s="10" t="s">
        <v>12909</v>
      </c>
      <c r="AU3" s="10" t="s">
        <v>12910</v>
      </c>
      <c r="AV3" s="10" t="s">
        <v>12911</v>
      </c>
      <c r="AW3" s="10" t="s">
        <v>12912</v>
      </c>
      <c r="AX3" s="10" t="s">
        <v>12913</v>
      </c>
      <c r="AY3" s="10" t="s">
        <v>12914</v>
      </c>
      <c r="AZ3" s="10" t="s">
        <v>12915</v>
      </c>
      <c r="BA3" s="10" t="s">
        <v>12916</v>
      </c>
      <c r="BB3" s="10" t="s">
        <v>12917</v>
      </c>
      <c r="BC3" s="10" t="s">
        <v>12918</v>
      </c>
      <c r="BD3" s="10" t="s">
        <v>12919</v>
      </c>
      <c r="BE3" s="10" t="s">
        <v>12920</v>
      </c>
      <c r="BF3" s="10" t="s">
        <v>12921</v>
      </c>
      <c r="BG3" s="10" t="s">
        <v>12922</v>
      </c>
      <c r="BH3" s="10" t="s">
        <v>12923</v>
      </c>
      <c r="BI3" s="10" t="s">
        <v>12924</v>
      </c>
      <c r="BJ3" s="10" t="s">
        <v>12925</v>
      </c>
      <c r="BK3" s="10" t="s">
        <v>12926</v>
      </c>
      <c r="BL3" s="10" t="s">
        <v>12927</v>
      </c>
      <c r="BM3" s="10" t="s">
        <v>12928</v>
      </c>
      <c r="BN3" s="10" t="s">
        <v>12929</v>
      </c>
      <c r="BO3" s="10" t="s">
        <v>12930</v>
      </c>
      <c r="BP3" s="10" t="s">
        <v>12931</v>
      </c>
      <c r="BQ3" s="10" t="s">
        <v>12932</v>
      </c>
      <c r="BR3" s="10" t="s">
        <v>12933</v>
      </c>
      <c r="BS3" s="10">
        <v>78300</v>
      </c>
      <c r="BT3" s="10" t="s">
        <v>12934</v>
      </c>
      <c r="BU3" s="10">
        <v>115500</v>
      </c>
      <c r="BV3" s="10">
        <v>115600</v>
      </c>
      <c r="BW3" s="10">
        <v>115700</v>
      </c>
      <c r="BX3" s="10">
        <v>115800</v>
      </c>
      <c r="BY3" s="10" t="s">
        <v>12935</v>
      </c>
      <c r="BZ3" s="10" t="s">
        <v>12936</v>
      </c>
      <c r="CA3" s="10" t="s">
        <v>12937</v>
      </c>
      <c r="CB3" s="10" t="s">
        <v>12938</v>
      </c>
      <c r="CC3" s="10" t="s">
        <v>12939</v>
      </c>
      <c r="CD3" s="10" t="s">
        <v>12940</v>
      </c>
      <c r="CE3" s="10" t="s">
        <v>12941</v>
      </c>
      <c r="CF3" s="10" t="s">
        <v>12942</v>
      </c>
      <c r="CG3" s="10" t="s">
        <v>12943</v>
      </c>
      <c r="CH3" s="10" t="s">
        <v>12944</v>
      </c>
      <c r="CI3" s="10" t="s">
        <v>12945</v>
      </c>
      <c r="CJ3" s="10" t="s">
        <v>12946</v>
      </c>
      <c r="CK3" s="10" t="s">
        <v>12947</v>
      </c>
      <c r="CL3" s="10">
        <v>119390</v>
      </c>
      <c r="CM3" s="10">
        <v>119400</v>
      </c>
      <c r="CN3" s="10">
        <v>119500</v>
      </c>
      <c r="CO3" s="10">
        <v>119600</v>
      </c>
      <c r="CP3" s="10">
        <v>119700</v>
      </c>
      <c r="CQ3" s="10">
        <v>119800</v>
      </c>
      <c r="CR3" s="10">
        <v>119900</v>
      </c>
      <c r="CS3" s="10" t="s">
        <v>12948</v>
      </c>
      <c r="CT3" s="15"/>
      <c r="CU3" s="16"/>
      <c r="CV3" s="16"/>
      <c r="CW3" s="16" t="s">
        <v>11683</v>
      </c>
      <c r="CX3" s="16" t="s">
        <v>11522</v>
      </c>
      <c r="CY3" s="16" t="s">
        <v>12949</v>
      </c>
      <c r="CZ3" s="16" t="s">
        <v>11686</v>
      </c>
      <c r="DA3" s="16" t="s">
        <v>11687</v>
      </c>
      <c r="DB3" s="16" t="s">
        <v>12644</v>
      </c>
      <c r="DC3" s="16" t="s">
        <v>12950</v>
      </c>
      <c r="DD3" s="16" t="s">
        <v>307</v>
      </c>
      <c r="DE3" s="16" t="s">
        <v>11871</v>
      </c>
      <c r="DF3" s="16" t="s">
        <v>12168</v>
      </c>
      <c r="DG3" s="16" t="s">
        <v>12712</v>
      </c>
      <c r="DH3" s="16" t="s">
        <v>12713</v>
      </c>
      <c r="DI3" s="16" t="s">
        <v>12714</v>
      </c>
      <c r="DJ3" s="16" t="s">
        <v>12715</v>
      </c>
      <c r="DK3" s="16" t="s">
        <v>12716</v>
      </c>
      <c r="DL3" s="16" t="s">
        <v>12717</v>
      </c>
      <c r="DM3" s="16" t="s">
        <v>12951</v>
      </c>
      <c r="DN3" s="16" t="s">
        <v>923</v>
      </c>
      <c r="DO3" s="16" t="s">
        <v>998</v>
      </c>
      <c r="DP3" s="16" t="s">
        <v>12952</v>
      </c>
      <c r="DQ3" s="16" t="s">
        <v>12953</v>
      </c>
      <c r="DR3" s="16"/>
      <c r="DS3" s="16" t="s">
        <v>12954</v>
      </c>
      <c r="DT3" s="16" t="s">
        <v>12955</v>
      </c>
      <c r="DU3" s="16" t="s">
        <v>12956</v>
      </c>
      <c r="DV3" s="16" t="s">
        <v>11695</v>
      </c>
      <c r="DW3" s="16" t="s">
        <v>12169</v>
      </c>
      <c r="DX3" s="16" t="s">
        <v>12170</v>
      </c>
      <c r="DY3" s="35" t="s">
        <v>12171</v>
      </c>
      <c r="DZ3" s="35" t="s">
        <v>12172</v>
      </c>
      <c r="EA3" s="35" t="s">
        <v>11698</v>
      </c>
      <c r="EB3" s="35" t="s">
        <v>11699</v>
      </c>
      <c r="EC3" s="37" t="s">
        <v>11700</v>
      </c>
    </row>
    <row r="4" spans="1:135">
      <c r="A4" s="3"/>
      <c r="D4" s="50"/>
      <c r="E4" s="50"/>
      <c r="Q4" s="51"/>
      <c r="R4" s="51"/>
      <c r="U4" s="52"/>
      <c r="CE4" s="55"/>
      <c r="CU4" s="6">
        <f>IF(AND(D4&gt;4678396.48217382,D4&lt;4924789.13601513),0,1)</f>
        <v>1</v>
      </c>
      <c r="CV4" s="6">
        <f>IF(AND(E4&gt;1554744.35667513,E4&lt;1771650.40247209),0,1)</f>
        <v>1</v>
      </c>
      <c r="CW4" s="19">
        <f>+IF(CA4&lt;3,IF(G4="",0,IF(G4&gt;0,0,1)),0)</f>
        <v>0</v>
      </c>
      <c r="CX4" s="32">
        <f>IF(CA4&lt;3,IF(OR(K4=9999,K4&lt;=('[2]Input anno'!$A$1)),0,1),0)</f>
        <v>0</v>
      </c>
      <c r="CY4" s="32">
        <f>IF(CA4&lt;3,IF(AND(OR(L4=9800,L4=9999,L4&lt;='[2]Input anno'!$A$1),OR(N4=9800,N4=9999,N4&lt;='[2]Input anno'!$A$1)),0,1),0)</f>
        <v>0</v>
      </c>
      <c r="CZ4" s="32">
        <f>+IF(CA4=3,IF(K4='[2]Input anno'!$A$1,0,1),0)</f>
        <v>0</v>
      </c>
      <c r="DA4" s="19">
        <f>+IF(CA4&lt;3,IF(K4&lt;&gt;9999,IF(AND(K4&lt;L4,K4&lt;N4),0,1),0),0)</f>
        <v>1</v>
      </c>
      <c r="DB4" s="32">
        <f>+IF(CA4&lt;3,IF(OR(M4=1,M4=2,M4=3,M4=4,M4=5),0,1),0)</f>
        <v>1</v>
      </c>
      <c r="DC4" s="32">
        <f>+IF(CA4&lt;3,IF(OR(O4=1,O4=2,O4=3,O4=4,O4=5,O4=99),0,1),0)</f>
        <v>1</v>
      </c>
      <c r="DD4" s="32">
        <f>+IF(CA4&lt;3,IF(Y4&gt;0,0,1),0)</f>
        <v>1</v>
      </c>
      <c r="DE4" s="32">
        <f>+IF(CA4&lt;3,IF(Z4&gt;0,0,1),0)</f>
        <v>1</v>
      </c>
      <c r="DF4" s="32">
        <f>+IF(CA4&lt;3,IF(AND(W4&gt;0,W4&lt;6),0,1),0)</f>
        <v>1</v>
      </c>
      <c r="DG4" s="32">
        <f>+IF(CA4&lt;3,IF(P4&gt;0,0,1),0)</f>
        <v>1</v>
      </c>
      <c r="DH4" s="32">
        <f>+IF(CA4&lt;3,IF(Q4&gt;0,0,1),0)</f>
        <v>1</v>
      </c>
      <c r="DI4" s="32">
        <f>+IF(CA4&lt;3,IF(R4&gt;0,0,1),0)</f>
        <v>1</v>
      </c>
      <c r="DJ4" s="32">
        <f>+IF(CA4&lt;3,IF(S4&gt;0,0,1),0)</f>
        <v>1</v>
      </c>
      <c r="DK4" s="32">
        <f>+IF(CA4&lt;3,IF(T4&gt;0,0,1),0)</f>
        <v>1</v>
      </c>
      <c r="DL4" s="32">
        <f>+IF(CA4&lt;3,IF(U4&gt;0,0,1),0)</f>
        <v>1</v>
      </c>
      <c r="DM4" s="19">
        <f>+IF(CA4&lt;3,IF((P4-Q4)&gt;=0,0,1),0)</f>
        <v>0</v>
      </c>
      <c r="DN4" s="19">
        <f>+IF(CA4&lt;3,IF(OR(AE4=1,AE4=2,AE4=3,AE4=4,AE4=5,AE4=6,AE4=7,AE4=8,AE4=9,AE4=99),0,1),0)</f>
        <v>1</v>
      </c>
      <c r="DO4" s="19">
        <f>+IF(CA4&lt;3,IF(OR(BD4=99,BD4&lt;&gt;0,BD4&lt;9),0,1),0)</f>
        <v>0</v>
      </c>
      <c r="DP4" s="19">
        <f>+IF(CA4&lt;3,IF(BD4=99,IF(BK4=1,0,1),IF(OR(BK4=1,BK4=2,BK4=3,BK4=4),0,1)),0)</f>
        <v>1</v>
      </c>
      <c r="DQ4" s="19">
        <f>+IF(CA4&lt;3,IF(BD4=99,IF(BE4=0,0,1),IF(BE4&gt;0,0,1)),0)</f>
        <v>1</v>
      </c>
      <c r="DR4" s="19">
        <f>+IF(CA4&lt;3,IF(AND(BN4&gt;0,BN4&lt;6),0,1),0)</f>
        <v>1</v>
      </c>
      <c r="DS4" s="19">
        <f>IF(CA4&lt;3,IF(BD4&lt;99,IF(BT4=(BU4+BV4+BW4+BX4+BY4),0,1),0),0)</f>
        <v>0</v>
      </c>
      <c r="DT4" s="32">
        <f>+IF(CA4&lt;3,IF(BZ4&lt;=BY4,0,1),0)</f>
        <v>0</v>
      </c>
      <c r="DU4" s="19">
        <f>+IF(CA4&lt;3,IF(AND(BG4&gt;0,BG4&lt;5),0,1),0)</f>
        <v>1</v>
      </c>
      <c r="DV4" s="19">
        <f>+IF(CA4&lt;3,IF(K4&lt;&gt;9999,IF(K4&gt;=2014,IF(CB4="A",0,1),0),IF(CB4="X",0,1)),0)</f>
        <v>0</v>
      </c>
      <c r="DW4" s="19">
        <f>+IF(CA4&lt;3,IF(L4&lt;9800,IF(L4&gt;=2014,IF(CC4="A",0,1),0),IF(L4=9999,IF(CC4="X",0,1),IF(CC4="A",0,1))),0)</f>
        <v>0</v>
      </c>
      <c r="DX4" s="19">
        <f>+IF(CA4&lt;3,IF(N4&lt;9800,IF(N4&gt;=2014,IF(CD4="A",0,1),0),IF(N4=9999,IF(CD4="X",0,1),IF(CD4="A",0,1))),0)</f>
        <v>0</v>
      </c>
      <c r="DY4" s="36">
        <f>+IF(CA4&lt;3,IF(AND(L4&lt;&gt;9800,L4&lt;&gt;9999),IF(AND(L4&gt;=2019,M4&lt;4),1,0),0),0)</f>
        <v>0</v>
      </c>
      <c r="DZ4" s="36">
        <f>+IF(CA4&lt;3,IF(AND(N4&lt;&gt;9800,N4&lt;&gt;9999),IF(AND(N4&gt;=2019,O4&lt;4),1,0),0),0)</f>
        <v>0</v>
      </c>
      <c r="EA4" s="36">
        <f>+IF(CA4&lt;3,IF(K4=9999,0,IF(K4&gt;=2014,IF(AND(L4&gt;K4,N4&gt;K4,M4&gt;=4,O4&gt;=4),0,1),0)),0)</f>
        <v>0</v>
      </c>
      <c r="EB4" s="36">
        <f>+IF(CA4&lt;3,IF(K4=9999,0,IF(K4&gt;=2015,IF(COUNTBLANK(B4:CS4)=0,0,1),0)),0)</f>
        <v>0</v>
      </c>
      <c r="EC4" s="38">
        <f>+IF(AND(K4='[2]Input anno'!$A$1,CA4=1),COUNTBLANK(B4:CS4),0)</f>
        <v>0</v>
      </c>
      <c r="ED4" s="56" t="s">
        <v>11560</v>
      </c>
      <c r="EE4" s="56" t="str">
        <f>IF(SUM(CU:CU)=0,"OK","Attenzione! Possibile errore su coordinate")</f>
        <v>Attenzione! Possibile errore su coordinate</v>
      </c>
    </row>
    <row r="5" spans="1:135">
      <c r="A5" s="3"/>
      <c r="D5" s="50"/>
      <c r="E5" s="50"/>
      <c r="Q5" s="51"/>
      <c r="R5" s="51"/>
      <c r="U5" s="52"/>
      <c r="CE5" s="55"/>
      <c r="CU5" s="25"/>
      <c r="CV5" s="25"/>
      <c r="CW5" s="19"/>
      <c r="DA5" s="19"/>
      <c r="DH5" s="32"/>
      <c r="DI5" s="32"/>
      <c r="DJ5" s="32"/>
      <c r="DK5" s="32"/>
      <c r="DL5" s="32"/>
      <c r="DV5" s="19"/>
      <c r="DW5" s="19"/>
      <c r="DX5" s="19"/>
      <c r="DY5" s="36"/>
      <c r="DZ5" s="36"/>
      <c r="EA5" s="36"/>
      <c r="EB5" s="36"/>
      <c r="EC5" s="38"/>
      <c r="ED5" s="56" t="s">
        <v>11561</v>
      </c>
      <c r="EE5" s="56" t="str">
        <f>IF(SUM(CV:CV)=0,"OK","Attenzione! Possibile errore su coordinate")</f>
        <v>Attenzione! Possibile errore su coordinate</v>
      </c>
    </row>
    <row r="6" spans="1:135">
      <c r="A6" s="3"/>
      <c r="D6" s="50"/>
      <c r="E6" s="50"/>
      <c r="Q6" s="51"/>
      <c r="R6" s="51"/>
      <c r="U6" s="52"/>
      <c r="CE6" s="55"/>
      <c r="CU6" s="25"/>
      <c r="CV6" s="25"/>
      <c r="CW6" s="19"/>
      <c r="DA6" s="19"/>
      <c r="DH6" s="32"/>
      <c r="DI6" s="32"/>
      <c r="DJ6" s="32"/>
      <c r="DK6" s="32"/>
      <c r="DL6" s="32"/>
      <c r="DV6" s="19"/>
      <c r="DW6" s="19"/>
      <c r="DX6" s="19"/>
      <c r="DY6" s="36"/>
      <c r="DZ6" s="36"/>
      <c r="EA6" s="36"/>
      <c r="EB6" s="36"/>
      <c r="EC6" s="38"/>
      <c r="ED6" s="56" t="s">
        <v>11683</v>
      </c>
      <c r="EE6" s="56" t="str">
        <f>IF(SUM(CW:CW)=0,"OK","Attenzione! Possibile errore, QUOTA=0. Verificare e confermare i dati")</f>
        <v>OK</v>
      </c>
    </row>
    <row r="7" spans="1:135">
      <c r="A7" s="3"/>
      <c r="D7" s="50"/>
      <c r="E7" s="50"/>
      <c r="Q7" s="51"/>
      <c r="R7" s="51"/>
      <c r="U7" s="52"/>
      <c r="CE7" s="55"/>
      <c r="CU7" s="25"/>
      <c r="CV7" s="25"/>
      <c r="CW7" s="19"/>
      <c r="DA7" s="19"/>
      <c r="DH7" s="32"/>
      <c r="DI7" s="32"/>
      <c r="DJ7" s="32"/>
      <c r="DK7" s="32"/>
      <c r="DL7" s="32"/>
      <c r="DV7" s="19"/>
      <c r="DW7" s="19"/>
      <c r="DX7" s="19"/>
      <c r="DY7" s="36"/>
      <c r="DZ7" s="36"/>
      <c r="EA7" s="36"/>
      <c r="EB7" s="36"/>
      <c r="EC7" s="38"/>
      <c r="ED7" s="56" t="s">
        <v>11522</v>
      </c>
      <c r="EE7" s="56" t="str">
        <f>IF(SUM(CX:CX)=0,"OK","errore su anno di costruzione")</f>
        <v>OK</v>
      </c>
    </row>
    <row r="8" spans="1:135">
      <c r="A8" s="3"/>
      <c r="D8" s="50"/>
      <c r="E8" s="50"/>
      <c r="Q8" s="51"/>
      <c r="R8" s="51"/>
      <c r="CE8" s="55"/>
      <c r="CU8" s="25"/>
      <c r="CV8" s="25"/>
      <c r="CW8" s="19"/>
      <c r="DA8" s="19"/>
      <c r="DH8" s="32"/>
      <c r="DI8" s="32"/>
      <c r="DJ8" s="32"/>
      <c r="DK8" s="32"/>
      <c r="DL8" s="32"/>
      <c r="DV8" s="19"/>
      <c r="DW8" s="19"/>
      <c r="DX8" s="19"/>
      <c r="DY8" s="36"/>
      <c r="DZ8" s="36"/>
      <c r="EA8" s="36"/>
      <c r="EB8" s="36"/>
      <c r="EC8" s="38"/>
      <c r="ED8" s="56" t="s">
        <v>12949</v>
      </c>
      <c r="EE8" s="56" t="str">
        <f>IF(SUM(CY:CY)=0,"OK","errore su anno di ristrutturazione")</f>
        <v>OK</v>
      </c>
    </row>
    <row r="9" spans="1:135">
      <c r="A9" s="3"/>
      <c r="D9" s="50"/>
      <c r="E9" s="50"/>
      <c r="Q9" s="51"/>
      <c r="R9" s="51"/>
      <c r="U9" s="52"/>
      <c r="CE9" s="55"/>
      <c r="CU9" s="25"/>
      <c r="CV9" s="25"/>
      <c r="CW9" s="19"/>
      <c r="DA9" s="19"/>
      <c r="DH9" s="32"/>
      <c r="DI9" s="32"/>
      <c r="DJ9" s="32"/>
      <c r="DK9" s="32"/>
      <c r="DL9" s="32"/>
      <c r="DV9" s="19"/>
      <c r="DW9" s="19"/>
      <c r="DX9" s="19"/>
      <c r="DY9" s="36"/>
      <c r="DZ9" s="36"/>
      <c r="EA9" s="36"/>
      <c r="EB9" s="36"/>
      <c r="EC9" s="38"/>
      <c r="ED9" s="56" t="s">
        <v>11686</v>
      </c>
      <c r="EE9" s="56" t="str">
        <f>IF(SUM(CZ:CZ)=0,"OK","errore su anno di costruzione delle opere in costruzione")</f>
        <v>OK</v>
      </c>
    </row>
    <row r="10" ht="25.5" spans="1:135">
      <c r="A10" s="3"/>
      <c r="D10" s="50"/>
      <c r="E10" s="50"/>
      <c r="Q10" s="51"/>
      <c r="R10" s="51"/>
      <c r="U10" s="52"/>
      <c r="BN10" s="53"/>
      <c r="BO10" s="53"/>
      <c r="BP10" s="53"/>
      <c r="BQ10" s="53"/>
      <c r="CE10" s="55"/>
      <c r="CU10" s="25"/>
      <c r="CV10" s="25"/>
      <c r="CW10" s="19"/>
      <c r="DA10" s="19"/>
      <c r="DH10" s="32"/>
      <c r="DI10" s="32"/>
      <c r="DJ10" s="32"/>
      <c r="DK10" s="32"/>
      <c r="DL10" s="32"/>
      <c r="DV10" s="19"/>
      <c r="DW10" s="19"/>
      <c r="DX10" s="19"/>
      <c r="DY10" s="36"/>
      <c r="DZ10" s="36"/>
      <c r="EA10" s="36"/>
      <c r="EB10" s="36"/>
      <c r="EC10" s="38"/>
      <c r="ED10" s="56" t="s">
        <v>11687</v>
      </c>
      <c r="EE10" s="56" t="str">
        <f>IF(SUM(DA:DA)=0,"OK","anno di costruzione e anno di ristrutturazione non congruenti")</f>
        <v>anno di costruzione e anno di ristrutturazione non congruenti</v>
      </c>
    </row>
    <row r="11" spans="1:135">
      <c r="A11" s="3"/>
      <c r="D11" s="50"/>
      <c r="E11" s="50"/>
      <c r="Q11" s="51"/>
      <c r="R11" s="51"/>
      <c r="U11" s="52"/>
      <c r="CE11" s="55"/>
      <c r="CU11" s="25"/>
      <c r="CV11" s="25"/>
      <c r="CW11" s="19"/>
      <c r="DA11" s="19"/>
      <c r="DH11" s="32"/>
      <c r="DI11" s="32"/>
      <c r="DJ11" s="32"/>
      <c r="DK11" s="32"/>
      <c r="DL11" s="32"/>
      <c r="DV11" s="19"/>
      <c r="DW11" s="19"/>
      <c r="DX11" s="19"/>
      <c r="DY11" s="36"/>
      <c r="DZ11" s="36"/>
      <c r="EA11" s="36"/>
      <c r="EB11" s="36"/>
      <c r="EC11" s="38"/>
      <c r="ED11" s="56" t="s">
        <v>12644</v>
      </c>
      <c r="EE11" s="56" t="str">
        <f>IF(SUM(DB:DB)=0,"OK","errore su stato conservazione oo.civili")</f>
        <v>errore su stato conservazione oo.civili</v>
      </c>
    </row>
    <row r="12" spans="1:135">
      <c r="A12" s="3"/>
      <c r="D12" s="50"/>
      <c r="E12" s="50"/>
      <c r="Q12" s="51"/>
      <c r="R12" s="51"/>
      <c r="U12" s="52"/>
      <c r="BM12" s="54"/>
      <c r="BN12" s="53"/>
      <c r="BP12" s="53"/>
      <c r="BQ12" s="53"/>
      <c r="CE12" s="55"/>
      <c r="CU12" s="25"/>
      <c r="CV12" s="25"/>
      <c r="CW12" s="19"/>
      <c r="DA12" s="19"/>
      <c r="DH12" s="32"/>
      <c r="DI12" s="32"/>
      <c r="DJ12" s="32"/>
      <c r="DK12" s="32"/>
      <c r="DL12" s="32"/>
      <c r="DV12" s="19"/>
      <c r="DW12" s="19"/>
      <c r="DX12" s="19"/>
      <c r="DY12" s="36"/>
      <c r="DZ12" s="36"/>
      <c r="EA12" s="36"/>
      <c r="EB12" s="36"/>
      <c r="EC12" s="38"/>
      <c r="ED12" s="56" t="s">
        <v>12957</v>
      </c>
      <c r="EE12" s="56" t="str">
        <f>IF(SUM(DC:DC)=0,"OK","errore su stato conservazione oo.elettromecc.")</f>
        <v>errore su stato conservazione oo.elettromecc.</v>
      </c>
    </row>
    <row r="13" spans="1:135">
      <c r="A13" s="3"/>
      <c r="D13" s="50"/>
      <c r="E13" s="50"/>
      <c r="Q13" s="51"/>
      <c r="R13" s="51"/>
      <c r="U13" s="52"/>
      <c r="CE13" s="55"/>
      <c r="CU13" s="25"/>
      <c r="CV13" s="25"/>
      <c r="CW13" s="19"/>
      <c r="DA13" s="19"/>
      <c r="DH13" s="32"/>
      <c r="DI13" s="32"/>
      <c r="DJ13" s="32"/>
      <c r="DK13" s="32"/>
      <c r="DL13" s="32"/>
      <c r="DV13" s="19"/>
      <c r="DW13" s="19"/>
      <c r="DX13" s="19"/>
      <c r="DY13" s="36"/>
      <c r="DZ13" s="36"/>
      <c r="EA13" s="36"/>
      <c r="EB13" s="36"/>
      <c r="EC13" s="38"/>
      <c r="ED13" s="56" t="s">
        <v>307</v>
      </c>
      <c r="EE13" s="56" t="str">
        <f>IF(SUM(DD:DD)=0,"OK","incongruenza su potenza installata")</f>
        <v>incongruenza su potenza installata</v>
      </c>
    </row>
    <row r="14" spans="1:135">
      <c r="A14" s="3"/>
      <c r="D14" s="50"/>
      <c r="E14" s="50"/>
      <c r="Q14" s="51"/>
      <c r="R14" s="51"/>
      <c r="U14" s="52"/>
      <c r="CE14" s="55"/>
      <c r="CU14" s="25"/>
      <c r="CV14" s="25"/>
      <c r="CW14" s="19"/>
      <c r="DA14" s="19"/>
      <c r="DH14" s="32"/>
      <c r="DI14" s="32"/>
      <c r="DJ14" s="32"/>
      <c r="DK14" s="32"/>
      <c r="DL14" s="32"/>
      <c r="DV14" s="19"/>
      <c r="DW14" s="19"/>
      <c r="DX14" s="19"/>
      <c r="DY14" s="36"/>
      <c r="DZ14" s="36"/>
      <c r="EA14" s="36"/>
      <c r="EB14" s="36"/>
      <c r="EC14" s="38"/>
      <c r="ED14" s="56" t="s">
        <v>11871</v>
      </c>
      <c r="EE14" s="56" t="str">
        <f>IF(SUM(DE:DE)=0,"OK","consumo energia non congruente con stato impianto")</f>
        <v>consumo energia non congruente con stato impianto</v>
      </c>
    </row>
    <row r="15" spans="1:135">
      <c r="A15" s="3"/>
      <c r="D15" s="50"/>
      <c r="E15" s="50"/>
      <c r="Q15" s="51"/>
      <c r="R15" s="51"/>
      <c r="CE15" s="55"/>
      <c r="CU15" s="25"/>
      <c r="CV15" s="25"/>
      <c r="CW15" s="19"/>
      <c r="DA15" s="19"/>
      <c r="DH15" s="32"/>
      <c r="DI15" s="32"/>
      <c r="DJ15" s="32"/>
      <c r="DK15" s="32"/>
      <c r="DL15" s="32"/>
      <c r="DV15" s="19"/>
      <c r="DW15" s="19"/>
      <c r="DX15" s="19"/>
      <c r="DY15" s="36"/>
      <c r="DZ15" s="36"/>
      <c r="EA15" s="36"/>
      <c r="EB15" s="36"/>
      <c r="EC15" s="38"/>
      <c r="ED15" s="56" t="s">
        <v>12168</v>
      </c>
      <c r="EE15" s="56" t="str">
        <f>IF(SUM(DF:DF)=0,"OK","incongruenza su tipo telecontrollo")</f>
        <v>incongruenza su tipo telecontrollo</v>
      </c>
    </row>
    <row r="16" spans="1:135">
      <c r="A16" s="3"/>
      <c r="D16" s="50"/>
      <c r="E16" s="50"/>
      <c r="Q16" s="51"/>
      <c r="R16" s="51"/>
      <c r="U16" s="52"/>
      <c r="CE16" s="55"/>
      <c r="CU16" s="25"/>
      <c r="CV16" s="25"/>
      <c r="CW16" s="19"/>
      <c r="DA16" s="19"/>
      <c r="DH16" s="32"/>
      <c r="DI16" s="32"/>
      <c r="DJ16" s="32"/>
      <c r="DK16" s="32"/>
      <c r="DL16" s="32"/>
      <c r="DV16" s="19"/>
      <c r="DW16" s="19"/>
      <c r="DX16" s="19"/>
      <c r="DY16" s="36"/>
      <c r="DZ16" s="36"/>
      <c r="EA16" s="36"/>
      <c r="EB16" s="36"/>
      <c r="EC16" s="38"/>
      <c r="ED16" s="56" t="s">
        <v>12712</v>
      </c>
      <c r="EE16" s="56" t="str">
        <f>IF(SUM(DG:DG)=0,"OK","errore su potenzialità di progetto")</f>
        <v>errore su potenzialità di progetto</v>
      </c>
    </row>
    <row r="17" ht="18" customHeight="1" spans="1:135">
      <c r="A17" s="3"/>
      <c r="D17" s="50"/>
      <c r="E17" s="50"/>
      <c r="Q17" s="51"/>
      <c r="R17" s="51"/>
      <c r="U17" s="52"/>
      <c r="CE17" s="55"/>
      <c r="CU17" s="25"/>
      <c r="CV17" s="25"/>
      <c r="CW17" s="19"/>
      <c r="DA17" s="19"/>
      <c r="DH17" s="32"/>
      <c r="DI17" s="32"/>
      <c r="DJ17" s="32"/>
      <c r="DK17" s="32"/>
      <c r="DL17" s="32"/>
      <c r="DV17" s="19"/>
      <c r="DW17" s="19"/>
      <c r="DX17" s="19"/>
      <c r="DY17" s="36"/>
      <c r="DZ17" s="36"/>
      <c r="EA17" s="36"/>
      <c r="EB17" s="36"/>
      <c r="EC17" s="38"/>
      <c r="ED17" s="56" t="s">
        <v>12713</v>
      </c>
      <c r="EE17" s="56" t="str">
        <f>IF(SUM(DH:DH)=0,"OK","errore su carico totale trattato")</f>
        <v>errore su carico totale trattato</v>
      </c>
    </row>
    <row r="18" ht="19.5" customHeight="1" spans="1:135">
      <c r="A18" s="3"/>
      <c r="D18" s="50"/>
      <c r="E18" s="50"/>
      <c r="Q18" s="51"/>
      <c r="R18" s="51"/>
      <c r="U18" s="52"/>
      <c r="CE18" s="55"/>
      <c r="CU18" s="25"/>
      <c r="CV18" s="25"/>
      <c r="CW18" s="19"/>
      <c r="DA18" s="19"/>
      <c r="DH18" s="32"/>
      <c r="DI18" s="32"/>
      <c r="DJ18" s="32"/>
      <c r="DK18" s="32"/>
      <c r="DL18" s="32"/>
      <c r="DV18" s="19"/>
      <c r="DW18" s="19"/>
      <c r="DX18" s="19"/>
      <c r="DY18" s="36"/>
      <c r="DZ18" s="36"/>
      <c r="EA18" s="36"/>
      <c r="EB18" s="36"/>
      <c r="EC18" s="38"/>
      <c r="ED18" s="56" t="s">
        <v>12714</v>
      </c>
      <c r="EE18" s="56" t="str">
        <f>IF(SUM(DI:DI)=0,"OK","errore su carico civile trattato")</f>
        <v>errore su carico civile trattato</v>
      </c>
    </row>
    <row r="19" spans="1:135">
      <c r="A19" s="3"/>
      <c r="D19" s="50"/>
      <c r="E19" s="50"/>
      <c r="Q19" s="51"/>
      <c r="R19" s="51"/>
      <c r="U19" s="52"/>
      <c r="CE19" s="55"/>
      <c r="CU19" s="25"/>
      <c r="CV19" s="25"/>
      <c r="CW19" s="19"/>
      <c r="DA19" s="19"/>
      <c r="DH19" s="32"/>
      <c r="DI19" s="32"/>
      <c r="DJ19" s="32"/>
      <c r="DK19" s="32"/>
      <c r="DL19" s="32"/>
      <c r="DV19" s="19"/>
      <c r="DW19" s="19"/>
      <c r="DX19" s="19"/>
      <c r="DY19" s="36"/>
      <c r="DZ19" s="36"/>
      <c r="EA19" s="36"/>
      <c r="EB19" s="36"/>
      <c r="EC19" s="38"/>
      <c r="ED19" s="56" t="s">
        <v>12715</v>
      </c>
      <c r="EE19" s="56" t="str">
        <f>IF(SUM(DJ:DJ)=0,"OK","errore su concentrazione media ingresso COD")</f>
        <v>errore su concentrazione media ingresso COD</v>
      </c>
    </row>
    <row r="20" spans="1:135">
      <c r="A20" s="3"/>
      <c r="D20" s="50"/>
      <c r="E20" s="50"/>
      <c r="Q20" s="51"/>
      <c r="R20" s="51"/>
      <c r="U20" s="52"/>
      <c r="BM20" s="54"/>
      <c r="BN20" s="53"/>
      <c r="BO20" s="53"/>
      <c r="BP20" s="53"/>
      <c r="BQ20" s="53"/>
      <c r="CE20" s="55"/>
      <c r="CU20" s="25"/>
      <c r="CV20" s="25"/>
      <c r="CW20" s="19"/>
      <c r="DA20" s="19"/>
      <c r="DH20" s="32"/>
      <c r="DI20" s="32"/>
      <c r="DJ20" s="32"/>
      <c r="DK20" s="32"/>
      <c r="DL20" s="32"/>
      <c r="DV20" s="19"/>
      <c r="DW20" s="19"/>
      <c r="DX20" s="19"/>
      <c r="DY20" s="36"/>
      <c r="DZ20" s="36"/>
      <c r="EA20" s="36"/>
      <c r="EB20" s="36"/>
      <c r="EC20" s="38"/>
      <c r="ED20" s="56" t="s">
        <v>12716</v>
      </c>
      <c r="EE20" s="56" t="str">
        <f>IF(SUM(DK:DK)=0,"OK","errore su concentrazione media uscita COD")</f>
        <v>errore su concentrazione media uscita COD</v>
      </c>
    </row>
    <row r="21" spans="1:135">
      <c r="A21" s="3"/>
      <c r="D21" s="50"/>
      <c r="E21" s="50"/>
      <c r="Q21" s="51"/>
      <c r="R21" s="51"/>
      <c r="U21" s="52"/>
      <c r="CD21" s="24"/>
      <c r="CE21" s="55"/>
      <c r="CU21" s="25"/>
      <c r="CV21" s="25"/>
      <c r="CW21" s="19"/>
      <c r="DA21" s="19"/>
      <c r="DH21" s="32"/>
      <c r="DI21" s="32"/>
      <c r="DJ21" s="32"/>
      <c r="DK21" s="32"/>
      <c r="DL21" s="32"/>
      <c r="DV21" s="19"/>
      <c r="DW21" s="19"/>
      <c r="DX21" s="19"/>
      <c r="DY21" s="36"/>
      <c r="DZ21" s="36"/>
      <c r="EA21" s="36"/>
      <c r="EB21" s="36"/>
      <c r="EC21" s="38"/>
      <c r="ED21" s="56" t="s">
        <v>12717</v>
      </c>
      <c r="EE21" s="56" t="str">
        <f>IF(SUM(DL:DL)=0,"OK","errore su volume trattato")</f>
        <v>errore su volume trattato</v>
      </c>
    </row>
    <row r="22" spans="1:135">
      <c r="A22" s="3"/>
      <c r="D22" s="50"/>
      <c r="E22" s="50"/>
      <c r="Q22" s="51"/>
      <c r="R22" s="51"/>
      <c r="U22" s="52"/>
      <c r="CD22" s="24"/>
      <c r="CE22" s="55"/>
      <c r="CU22" s="25"/>
      <c r="CV22" s="25"/>
      <c r="CW22" s="19"/>
      <c r="DA22" s="19"/>
      <c r="DH22" s="32"/>
      <c r="DI22" s="32"/>
      <c r="DJ22" s="32"/>
      <c r="DK22" s="32"/>
      <c r="DL22" s="32"/>
      <c r="DV22" s="19"/>
      <c r="DW22" s="19"/>
      <c r="DX22" s="19"/>
      <c r="DY22" s="36"/>
      <c r="DZ22" s="36"/>
      <c r="EA22" s="36"/>
      <c r="EB22" s="36"/>
      <c r="EC22" s="38"/>
      <c r="ED22" s="56" t="s">
        <v>12951</v>
      </c>
      <c r="EE22" s="56" t="str">
        <f>IF(SUM(DM:DM)=0,"OK","carico attuale trattato superiore a carico di progetto - rischio di sovraccarico impianto - verificare")</f>
        <v>OK</v>
      </c>
    </row>
    <row r="23" spans="1:135">
      <c r="A23" s="3"/>
      <c r="D23" s="50"/>
      <c r="E23" s="50"/>
      <c r="Q23" s="51"/>
      <c r="R23" s="51"/>
      <c r="U23" s="52"/>
      <c r="CD23" s="24"/>
      <c r="CE23" s="55"/>
      <c r="CU23" s="25"/>
      <c r="CV23" s="25"/>
      <c r="CW23" s="19"/>
      <c r="DA23" s="19"/>
      <c r="DH23" s="32"/>
      <c r="DI23" s="32"/>
      <c r="DJ23" s="32"/>
      <c r="DK23" s="32"/>
      <c r="DL23" s="32"/>
      <c r="DV23" s="19"/>
      <c r="DW23" s="19"/>
      <c r="DX23" s="19"/>
      <c r="DY23" s="36"/>
      <c r="DZ23" s="36"/>
      <c r="EA23" s="36"/>
      <c r="EB23" s="36"/>
      <c r="EC23" s="38"/>
      <c r="ED23" s="56" t="s">
        <v>923</v>
      </c>
      <c r="EE23" s="56" t="str">
        <f>IF(SUM(DN:DN)=0,"OK","linea acqua non codificata correttamente")</f>
        <v>linea acqua non codificata correttamente</v>
      </c>
    </row>
    <row r="24" spans="1:135">
      <c r="A24" s="3"/>
      <c r="D24" s="50"/>
      <c r="E24" s="50"/>
      <c r="Q24" s="51"/>
      <c r="R24" s="51"/>
      <c r="U24" s="52"/>
      <c r="CD24" s="24"/>
      <c r="CE24" s="55"/>
      <c r="CU24" s="25"/>
      <c r="CV24" s="25"/>
      <c r="CW24" s="19"/>
      <c r="DA24" s="19"/>
      <c r="DH24" s="32"/>
      <c r="DI24" s="32"/>
      <c r="DJ24" s="32"/>
      <c r="DK24" s="32"/>
      <c r="DL24" s="32"/>
      <c r="DV24" s="19"/>
      <c r="DW24" s="19"/>
      <c r="DX24" s="19"/>
      <c r="DY24" s="36"/>
      <c r="DZ24" s="36"/>
      <c r="EA24" s="36"/>
      <c r="EB24" s="36"/>
      <c r="EC24" s="38"/>
      <c r="ED24" s="56" t="s">
        <v>998</v>
      </c>
      <c r="EE24" s="56" t="str">
        <f>IF(SUM(DO:DO)=0,"OK","linea fango non codificata correttamente")</f>
        <v>OK</v>
      </c>
    </row>
    <row r="25" spans="1:135">
      <c r="A25" s="3"/>
      <c r="D25" s="50"/>
      <c r="E25" s="50"/>
      <c r="Q25" s="51"/>
      <c r="R25" s="51"/>
      <c r="U25" s="52"/>
      <c r="CD25" s="24"/>
      <c r="CE25" s="55"/>
      <c r="CU25" s="25"/>
      <c r="CV25" s="25"/>
      <c r="CW25" s="19"/>
      <c r="DA25" s="19"/>
      <c r="DH25" s="32"/>
      <c r="DI25" s="32"/>
      <c r="DJ25" s="32"/>
      <c r="DK25" s="32"/>
      <c r="DL25" s="32"/>
      <c r="DV25" s="19"/>
      <c r="DW25" s="19"/>
      <c r="DX25" s="19"/>
      <c r="DY25" s="36"/>
      <c r="DZ25" s="36"/>
      <c r="EA25" s="36"/>
      <c r="EB25" s="36"/>
      <c r="EC25" s="38"/>
      <c r="ED25" s="56" t="s">
        <v>12952</v>
      </c>
      <c r="EE25" s="56" t="str">
        <f>IF(SUM(DP:DP)=0,"OK"," tipo di disidratazione non codificata correttamente")</f>
        <v> tipo di disidratazione non codificata correttamente</v>
      </c>
    </row>
    <row r="26" spans="1:135">
      <c r="A26" s="3"/>
      <c r="D26" s="50"/>
      <c r="E26" s="50"/>
      <c r="Q26" s="51"/>
      <c r="R26" s="51"/>
      <c r="U26" s="52"/>
      <c r="CD26" s="24"/>
      <c r="CE26" s="55"/>
      <c r="CU26" s="25"/>
      <c r="CV26" s="25"/>
      <c r="CW26" s="19"/>
      <c r="DA26" s="19"/>
      <c r="DH26" s="32"/>
      <c r="DI26" s="32"/>
      <c r="DJ26" s="32"/>
      <c r="DK26" s="32"/>
      <c r="DL26" s="32"/>
      <c r="DV26" s="19"/>
      <c r="DW26" s="19"/>
      <c r="DX26" s="19"/>
      <c r="DY26" s="36"/>
      <c r="DZ26" s="36"/>
      <c r="EA26" s="36"/>
      <c r="EB26" s="36"/>
      <c r="EC26" s="38"/>
      <c r="ED26" s="56" t="s">
        <v>12953</v>
      </c>
      <c r="EE26" s="56" t="str">
        <f>IF(SUM(DQ:DQ)=0,"OK"," id linea fango e numero linee fango non congruenti")</f>
        <v> id linea fango e numero linee fango non congruenti</v>
      </c>
    </row>
    <row r="27" spans="1:135">
      <c r="A27" s="3"/>
      <c r="D27" s="50"/>
      <c r="E27" s="50"/>
      <c r="Q27" s="51"/>
      <c r="R27" s="51"/>
      <c r="U27" s="52"/>
      <c r="CD27" s="24"/>
      <c r="CE27" s="55"/>
      <c r="CU27" s="25"/>
      <c r="CV27" s="25"/>
      <c r="CW27" s="19"/>
      <c r="DA27" s="19"/>
      <c r="DH27" s="32"/>
      <c r="DI27" s="32"/>
      <c r="DJ27" s="32"/>
      <c r="DK27" s="32"/>
      <c r="DL27" s="32"/>
      <c r="DV27" s="19"/>
      <c r="DW27" s="19"/>
      <c r="DX27" s="19"/>
      <c r="DY27" s="36"/>
      <c r="DZ27" s="36"/>
      <c r="EA27" s="36"/>
      <c r="EB27" s="36"/>
      <c r="EC27" s="38"/>
      <c r="ED27" s="56" t="s">
        <v>12958</v>
      </c>
      <c r="EE27" s="56" t="str">
        <f>IF(SUM(DR:DR)=0,"OK","Errore codifica destinazione fango")</f>
        <v>Errore codifica destinazione fango</v>
      </c>
    </row>
    <row r="28" spans="1:135">
      <c r="A28" s="3"/>
      <c r="D28" s="50"/>
      <c r="E28" s="50"/>
      <c r="Q28" s="51"/>
      <c r="R28" s="51"/>
      <c r="U28" s="52"/>
      <c r="CD28" s="24"/>
      <c r="CE28" s="55"/>
      <c r="CU28" s="25"/>
      <c r="CV28" s="25"/>
      <c r="CW28" s="19"/>
      <c r="DA28" s="19"/>
      <c r="DH28" s="32"/>
      <c r="DI28" s="32"/>
      <c r="DJ28" s="32"/>
      <c r="DK28" s="32"/>
      <c r="DL28" s="32"/>
      <c r="DV28" s="19"/>
      <c r="DW28" s="19"/>
      <c r="DX28" s="19"/>
      <c r="DY28" s="36"/>
      <c r="DZ28" s="36"/>
      <c r="EA28" s="36"/>
      <c r="EB28" s="36"/>
      <c r="EC28" s="38"/>
      <c r="ED28" s="56" t="s">
        <v>12954</v>
      </c>
      <c r="EE28" s="56" t="str">
        <f>IF(SUM(DS:DS)=0,"OK","Dati dei fanghi prodotti/smaliti e recuperati non congruenti fra loro")</f>
        <v>OK</v>
      </c>
    </row>
    <row r="29" spans="1:135">
      <c r="A29" s="3"/>
      <c r="D29" s="50"/>
      <c r="E29" s="50"/>
      <c r="Q29" s="51"/>
      <c r="R29" s="51"/>
      <c r="U29" s="52"/>
      <c r="CD29" s="24"/>
      <c r="CE29" s="55"/>
      <c r="CU29" s="25"/>
      <c r="CV29" s="25"/>
      <c r="CW29" s="19"/>
      <c r="DA29" s="19"/>
      <c r="DH29" s="32"/>
      <c r="DI29" s="32"/>
      <c r="DJ29" s="32"/>
      <c r="DK29" s="32"/>
      <c r="DL29" s="32"/>
      <c r="DV29" s="19"/>
      <c r="DW29" s="19"/>
      <c r="DX29" s="19"/>
      <c r="DY29" s="36"/>
      <c r="DZ29" s="36"/>
      <c r="EA29" s="36"/>
      <c r="EB29" s="36"/>
      <c r="EC29" s="38"/>
      <c r="ED29" s="56" t="s">
        <v>12959</v>
      </c>
      <c r="EE29" s="56" t="str">
        <f>IF(SUM(DT:DT)=0,"OK","Dati dei fanghi smaltiti in discarica non corretti")</f>
        <v>OK</v>
      </c>
    </row>
    <row r="30" spans="1:135">
      <c r="A30" s="3"/>
      <c r="D30" s="50"/>
      <c r="E30" s="50"/>
      <c r="Q30" s="51"/>
      <c r="R30" s="51"/>
      <c r="U30" s="52"/>
      <c r="CD30" s="24"/>
      <c r="CE30" s="55"/>
      <c r="CU30" s="25"/>
      <c r="CV30" s="25"/>
      <c r="CW30" s="19"/>
      <c r="DA30" s="19"/>
      <c r="DH30" s="32"/>
      <c r="DI30" s="32"/>
      <c r="DJ30" s="32"/>
      <c r="DK30" s="32"/>
      <c r="DL30" s="32"/>
      <c r="DV30" s="19"/>
      <c r="DW30" s="19"/>
      <c r="DX30" s="19"/>
      <c r="DY30" s="36"/>
      <c r="DZ30" s="36"/>
      <c r="EA30" s="36"/>
      <c r="EB30" s="36"/>
      <c r="EC30" s="38"/>
      <c r="ED30" s="56" t="s">
        <v>12956</v>
      </c>
      <c r="EE30" s="56" t="str">
        <f>IF(SUM(DU:DU)=0,"OK"," Codifica della digestione anaerobica non corretta")</f>
        <v> Codifica della digestione anaerobica non corretta</v>
      </c>
    </row>
    <row r="31" spans="1:135">
      <c r="A31" s="3"/>
      <c r="D31" s="50"/>
      <c r="E31" s="50"/>
      <c r="Q31" s="51"/>
      <c r="R31" s="51"/>
      <c r="U31" s="52"/>
      <c r="CE31" s="55"/>
      <c r="CU31" s="25"/>
      <c r="CV31" s="25"/>
      <c r="CW31" s="19"/>
      <c r="DA31" s="19"/>
      <c r="DH31" s="32"/>
      <c r="DI31" s="32"/>
      <c r="DJ31" s="32"/>
      <c r="DK31" s="32"/>
      <c r="DL31" s="32"/>
      <c r="DV31" s="19"/>
      <c r="DW31" s="19"/>
      <c r="DX31" s="19"/>
      <c r="DY31" s="36"/>
      <c r="DZ31" s="36"/>
      <c r="EA31" s="36"/>
      <c r="EB31" s="36"/>
      <c r="EC31" s="38"/>
      <c r="ED31" s="48" t="s">
        <v>11695</v>
      </c>
      <c r="EE31" s="57" t="str">
        <f>IF(SUM(DV:DV)=0,"OK","indice confidenza non congruente con anno di costruzione")</f>
        <v>OK</v>
      </c>
    </row>
    <row r="32" ht="27.75" customHeight="1" spans="1:135">
      <c r="A32" s="3"/>
      <c r="D32" s="50"/>
      <c r="E32" s="50"/>
      <c r="Q32" s="51"/>
      <c r="R32" s="51"/>
      <c r="U32" s="52"/>
      <c r="CE32" s="55"/>
      <c r="CU32" s="25"/>
      <c r="CV32" s="25"/>
      <c r="CW32" s="19"/>
      <c r="DA32" s="19"/>
      <c r="DH32" s="32"/>
      <c r="DI32" s="32"/>
      <c r="DJ32" s="32"/>
      <c r="DK32" s="32"/>
      <c r="DL32" s="32"/>
      <c r="DV32" s="19"/>
      <c r="DW32" s="19"/>
      <c r="DX32" s="19"/>
      <c r="DY32" s="36"/>
      <c r="DZ32" s="36"/>
      <c r="EA32" s="36"/>
      <c r="EB32" s="36"/>
      <c r="EC32" s="38"/>
      <c r="ED32" s="48" t="s">
        <v>12169</v>
      </c>
      <c r="EE32" s="57" t="str">
        <f>IF(SUM(DW:DW)=0,"OK","indice confidenza non congruente con anno di ristrutt. Op. civili")</f>
        <v>OK</v>
      </c>
    </row>
    <row r="33" ht="27.75" customHeight="1" spans="1:135">
      <c r="A33" s="3"/>
      <c r="D33" s="50"/>
      <c r="E33" s="50"/>
      <c r="Q33" s="51"/>
      <c r="R33" s="51"/>
      <c r="U33" s="52"/>
      <c r="BN33" s="53"/>
      <c r="BO33" s="53"/>
      <c r="BP33" s="53"/>
      <c r="BQ33" s="53"/>
      <c r="CE33" s="55"/>
      <c r="CU33" s="25"/>
      <c r="CV33" s="25"/>
      <c r="CW33" s="19"/>
      <c r="DA33" s="19"/>
      <c r="DH33" s="32"/>
      <c r="DI33" s="32"/>
      <c r="DJ33" s="32"/>
      <c r="DK33" s="32"/>
      <c r="DL33" s="32"/>
      <c r="DV33" s="19"/>
      <c r="DW33" s="19"/>
      <c r="DX33" s="19"/>
      <c r="DY33" s="36"/>
      <c r="DZ33" s="36"/>
      <c r="EA33" s="36"/>
      <c r="EB33" s="36"/>
      <c r="EC33" s="38"/>
      <c r="ED33" s="48" t="s">
        <v>12170</v>
      </c>
      <c r="EE33" s="57" t="str">
        <f>IF(SUM(DX:DX)=0,"OK","indice confidenza non congruente con anno di ristrutt. Op. elettrom.")</f>
        <v>OK</v>
      </c>
    </row>
    <row r="34" ht="27.75" customHeight="1" spans="1:135">
      <c r="A34" s="3"/>
      <c r="D34" s="50"/>
      <c r="E34" s="50"/>
      <c r="Q34" s="51"/>
      <c r="R34" s="51"/>
      <c r="U34" s="52"/>
      <c r="CE34" s="55"/>
      <c r="CU34" s="25"/>
      <c r="CV34" s="25"/>
      <c r="CW34" s="19"/>
      <c r="DA34" s="19"/>
      <c r="DH34" s="32"/>
      <c r="DI34" s="32"/>
      <c r="DJ34" s="32"/>
      <c r="DK34" s="32"/>
      <c r="DL34" s="32"/>
      <c r="DV34" s="19"/>
      <c r="DW34" s="19"/>
      <c r="DX34" s="19"/>
      <c r="DY34" s="36"/>
      <c r="DZ34" s="36"/>
      <c r="EA34" s="36"/>
      <c r="EB34" s="36"/>
      <c r="EC34" s="38"/>
      <c r="ED34" s="58" t="s">
        <v>12174</v>
      </c>
      <c r="EE34" s="59" t="str">
        <f>IF(SUM(DY:DY)=0,"OK","conservazione opere CIVILI non congruente con anno di ristrutturazione &gt;=2018")</f>
        <v>OK</v>
      </c>
    </row>
    <row r="35" ht="24.75" customHeight="1" spans="1:135">
      <c r="A35" s="3"/>
      <c r="D35" s="50"/>
      <c r="E35" s="50"/>
      <c r="Q35" s="51"/>
      <c r="R35" s="51"/>
      <c r="U35" s="52"/>
      <c r="CE35" s="55"/>
      <c r="CU35" s="25"/>
      <c r="CV35" s="25"/>
      <c r="CW35" s="19"/>
      <c r="DA35" s="19"/>
      <c r="DH35" s="32"/>
      <c r="DI35" s="32"/>
      <c r="DJ35" s="32"/>
      <c r="DK35" s="32"/>
      <c r="DL35" s="32"/>
      <c r="DV35" s="19"/>
      <c r="DW35" s="19"/>
      <c r="DX35" s="19"/>
      <c r="DY35" s="36"/>
      <c r="DZ35" s="36"/>
      <c r="EA35" s="36"/>
      <c r="EB35" s="36"/>
      <c r="EC35" s="38"/>
      <c r="ED35" s="58" t="s">
        <v>12175</v>
      </c>
      <c r="EE35" s="59" t="str">
        <f>IF(SUM(DZ:DZ)=0,"OK","conservazione opere ELETTROM non congruente con anno di ristrutturazione &gt;=2018")</f>
        <v>OK</v>
      </c>
    </row>
    <row r="36" ht="30" customHeight="1" spans="1:135">
      <c r="A36" s="3"/>
      <c r="D36" s="50"/>
      <c r="E36" s="50"/>
      <c r="Q36" s="51"/>
      <c r="R36" s="51"/>
      <c r="U36" s="52"/>
      <c r="CE36" s="55"/>
      <c r="CU36" s="25"/>
      <c r="CV36" s="25"/>
      <c r="CW36" s="19"/>
      <c r="DA36" s="19"/>
      <c r="DH36" s="32"/>
      <c r="DI36" s="32"/>
      <c r="DJ36" s="32"/>
      <c r="DK36" s="32"/>
      <c r="DL36" s="32"/>
      <c r="DV36" s="19"/>
      <c r="DW36" s="19"/>
      <c r="DX36" s="19"/>
      <c r="DY36" s="36"/>
      <c r="DZ36" s="36"/>
      <c r="EA36" s="36"/>
      <c r="EB36" s="36"/>
      <c r="EC36" s="38"/>
      <c r="ED36" s="58" t="s">
        <v>11698</v>
      </c>
      <c r="EE36" s="60" t="str">
        <f>IF(SUM(EA:EA)=0,"OK","Anno ristrutt. e/o stato di conservazione non congruenti con anno di costruzione &gt;=2014")</f>
        <v>OK</v>
      </c>
    </row>
    <row r="37" ht="48" customHeight="1" spans="1:135">
      <c r="A37" s="3"/>
      <c r="D37" s="50"/>
      <c r="E37" s="50"/>
      <c r="Q37" s="51"/>
      <c r="R37" s="51"/>
      <c r="U37" s="52"/>
      <c r="CE37" s="55"/>
      <c r="CU37" s="25"/>
      <c r="CV37" s="25"/>
      <c r="CW37" s="19"/>
      <c r="DA37" s="19"/>
      <c r="DH37" s="32"/>
      <c r="DI37" s="32"/>
      <c r="DJ37" s="32"/>
      <c r="DK37" s="32"/>
      <c r="DL37" s="32"/>
      <c r="DV37" s="19"/>
      <c r="DW37" s="19"/>
      <c r="DX37" s="19"/>
      <c r="DY37" s="36"/>
      <c r="DZ37" s="36"/>
      <c r="EA37" s="36"/>
      <c r="EB37" s="36"/>
      <c r="EC37" s="38"/>
      <c r="ED37" s="58" t="s">
        <v>11699</v>
      </c>
      <c r="EE37" s="60" t="str">
        <f>IF(SUM(EB:EB)=0,"OK","Errore: celle vuote in corrispondenza di opera costruita in anno &gt;=2015")</f>
        <v>OK</v>
      </c>
    </row>
    <row r="38" spans="134:135">
      <c r="ED38" s="37" t="s">
        <v>11700</v>
      </c>
      <c r="EE38" s="41" t="str">
        <f>IF(SUM(EC:EC)=0,"OK","Errore: verifica completezza su nuove opere")</f>
        <v>OK</v>
      </c>
    </row>
  </sheetData>
  <conditionalFormatting sqref="B4:B159">
    <cfRule type="duplicateValues" dxfId="1" priority="2"/>
  </conditionalFormatting>
  <pageMargins left="0.75" right="0.75" top="1" bottom="1" header="0.511811023622047" footer="0.511811023622047"/>
  <pageSetup paperSize="8" orientation="landscape" horizontalDpi="300" verticalDpi="300"/>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
  <sheetViews>
    <sheetView topLeftCell="K1" workbookViewId="0">
      <selection activeCell="O4" sqref="O4"/>
    </sheetView>
  </sheetViews>
  <sheetFormatPr defaultColWidth="8.85714285714286" defaultRowHeight="12.75"/>
  <cols>
    <col min="1" max="1" width="21.4285714285714" style="3" customWidth="1"/>
    <col min="2" max="13" width="14.4285714285714" style="3" customWidth="1"/>
    <col min="15" max="15" width="17.7142857142857" style="32" customWidth="1"/>
    <col min="16" max="16" width="16.1428571428571" style="32" customWidth="1"/>
    <col min="17" max="17" width="13.2857142857143" style="32" customWidth="1"/>
    <col min="18" max="18" width="19" style="32" customWidth="1"/>
    <col min="19" max="19" width="17.8571428571429" style="42" customWidth="1"/>
    <col min="20" max="20" width="24.4285714285714" style="32" customWidth="1"/>
    <col min="21" max="21" width="9.57142857142857" style="32" customWidth="1"/>
    <col min="22" max="22" width="10.4285714285714" style="32" customWidth="1"/>
    <col min="23" max="23" width="11" style="32" customWidth="1"/>
    <col min="24" max="24" width="13.4285714285714" style="32" customWidth="1"/>
    <col min="26" max="26" width="41.8571428571429" customWidth="1"/>
    <col min="27" max="27" width="54.7142857142857" customWidth="1"/>
    <col min="28" max="28" width="20.5714285714286" customWidth="1"/>
  </cols>
  <sheetData>
    <row r="1" ht="96" customHeight="1" spans="1:24">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43" t="s">
        <v>11559</v>
      </c>
      <c r="O1" s="13" t="s">
        <v>11883</v>
      </c>
      <c r="P1" s="13" t="s">
        <v>11566</v>
      </c>
      <c r="Q1" s="13" t="s">
        <v>11884</v>
      </c>
      <c r="R1" s="13" t="s">
        <v>11885</v>
      </c>
      <c r="S1" s="13" t="s">
        <v>12402</v>
      </c>
      <c r="T1" s="47" t="s">
        <v>11575</v>
      </c>
      <c r="U1" s="13" t="s">
        <v>11889</v>
      </c>
      <c r="V1" s="13" t="s">
        <v>11890</v>
      </c>
      <c r="W1" s="13" t="s">
        <v>11891</v>
      </c>
      <c r="X1" s="13" t="s">
        <v>11892</v>
      </c>
    </row>
    <row r="2" ht="45" spans="1:20">
      <c r="A2" s="9" t="s">
        <v>12793</v>
      </c>
      <c r="B2" s="9" t="s">
        <v>11597</v>
      </c>
      <c r="C2" s="9" t="s">
        <v>11893</v>
      </c>
      <c r="D2" s="9" t="s">
        <v>11596</v>
      </c>
      <c r="E2" s="9" t="s">
        <v>11894</v>
      </c>
      <c r="F2" s="9" t="s">
        <v>11895</v>
      </c>
      <c r="G2" s="9" t="s">
        <v>11896</v>
      </c>
      <c r="H2" s="9" t="s">
        <v>11897</v>
      </c>
      <c r="I2" s="9" t="s">
        <v>11898</v>
      </c>
      <c r="J2" s="9" t="s">
        <v>11624</v>
      </c>
      <c r="K2" s="9" t="s">
        <v>11899</v>
      </c>
      <c r="L2" s="9" t="s">
        <v>11900</v>
      </c>
      <c r="M2" s="9" t="s">
        <v>11901</v>
      </c>
      <c r="N2" s="44"/>
      <c r="O2" s="17"/>
      <c r="P2" s="17"/>
      <c r="Q2" s="17"/>
      <c r="R2" s="17"/>
      <c r="S2" s="17"/>
      <c r="T2" s="17"/>
    </row>
    <row r="3" ht="36" spans="1:24">
      <c r="A3" s="10" t="s">
        <v>12960</v>
      </c>
      <c r="B3" s="10" t="s">
        <v>12961</v>
      </c>
      <c r="C3" s="10" t="s">
        <v>12962</v>
      </c>
      <c r="D3" s="10" t="s">
        <v>12963</v>
      </c>
      <c r="E3" s="10" t="s">
        <v>12964</v>
      </c>
      <c r="F3" s="10" t="s">
        <v>12965</v>
      </c>
      <c r="G3" s="10" t="s">
        <v>12966</v>
      </c>
      <c r="H3" s="10" t="s">
        <v>12967</v>
      </c>
      <c r="I3" s="10" t="s">
        <v>12968</v>
      </c>
      <c r="J3" s="10" t="s">
        <v>12969</v>
      </c>
      <c r="K3" s="10" t="s">
        <v>12970</v>
      </c>
      <c r="L3" s="10" t="s">
        <v>12971</v>
      </c>
      <c r="M3" s="10" t="s">
        <v>12972</v>
      </c>
      <c r="N3" s="45"/>
      <c r="O3" s="46" t="s">
        <v>11915</v>
      </c>
      <c r="P3" s="16" t="s">
        <v>11916</v>
      </c>
      <c r="Q3" s="16" t="s">
        <v>11523</v>
      </c>
      <c r="R3" s="16" t="s">
        <v>11917</v>
      </c>
      <c r="S3" s="16" t="s">
        <v>12416</v>
      </c>
      <c r="T3" s="16" t="s">
        <v>11697</v>
      </c>
      <c r="U3" s="16" t="s">
        <v>11919</v>
      </c>
      <c r="V3" s="16" t="s">
        <v>11920</v>
      </c>
      <c r="W3" s="16" t="s">
        <v>11877</v>
      </c>
      <c r="X3" s="16" t="s">
        <v>11921</v>
      </c>
    </row>
    <row r="4" spans="15:27">
      <c r="O4" s="32">
        <f>+IF(AND(B4&gt;0,B4&lt;6),0,1)</f>
        <v>1</v>
      </c>
      <c r="P4" s="32">
        <f>IF(OR(C4=9999,C4&lt;=('[2]Input anno'!$A$1)),0,1)</f>
        <v>0</v>
      </c>
      <c r="Q4" s="32">
        <f>IF(OR(D4=9800,D4=9999,D4&lt;='[2]Input anno'!$A$1),0,1)</f>
        <v>0</v>
      </c>
      <c r="R4" s="19">
        <f>+IF(C4&lt;&gt;9999,IF(C4&lt;D4,0,1),0)</f>
        <v>1</v>
      </c>
      <c r="S4" s="19">
        <f>+IF(D4&lt;9800,IF(D4&gt;=2014,IF(J4&lt;="A",0,1),0),IF(D4=9999,IF(J4="X",0,1),IF(J4="A",0,1)))</f>
        <v>0</v>
      </c>
      <c r="T4" s="19">
        <f>+IF(AND(D4&lt;&gt;9800,D4&lt;&gt;9999),IF(AND(D4&gt;=2019,B4&lt;4),1,0),0)</f>
        <v>0</v>
      </c>
      <c r="U4" s="32">
        <f>+IF(BT4&lt;3,IF(E4&gt;0,0,1),0)</f>
        <v>1</v>
      </c>
      <c r="V4" s="32">
        <f>+IF(BT4&lt;3,IF(F4&gt;0,0,1),0)</f>
        <v>1</v>
      </c>
      <c r="W4" s="32">
        <f>+IF(G4&gt;0,0,1)</f>
        <v>1</v>
      </c>
      <c r="X4" s="32">
        <f>+IF(OR(H4=0,H4=1,H4="S",H4="N"),0,1)</f>
        <v>0</v>
      </c>
      <c r="Z4" s="21" t="s">
        <v>11915</v>
      </c>
      <c r="AA4" s="48" t="str">
        <f>IF(SUM(O:O)=0,"OK","stato di conservazione non congruente con codifiche ammesse")</f>
        <v>stato di conservazione non congruente con codifiche ammesse</v>
      </c>
    </row>
    <row r="5" spans="18:27">
      <c r="R5" s="19"/>
      <c r="S5" s="19"/>
      <c r="T5" s="19"/>
      <c r="Z5" s="49" t="s">
        <v>11874</v>
      </c>
      <c r="AA5" s="48" t="str">
        <f>IF(SUM(P:P)=0,"OK","errore su anno installazione")</f>
        <v>OK</v>
      </c>
    </row>
    <row r="6" spans="18:27">
      <c r="R6" s="19"/>
      <c r="S6" s="19"/>
      <c r="T6" s="19"/>
      <c r="Z6" s="49" t="s">
        <v>11523</v>
      </c>
      <c r="AA6" s="48" t="str">
        <f>IF(SUM(Q:Q)=0,"OK","errore su anni ristrutturazione")</f>
        <v>OK</v>
      </c>
    </row>
    <row r="7" spans="18:27">
      <c r="R7" s="19"/>
      <c r="S7" s="19"/>
      <c r="T7" s="19"/>
      <c r="Z7" s="49" t="s">
        <v>11922</v>
      </c>
      <c r="AA7" s="48" t="str">
        <f>IF(SUM(R:R)=0,"OK","anno installazione non congruente con anno ristrutturazione")</f>
        <v>anno installazione non congruente con anno ristrutturazione</v>
      </c>
    </row>
    <row r="8" spans="18:27">
      <c r="R8" s="19"/>
      <c r="S8" s="19"/>
      <c r="T8" s="19"/>
      <c r="Z8" s="49" t="s">
        <v>11923</v>
      </c>
      <c r="AA8" s="48" t="str">
        <f>IF(SUM(S:S)=0,"OK","indice confidenza non congruente con anno ristrutturazione")</f>
        <v>OK</v>
      </c>
    </row>
    <row r="9" spans="18:27">
      <c r="R9" s="19"/>
      <c r="S9" s="19"/>
      <c r="T9" s="19"/>
      <c r="Z9" s="49" t="s">
        <v>11924</v>
      </c>
      <c r="AA9" s="48" t="str">
        <f>IF(SUM(T:T)=0,"OK","stato conservazione non congruente con anno ristrutturazione")</f>
        <v>OK</v>
      </c>
    </row>
    <row r="10" spans="18:27">
      <c r="R10" s="19"/>
      <c r="S10" s="19"/>
      <c r="T10" s="19"/>
      <c r="Z10" s="21" t="s">
        <v>307</v>
      </c>
      <c r="AA10" s="48" t="str">
        <f>IF(SUM(U:U)=0,"OK","potenza errata")</f>
        <v>potenza errata</v>
      </c>
    </row>
    <row r="11" spans="18:27">
      <c r="R11" s="19"/>
      <c r="S11" s="19"/>
      <c r="T11" s="19"/>
      <c r="Z11" s="21" t="s">
        <v>343</v>
      </c>
      <c r="AA11" s="48" t="str">
        <f>IF(SUM(V:V)=0,"OK","portata errata")</f>
        <v>portata errata</v>
      </c>
    </row>
    <row r="12" spans="18:27">
      <c r="R12" s="19"/>
      <c r="S12" s="19"/>
      <c r="T12" s="19"/>
      <c r="Z12" s="21" t="s">
        <v>345</v>
      </c>
      <c r="AA12" s="48" t="str">
        <f>IF(SUM(W:W)=0,"OK","prevalenza errata")</f>
        <v>prevalenza errata</v>
      </c>
    </row>
    <row r="13" spans="18:27">
      <c r="R13" s="19"/>
      <c r="S13" s="19"/>
      <c r="T13" s="19"/>
      <c r="Z13" s="21" t="s">
        <v>11921</v>
      </c>
      <c r="AA13" s="48" t="str">
        <f>IF(SUM(X:X)=0,"OK","funzione di riserva errata")</f>
        <v>OK</v>
      </c>
    </row>
  </sheetData>
  <pageMargins left="0.75" right="0.75" top="1" bottom="1" header="0.511811023622047" footer="0.511811023622047"/>
  <pageSetup paperSize="9" orientation="portrait" horizontalDpi="300" verticalDpi="300"/>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4"/>
  <sheetViews>
    <sheetView topLeftCell="AO2" workbookViewId="0">
      <selection activeCell="AZ24" sqref="AZ24"/>
    </sheetView>
  </sheetViews>
  <sheetFormatPr defaultColWidth="10.7142857142857" defaultRowHeight="12.75"/>
  <cols>
    <col min="1" max="1" width="35.7142857142857" style="3" customWidth="1"/>
    <col min="2" max="2" width="21" style="3" customWidth="1"/>
    <col min="3" max="3" width="48.8571428571429" style="3" customWidth="1"/>
    <col min="4" max="5" width="13.8571428571429" style="3" customWidth="1"/>
    <col min="6" max="7" width="10.7142857142857" style="3"/>
    <col min="8" max="8" width="27" style="3" customWidth="1"/>
    <col min="9" max="27" width="10.7142857142857" style="3"/>
    <col min="28" max="29" width="18.2857142857143" customWidth="1"/>
    <col min="30" max="31" width="12.7142857142857" customWidth="1"/>
    <col min="32" max="33" width="13.4285714285714" style="4" customWidth="1"/>
    <col min="34" max="34" width="14.5714285714286" style="4" customWidth="1"/>
    <col min="35" max="35" width="17.2857142857143" style="4" customWidth="1"/>
    <col min="36" max="36" width="14.8571428571429" style="4" customWidth="1"/>
    <col min="37" max="37" width="18.2857142857143" style="6" customWidth="1"/>
    <col min="38" max="38" width="14.4285714285714" style="6" customWidth="1"/>
    <col min="39" max="39" width="10.7142857142857" style="5"/>
    <col min="40" max="42" width="10.7142857142857" style="6"/>
    <col min="43" max="43" width="11.8571428571429" style="6" customWidth="1"/>
    <col min="44" max="44" width="17.8571428571429" style="6" customWidth="1"/>
    <col min="45" max="45" width="17.2857142857143" style="6" customWidth="1"/>
    <col min="46" max="46" width="20.8571428571429" style="5" customWidth="1"/>
    <col min="47" max="47" width="19.1428571428571" style="23" customWidth="1"/>
    <col min="48" max="48" width="21.5714285714286" style="19" customWidth="1"/>
    <col min="49" max="49" width="19" style="19" customWidth="1"/>
    <col min="50" max="50" width="15.8571428571429" style="3" customWidth="1"/>
    <col min="51" max="51" width="41.5714285714286" style="3" customWidth="1"/>
    <col min="52" max="52" width="43.2857142857143" style="7" customWidth="1"/>
    <col min="53" max="53" width="59.8571428571429" style="3" customWidth="1"/>
    <col min="54" max="1024" width="10.7142857142857" style="3"/>
  </cols>
  <sheetData>
    <row r="1" s="1" customFormat="1" ht="108" spans="1:52">
      <c r="A1" s="8" t="s">
        <v>11505</v>
      </c>
      <c r="B1" s="8" t="s">
        <v>11506</v>
      </c>
      <c r="C1" s="8" t="s">
        <v>11507</v>
      </c>
      <c r="D1" s="8" t="s">
        <v>11508</v>
      </c>
      <c r="E1" s="8" t="s">
        <v>11509</v>
      </c>
      <c r="F1" s="8" t="s">
        <v>11510</v>
      </c>
      <c r="G1" s="8" t="s">
        <v>11513</v>
      </c>
      <c r="H1" s="8" t="s">
        <v>11514</v>
      </c>
      <c r="I1" s="8" t="s">
        <v>11515</v>
      </c>
      <c r="J1" s="8" t="s">
        <v>12973</v>
      </c>
      <c r="K1" s="26" t="s">
        <v>12974</v>
      </c>
      <c r="L1" s="27" t="s">
        <v>12975</v>
      </c>
      <c r="M1" s="8" t="s">
        <v>11522</v>
      </c>
      <c r="N1" s="8" t="s">
        <v>11523</v>
      </c>
      <c r="O1" s="8" t="s">
        <v>12976</v>
      </c>
      <c r="P1" s="8" t="s">
        <v>12977</v>
      </c>
      <c r="Q1" s="8" t="s">
        <v>12978</v>
      </c>
      <c r="R1" s="8" t="s">
        <v>12979</v>
      </c>
      <c r="S1" s="8" t="s">
        <v>11541</v>
      </c>
      <c r="T1" s="8" t="s">
        <v>12980</v>
      </c>
      <c r="U1" s="8" t="s">
        <v>12981</v>
      </c>
      <c r="V1" s="8" t="s">
        <v>11524</v>
      </c>
      <c r="W1" s="8" t="s">
        <v>11540</v>
      </c>
      <c r="X1" s="8" t="s">
        <v>11548</v>
      </c>
      <c r="Y1" s="8" t="s">
        <v>11550</v>
      </c>
      <c r="Z1" s="8" t="s">
        <v>11551</v>
      </c>
      <c r="AA1" s="8" t="s">
        <v>11558</v>
      </c>
      <c r="AB1" s="12" t="s">
        <v>11559</v>
      </c>
      <c r="AC1" s="13" t="s">
        <v>12982</v>
      </c>
      <c r="AD1" s="13" t="s">
        <v>11560</v>
      </c>
      <c r="AE1" s="13" t="s">
        <v>11561</v>
      </c>
      <c r="AF1" s="13" t="s">
        <v>11562</v>
      </c>
      <c r="AG1" s="13" t="s">
        <v>12983</v>
      </c>
      <c r="AH1" s="13" t="s">
        <v>11566</v>
      </c>
      <c r="AI1" s="13" t="s">
        <v>11567</v>
      </c>
      <c r="AJ1" s="13" t="s">
        <v>11568</v>
      </c>
      <c r="AK1" s="13" t="s">
        <v>12984</v>
      </c>
      <c r="AL1" s="13" t="s">
        <v>11883</v>
      </c>
      <c r="AM1" s="13" t="s">
        <v>12283</v>
      </c>
      <c r="AN1" s="13" t="s">
        <v>11802</v>
      </c>
      <c r="AO1" s="13" t="s">
        <v>11802</v>
      </c>
      <c r="AP1" s="13" t="s">
        <v>12985</v>
      </c>
      <c r="AQ1" s="13" t="s">
        <v>12060</v>
      </c>
      <c r="AR1" s="13" t="s">
        <v>11573</v>
      </c>
      <c r="AS1" s="13" t="s">
        <v>11574</v>
      </c>
      <c r="AT1" s="13" t="s">
        <v>12986</v>
      </c>
      <c r="AU1" s="33" t="s">
        <v>11575</v>
      </c>
      <c r="AV1" s="34" t="s">
        <v>11576</v>
      </c>
      <c r="AW1" s="34" t="s">
        <v>11577</v>
      </c>
      <c r="AY1" s="20"/>
      <c r="AZ1" s="20"/>
    </row>
    <row r="2" s="2" customFormat="1" ht="67.5" spans="1:49">
      <c r="A2" s="9" t="s">
        <v>12987</v>
      </c>
      <c r="B2" s="9" t="s">
        <v>11579</v>
      </c>
      <c r="C2" s="9" t="s">
        <v>11580</v>
      </c>
      <c r="D2" s="9" t="s">
        <v>11581</v>
      </c>
      <c r="E2" s="9" t="s">
        <v>11582</v>
      </c>
      <c r="F2" s="9" t="s">
        <v>11583</v>
      </c>
      <c r="G2" s="9" t="s">
        <v>11586</v>
      </c>
      <c r="H2" s="9" t="s">
        <v>11587</v>
      </c>
      <c r="I2" s="9" t="s">
        <v>11588</v>
      </c>
      <c r="J2" s="9" t="s">
        <v>12988</v>
      </c>
      <c r="K2" s="28" t="s">
        <v>220</v>
      </c>
      <c r="L2" s="29" t="s">
        <v>12989</v>
      </c>
      <c r="M2" s="9" t="s">
        <v>11595</v>
      </c>
      <c r="N2" s="9" t="s">
        <v>11596</v>
      </c>
      <c r="O2" s="9" t="s">
        <v>12990</v>
      </c>
      <c r="P2" s="9" t="s">
        <v>12991</v>
      </c>
      <c r="Q2" s="9" t="s">
        <v>12992</v>
      </c>
      <c r="R2" s="9" t="s">
        <v>12993</v>
      </c>
      <c r="S2" s="9" t="s">
        <v>11614</v>
      </c>
      <c r="T2" s="9" t="s">
        <v>12994</v>
      </c>
      <c r="U2" s="9" t="s">
        <v>12995</v>
      </c>
      <c r="V2" s="9" t="s">
        <v>11597</v>
      </c>
      <c r="W2" s="9" t="s">
        <v>11613</v>
      </c>
      <c r="X2" s="9" t="s">
        <v>11621</v>
      </c>
      <c r="Y2" s="9" t="s">
        <v>11623</v>
      </c>
      <c r="Z2" s="9" t="s">
        <v>11624</v>
      </c>
      <c r="AA2" s="9" t="s">
        <v>11631</v>
      </c>
      <c r="AB2" s="14"/>
      <c r="AC2" s="13"/>
      <c r="AD2" s="13"/>
      <c r="AE2" s="13"/>
      <c r="AF2" s="17"/>
      <c r="AG2" s="17"/>
      <c r="AH2" s="17"/>
      <c r="AI2" s="17"/>
      <c r="AJ2" s="17"/>
      <c r="AK2" s="17"/>
      <c r="AL2" s="17"/>
      <c r="AM2" s="18"/>
      <c r="AN2" s="18"/>
      <c r="AO2" s="18"/>
      <c r="AP2" s="17"/>
      <c r="AQ2" s="18"/>
      <c r="AR2" s="18"/>
      <c r="AS2" s="18"/>
      <c r="AT2" s="18"/>
      <c r="AU2" s="34"/>
      <c r="AV2" s="34"/>
      <c r="AW2" s="34"/>
    </row>
    <row r="3" s="1" customFormat="1" ht="36" spans="1:50">
      <c r="A3" s="10" t="s">
        <v>12996</v>
      </c>
      <c r="B3" s="10" t="s">
        <v>12997</v>
      </c>
      <c r="C3" s="10" t="s">
        <v>12998</v>
      </c>
      <c r="D3" s="10" t="s">
        <v>12999</v>
      </c>
      <c r="E3" s="10" t="s">
        <v>13000</v>
      </c>
      <c r="F3" s="10" t="s">
        <v>13001</v>
      </c>
      <c r="G3" s="10" t="s">
        <v>13002</v>
      </c>
      <c r="H3" s="10" t="s">
        <v>13003</v>
      </c>
      <c r="I3" s="10" t="s">
        <v>13004</v>
      </c>
      <c r="J3" s="10" t="s">
        <v>13005</v>
      </c>
      <c r="K3" s="10" t="s">
        <v>13006</v>
      </c>
      <c r="L3" s="10">
        <v>116100</v>
      </c>
      <c r="M3" s="10" t="s">
        <v>13007</v>
      </c>
      <c r="N3" s="10" t="s">
        <v>13008</v>
      </c>
      <c r="O3" s="10" t="s">
        <v>13009</v>
      </c>
      <c r="P3" s="10" t="s">
        <v>13010</v>
      </c>
      <c r="Q3" s="10" t="s">
        <v>13011</v>
      </c>
      <c r="R3" s="10" t="s">
        <v>13012</v>
      </c>
      <c r="S3" s="10" t="s">
        <v>13013</v>
      </c>
      <c r="T3" s="10" t="s">
        <v>13014</v>
      </c>
      <c r="U3" s="10" t="s">
        <v>13015</v>
      </c>
      <c r="V3" s="10" t="s">
        <v>13016</v>
      </c>
      <c r="W3" s="10" t="s">
        <v>13017</v>
      </c>
      <c r="X3" s="10" t="s">
        <v>13018</v>
      </c>
      <c r="Y3" s="10" t="s">
        <v>13019</v>
      </c>
      <c r="Z3" s="10" t="s">
        <v>13020</v>
      </c>
      <c r="AA3" s="10" t="s">
        <v>13021</v>
      </c>
      <c r="AB3" s="15"/>
      <c r="AC3" s="31"/>
      <c r="AD3" s="16"/>
      <c r="AE3" s="16"/>
      <c r="AF3" s="16" t="s">
        <v>11683</v>
      </c>
      <c r="AG3" s="16"/>
      <c r="AH3" s="16" t="s">
        <v>11522</v>
      </c>
      <c r="AI3" s="16" t="s">
        <v>11523</v>
      </c>
      <c r="AJ3" s="16" t="s">
        <v>11686</v>
      </c>
      <c r="AK3" s="16" t="s">
        <v>11687</v>
      </c>
      <c r="AL3" s="16" t="s">
        <v>11915</v>
      </c>
      <c r="AM3" s="16" t="s">
        <v>1121</v>
      </c>
      <c r="AN3" s="16" t="s">
        <v>13022</v>
      </c>
      <c r="AO3" s="16" t="s">
        <v>13023</v>
      </c>
      <c r="AP3" s="16" t="s">
        <v>13024</v>
      </c>
      <c r="AQ3" s="16" t="s">
        <v>12168</v>
      </c>
      <c r="AR3" s="16" t="s">
        <v>11695</v>
      </c>
      <c r="AS3" s="16" t="s">
        <v>11696</v>
      </c>
      <c r="AT3" s="16" t="s">
        <v>13025</v>
      </c>
      <c r="AU3" s="35" t="s">
        <v>11697</v>
      </c>
      <c r="AV3" s="35" t="s">
        <v>11698</v>
      </c>
      <c r="AW3" s="35" t="s">
        <v>11699</v>
      </c>
      <c r="AX3" s="37" t="s">
        <v>11700</v>
      </c>
    </row>
    <row r="4" spans="1:52">
      <c r="A4" s="24"/>
      <c r="B4" s="25"/>
      <c r="C4" s="25"/>
      <c r="D4" s="25"/>
      <c r="E4" s="25"/>
      <c r="F4" s="25"/>
      <c r="G4" s="25"/>
      <c r="H4" s="25"/>
      <c r="I4" s="25"/>
      <c r="J4" s="25"/>
      <c r="K4" s="25"/>
      <c r="L4" s="25"/>
      <c r="M4" s="25"/>
      <c r="N4" s="25"/>
      <c r="O4" s="25"/>
      <c r="P4" s="25"/>
      <c r="Q4" s="25"/>
      <c r="R4" s="25"/>
      <c r="S4" s="25"/>
      <c r="T4" s="25"/>
      <c r="U4" s="25"/>
      <c r="V4" s="25"/>
      <c r="W4" s="25"/>
      <c r="X4" s="25"/>
      <c r="Y4" s="25"/>
      <c r="Z4" s="25"/>
      <c r="AA4" s="30"/>
      <c r="AB4" s="25"/>
      <c r="AC4" s="6">
        <f>IF(X4&lt;3,IF(L4="1",0,1),0)</f>
        <v>1</v>
      </c>
      <c r="AD4" s="6">
        <f>IF(AND(D4&gt;4678396.48217382,D4&lt;4924789.13601513),0,1)</f>
        <v>1</v>
      </c>
      <c r="AE4" s="6">
        <f>IF(AND(E4&gt;1554744.35667513,E4&lt;1771650.40247209),0,1)</f>
        <v>1</v>
      </c>
      <c r="AF4" s="19">
        <f>+IF(X4&lt;3,IF(G4="",0,IF(G4&gt;0,0,1)),0)</f>
        <v>0</v>
      </c>
      <c r="AG4" s="19">
        <f>IF(X4&lt;3,IF(OR(L4=1,L4=0,L4="S",L4="N"),0,1),0)</f>
        <v>0</v>
      </c>
      <c r="AH4" s="32">
        <f>IF(X4&lt;3,IF(OR(M4=9999,M4&lt;=('[2]Input anno'!$A$1)),0,1),0)</f>
        <v>0</v>
      </c>
      <c r="AI4" s="32">
        <f>IF(X4&lt;3,IF(OR(N4=9800,N4=9999,N4&lt;='[2]Input anno'!$A$1),0,1),0)</f>
        <v>0</v>
      </c>
      <c r="AJ4" s="32">
        <f>+IF(X4=3,IF(M4='[2]Input anno'!$A$1,0,1),0)</f>
        <v>0</v>
      </c>
      <c r="AK4" s="19">
        <f>+IF(X4&lt;3,IF(M4&lt;&gt;9999,IF(M4&lt;N4,0,1),0),0)</f>
        <v>1</v>
      </c>
      <c r="AL4" s="19">
        <f>+IF(X4&lt;3,IF(OR(V4=0,V4=1,V4=2,V4=3,V4=4,V4=5),0,1),0)</f>
        <v>0</v>
      </c>
      <c r="AM4" s="5">
        <f>+IF(X4&lt;3,IF(AND(O4&gt;0,O4&lt;55),0,1),0)</f>
        <v>1</v>
      </c>
      <c r="AN4" s="5">
        <f>+IF(X4&lt;3,IF(P4&gt;0,0,1),0)</f>
        <v>1</v>
      </c>
      <c r="AO4" s="5">
        <f>+IF(X4&lt;3,IF(Q4&gt;0,0,1),0)</f>
        <v>1</v>
      </c>
      <c r="AP4" s="6">
        <f>+IF(X4&lt;3,IF(M4&lt;2007,0,IF(K4="B2",IF(R4&gt;=5,0,1),IF(R4&gt;=3,0,1))),0)</f>
        <v>0</v>
      </c>
      <c r="AQ4" s="5">
        <f>+IF(X4&lt;3,IF(AND(W4&gt;0,W4&lt;5),0,1),0)</f>
        <v>1</v>
      </c>
      <c r="AR4" s="5">
        <f>+IF(X4&lt;3,IF(M4&lt;&gt;9999,IF(M4&gt;=2014,IF(Y4="A",0,1),0),IF(Y4="X",0,1)),0)</f>
        <v>0</v>
      </c>
      <c r="AS4" s="5">
        <f>+IF(X4&lt;3,IF(N4&lt;9800,IF(N4&gt;=2014,IF(Z4="A",0,1),0),IF(N4=9999,IF(Z4="X",0,1),IF(Z4="A",0,1))),0)</f>
        <v>0</v>
      </c>
      <c r="AT4" s="5">
        <f>IF(X4&lt;3,IF(M4&gt;2006,IF(OR(K4="A2",K4="B1",K4="B2"),0,1),0),0)</f>
        <v>0</v>
      </c>
      <c r="AU4" s="36">
        <f>+IF(X4&lt;3,IF(AND(N4&lt;&gt;9800,N4&lt;&gt;9999),IF(AND(N4&gt;=2019,V4&lt;4),1,0),0),0)</f>
        <v>0</v>
      </c>
      <c r="AV4" s="36">
        <f>+IF(X4&lt;3,IF(M4=9999,0,IF(M4&gt;=2014,IF(AND(N4&gt;M4,V4&gt;=4),0,1),0)),0)</f>
        <v>0</v>
      </c>
      <c r="AW4" s="36">
        <f>+IF(X4&lt;3,IF(M4=9999,0,IF(M4&gt;=2015,IF(COUNTBLANK(B4:AA4)=0,0,1),0)),0)</f>
        <v>0</v>
      </c>
      <c r="AX4" s="38">
        <f>+IF(AND(M4='[3]Input anno'!$A$1,X4=1),COUNTBLANK(B4:AA4),0)</f>
        <v>0</v>
      </c>
      <c r="AY4" s="20" t="s">
        <v>11560</v>
      </c>
      <c r="AZ4" s="20" t="str">
        <f>IF(SUM(AD:AD)=0,"OK","Attenzione! Possibile errore su coordinate")</f>
        <v>Attenzione! Possibile errore su coordinate</v>
      </c>
    </row>
    <row r="5" spans="1:52">
      <c r="A5" s="24"/>
      <c r="B5" s="25"/>
      <c r="C5" s="25"/>
      <c r="D5" s="25"/>
      <c r="E5" s="25"/>
      <c r="F5" s="25"/>
      <c r="G5" s="25"/>
      <c r="H5" s="25"/>
      <c r="I5" s="25"/>
      <c r="J5" s="25"/>
      <c r="K5" s="25"/>
      <c r="L5" s="25"/>
      <c r="M5" s="25"/>
      <c r="N5" s="25"/>
      <c r="O5" s="25"/>
      <c r="P5" s="25"/>
      <c r="Q5" s="25"/>
      <c r="R5" s="25"/>
      <c r="S5" s="25"/>
      <c r="T5" s="25"/>
      <c r="U5" s="25"/>
      <c r="V5" s="25"/>
      <c r="W5" s="25"/>
      <c r="X5" s="25"/>
      <c r="Y5" s="25"/>
      <c r="Z5" s="25"/>
      <c r="AA5" s="30"/>
      <c r="AB5" s="25"/>
      <c r="AC5" s="6"/>
      <c r="AD5" s="6"/>
      <c r="AE5" s="6"/>
      <c r="AF5" s="19"/>
      <c r="AG5" s="19"/>
      <c r="AH5" s="32"/>
      <c r="AI5" s="32"/>
      <c r="AJ5" s="32"/>
      <c r="AK5" s="19"/>
      <c r="AL5" s="19"/>
      <c r="AN5" s="5"/>
      <c r="AO5" s="5"/>
      <c r="AQ5" s="5"/>
      <c r="AR5" s="5"/>
      <c r="AS5" s="5"/>
      <c r="AU5" s="36"/>
      <c r="AV5" s="36"/>
      <c r="AW5" s="36"/>
      <c r="AX5" s="38"/>
      <c r="AY5" s="20" t="s">
        <v>11561</v>
      </c>
      <c r="AZ5" s="20" t="str">
        <f>IF(SUM(AE:AE)=0,"OK","Attenzione! Possibile errore su coordinate")</f>
        <v>Attenzione! Possibile errore su coordinate</v>
      </c>
    </row>
    <row r="6" spans="1:52">
      <c r="A6" s="24"/>
      <c r="B6" s="25"/>
      <c r="C6" s="25"/>
      <c r="D6" s="25"/>
      <c r="E6" s="25"/>
      <c r="F6" s="25"/>
      <c r="G6" s="25"/>
      <c r="H6" s="25"/>
      <c r="I6" s="25"/>
      <c r="J6" s="25"/>
      <c r="K6" s="25"/>
      <c r="L6" s="25"/>
      <c r="M6" s="25"/>
      <c r="N6" s="25"/>
      <c r="O6" s="25"/>
      <c r="P6" s="25"/>
      <c r="Q6" s="25"/>
      <c r="R6" s="25"/>
      <c r="S6" s="25"/>
      <c r="T6" s="25"/>
      <c r="U6" s="25"/>
      <c r="V6" s="25"/>
      <c r="W6" s="25"/>
      <c r="X6" s="25"/>
      <c r="Y6" s="25"/>
      <c r="Z6" s="25"/>
      <c r="AA6" s="30"/>
      <c r="AB6" s="25"/>
      <c r="AC6" s="6"/>
      <c r="AD6" s="6"/>
      <c r="AE6" s="6"/>
      <c r="AF6" s="19"/>
      <c r="AG6" s="19"/>
      <c r="AH6" s="32"/>
      <c r="AI6" s="32"/>
      <c r="AJ6" s="32"/>
      <c r="AK6" s="19"/>
      <c r="AL6" s="19"/>
      <c r="AN6" s="5"/>
      <c r="AO6" s="5"/>
      <c r="AQ6" s="5"/>
      <c r="AR6" s="5"/>
      <c r="AS6" s="5"/>
      <c r="AU6" s="36"/>
      <c r="AV6" s="36"/>
      <c r="AW6" s="36"/>
      <c r="AX6" s="38"/>
      <c r="AY6" s="20" t="s">
        <v>11701</v>
      </c>
      <c r="AZ6" s="21" t="str">
        <f>IF(SUM(AF:AF)=0,"OK","Attenzione! Possibile errore, QUOTA=0. Verificare e confermare i dati")</f>
        <v>OK</v>
      </c>
    </row>
    <row r="7" spans="1:52">
      <c r="A7" s="24"/>
      <c r="B7" s="25"/>
      <c r="C7" s="25"/>
      <c r="D7" s="25"/>
      <c r="E7" s="25"/>
      <c r="F7" s="25"/>
      <c r="G7" s="25"/>
      <c r="H7" s="25"/>
      <c r="I7" s="25"/>
      <c r="J7" s="25"/>
      <c r="K7" s="25"/>
      <c r="L7" s="25"/>
      <c r="M7" s="25"/>
      <c r="N7" s="25"/>
      <c r="O7" s="25"/>
      <c r="P7" s="25"/>
      <c r="Q7" s="25"/>
      <c r="R7" s="25"/>
      <c r="S7" s="25"/>
      <c r="T7" s="25"/>
      <c r="U7" s="25"/>
      <c r="V7" s="25"/>
      <c r="W7" s="25"/>
      <c r="X7" s="25"/>
      <c r="Y7" s="25"/>
      <c r="Z7" s="25"/>
      <c r="AA7" s="30"/>
      <c r="AB7" s="25"/>
      <c r="AC7" s="6"/>
      <c r="AD7" s="6"/>
      <c r="AE7" s="6"/>
      <c r="AF7" s="19"/>
      <c r="AG7" s="19"/>
      <c r="AH7" s="32"/>
      <c r="AI7" s="32"/>
      <c r="AJ7" s="32"/>
      <c r="AK7" s="19"/>
      <c r="AL7" s="19"/>
      <c r="AN7" s="5"/>
      <c r="AO7" s="5"/>
      <c r="AQ7" s="5"/>
      <c r="AR7" s="5"/>
      <c r="AS7" s="5"/>
      <c r="AU7" s="36"/>
      <c r="AV7" s="36"/>
      <c r="AW7" s="36"/>
      <c r="AX7" s="38"/>
      <c r="AY7" s="20" t="s">
        <v>13026</v>
      </c>
      <c r="AZ7" s="21" t="str">
        <f>IF(SUM(AG:AG)=0,"OK","Attenzione! Possibile errore di compilazione campo")</f>
        <v>OK</v>
      </c>
    </row>
    <row r="8" spans="1:52">
      <c r="A8" s="24"/>
      <c r="B8" s="25"/>
      <c r="C8" s="25"/>
      <c r="D8" s="25"/>
      <c r="E8" s="25"/>
      <c r="F8" s="25"/>
      <c r="G8" s="25"/>
      <c r="H8" s="25"/>
      <c r="I8" s="25"/>
      <c r="J8" s="25"/>
      <c r="K8" s="25"/>
      <c r="L8" s="25"/>
      <c r="M8" s="25"/>
      <c r="N8" s="25"/>
      <c r="O8" s="25"/>
      <c r="P8" s="25"/>
      <c r="Q8" s="25"/>
      <c r="R8" s="25"/>
      <c r="S8" s="25"/>
      <c r="T8" s="25"/>
      <c r="U8" s="25"/>
      <c r="V8" s="25"/>
      <c r="W8" s="25"/>
      <c r="X8" s="25"/>
      <c r="Y8" s="25"/>
      <c r="Z8" s="25"/>
      <c r="AA8" s="30"/>
      <c r="AB8" s="25"/>
      <c r="AC8" s="6"/>
      <c r="AD8" s="6"/>
      <c r="AE8" s="6"/>
      <c r="AF8" s="19"/>
      <c r="AG8" s="19"/>
      <c r="AH8" s="32"/>
      <c r="AI8" s="32"/>
      <c r="AJ8" s="32"/>
      <c r="AK8" s="19"/>
      <c r="AL8" s="19"/>
      <c r="AN8" s="5"/>
      <c r="AO8" s="5"/>
      <c r="AQ8" s="5"/>
      <c r="AR8" s="5"/>
      <c r="AS8" s="5"/>
      <c r="AU8" s="36"/>
      <c r="AV8" s="36"/>
      <c r="AW8" s="36"/>
      <c r="AX8" s="38"/>
      <c r="AY8" s="20" t="s">
        <v>11522</v>
      </c>
      <c r="AZ8" s="21" t="str">
        <f>IF(SUM(AH:AH)=0,"OK","errore su anno costruzione")</f>
        <v>OK</v>
      </c>
    </row>
    <row r="9" spans="1:52">
      <c r="A9" s="24"/>
      <c r="B9" s="25"/>
      <c r="C9" s="25"/>
      <c r="D9" s="25"/>
      <c r="E9" s="25"/>
      <c r="F9" s="25"/>
      <c r="G9" s="25"/>
      <c r="H9" s="25"/>
      <c r="I9" s="25"/>
      <c r="J9" s="25"/>
      <c r="K9" s="25"/>
      <c r="L9" s="25"/>
      <c r="M9" s="25"/>
      <c r="N9" s="25"/>
      <c r="O9" s="25"/>
      <c r="P9" s="25"/>
      <c r="Q9" s="25"/>
      <c r="R9" s="25"/>
      <c r="S9" s="25"/>
      <c r="T9" s="25"/>
      <c r="U9" s="25"/>
      <c r="V9" s="25"/>
      <c r="W9" s="25"/>
      <c r="X9" s="25"/>
      <c r="Y9" s="25"/>
      <c r="Z9" s="25"/>
      <c r="AA9" s="30"/>
      <c r="AB9" s="25"/>
      <c r="AC9" s="6"/>
      <c r="AD9" s="6"/>
      <c r="AE9" s="6"/>
      <c r="AF9" s="19"/>
      <c r="AG9" s="19"/>
      <c r="AH9" s="32"/>
      <c r="AI9" s="32"/>
      <c r="AJ9" s="32"/>
      <c r="AK9" s="19"/>
      <c r="AL9" s="19"/>
      <c r="AN9" s="5"/>
      <c r="AO9" s="5"/>
      <c r="AQ9" s="5"/>
      <c r="AR9" s="5"/>
      <c r="AS9" s="5"/>
      <c r="AU9" s="36"/>
      <c r="AV9" s="36"/>
      <c r="AW9" s="36"/>
      <c r="AX9" s="38"/>
      <c r="AY9" s="20" t="s">
        <v>11523</v>
      </c>
      <c r="AZ9" s="21" t="str">
        <f>IF(SUM(AI:AI)=0,"OK","errore su anno ristrutturazione")</f>
        <v>OK</v>
      </c>
    </row>
    <row r="10" spans="1:52">
      <c r="A10" s="24"/>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30"/>
      <c r="AB10" s="25"/>
      <c r="AC10" s="6"/>
      <c r="AD10" s="6"/>
      <c r="AE10" s="6"/>
      <c r="AF10" s="19"/>
      <c r="AG10" s="19"/>
      <c r="AH10" s="32"/>
      <c r="AI10" s="32"/>
      <c r="AJ10" s="32"/>
      <c r="AK10" s="19"/>
      <c r="AL10" s="19"/>
      <c r="AN10" s="5"/>
      <c r="AO10" s="5"/>
      <c r="AQ10" s="5"/>
      <c r="AR10" s="5"/>
      <c r="AS10" s="5"/>
      <c r="AU10" s="36"/>
      <c r="AV10" s="36"/>
      <c r="AW10" s="36"/>
      <c r="AX10" s="38"/>
      <c r="AY10" s="20" t="s">
        <v>11686</v>
      </c>
      <c r="AZ10" s="21" t="str">
        <f>IF(SUM(AJ:AJ)=0,"OK","errore congruenza su anno costruzione pari a 3")</f>
        <v>OK</v>
      </c>
    </row>
    <row r="11" ht="24" spans="1:52">
      <c r="A11" s="24"/>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30"/>
      <c r="AB11" s="25"/>
      <c r="AC11" s="6"/>
      <c r="AD11" s="6"/>
      <c r="AE11" s="6"/>
      <c r="AF11" s="19"/>
      <c r="AG11" s="19"/>
      <c r="AH11" s="32"/>
      <c r="AI11" s="32"/>
      <c r="AJ11" s="32"/>
      <c r="AK11" s="19"/>
      <c r="AL11" s="19"/>
      <c r="AN11" s="5"/>
      <c r="AO11" s="5"/>
      <c r="AQ11" s="5"/>
      <c r="AR11" s="5"/>
      <c r="AS11" s="5"/>
      <c r="AU11" s="36"/>
      <c r="AV11" s="36"/>
      <c r="AW11" s="36"/>
      <c r="AX11" s="38"/>
      <c r="AY11" s="20" t="s">
        <v>11704</v>
      </c>
      <c r="AZ11" s="21" t="str">
        <f>IF(SUM(AK:AK)=0,"OK","anno costruzione non congruente con anno ristrutturazione")</f>
        <v>anno costruzione non congruente con anno ristrutturazione</v>
      </c>
    </row>
    <row r="12" spans="1:52">
      <c r="A12" s="24"/>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30"/>
      <c r="AB12" s="25"/>
      <c r="AC12" s="6"/>
      <c r="AD12" s="6"/>
      <c r="AE12" s="6"/>
      <c r="AF12" s="19"/>
      <c r="AG12" s="19"/>
      <c r="AH12" s="32"/>
      <c r="AI12" s="32"/>
      <c r="AJ12" s="32"/>
      <c r="AK12" s="19"/>
      <c r="AL12" s="19"/>
      <c r="AN12" s="5"/>
      <c r="AO12" s="5"/>
      <c r="AQ12" s="5"/>
      <c r="AR12" s="5"/>
      <c r="AS12" s="5"/>
      <c r="AU12" s="36"/>
      <c r="AV12" s="36"/>
      <c r="AW12" s="36"/>
      <c r="AX12" s="38"/>
      <c r="AY12" s="21" t="s">
        <v>11915</v>
      </c>
      <c r="AZ12" s="21" t="str">
        <f>IF(SUM(AL:AL)=0,"OK","stato di conservazione non congruente con codifiche ammesse")</f>
        <v>OK</v>
      </c>
    </row>
    <row r="13" spans="1:52">
      <c r="A13" s="24"/>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30"/>
      <c r="AB13" s="25"/>
      <c r="AC13" s="6"/>
      <c r="AD13" s="6"/>
      <c r="AE13" s="6"/>
      <c r="AF13" s="19"/>
      <c r="AG13" s="19"/>
      <c r="AH13" s="32"/>
      <c r="AI13" s="32"/>
      <c r="AJ13" s="32"/>
      <c r="AK13" s="19"/>
      <c r="AL13" s="19"/>
      <c r="AN13" s="5"/>
      <c r="AO13" s="5"/>
      <c r="AQ13" s="5"/>
      <c r="AR13" s="5"/>
      <c r="AS13" s="5"/>
      <c r="AU13" s="36"/>
      <c r="AV13" s="36"/>
      <c r="AW13" s="36"/>
      <c r="AX13" s="38"/>
      <c r="AY13" s="21" t="s">
        <v>1121</v>
      </c>
      <c r="AZ13" s="21" t="str">
        <f>IF(SUM(AM:AM)=0,"OK","id materiale non congruente con codifiche ammesse")</f>
        <v>id materiale non congruente con codifiche ammesse</v>
      </c>
    </row>
    <row r="14" spans="1:52">
      <c r="A14" s="24"/>
      <c r="B14" s="25"/>
      <c r="C14" s="25"/>
      <c r="D14" s="25"/>
      <c r="E14" s="25"/>
      <c r="F14" s="25"/>
      <c r="G14" s="25"/>
      <c r="H14" s="25"/>
      <c r="I14" s="25"/>
      <c r="J14" s="24"/>
      <c r="K14" s="25"/>
      <c r="L14" s="25"/>
      <c r="M14" s="25"/>
      <c r="N14" s="25"/>
      <c r="O14" s="25"/>
      <c r="P14" s="24"/>
      <c r="Q14" s="24"/>
      <c r="R14" s="24"/>
      <c r="S14" s="25"/>
      <c r="T14" s="24"/>
      <c r="U14" s="24"/>
      <c r="V14" s="24"/>
      <c r="W14" s="24"/>
      <c r="X14" s="25"/>
      <c r="Y14" s="25"/>
      <c r="Z14" s="25"/>
      <c r="AA14" s="30"/>
      <c r="AB14" s="25"/>
      <c r="AC14" s="6"/>
      <c r="AD14" s="6"/>
      <c r="AE14" s="6"/>
      <c r="AF14" s="19"/>
      <c r="AG14" s="19"/>
      <c r="AH14" s="32"/>
      <c r="AI14" s="32"/>
      <c r="AJ14" s="32"/>
      <c r="AK14" s="19"/>
      <c r="AL14" s="19"/>
      <c r="AN14" s="5"/>
      <c r="AO14" s="5"/>
      <c r="AQ14" s="5"/>
      <c r="AR14" s="5"/>
      <c r="AS14" s="5"/>
      <c r="AU14" s="36"/>
      <c r="AV14" s="36"/>
      <c r="AW14" s="36"/>
      <c r="AX14" s="38"/>
      <c r="AY14" s="21" t="s">
        <v>13022</v>
      </c>
      <c r="AZ14" s="21" t="str">
        <f>IF(SUM(AN:AN)=0,"OK","Dati larghezza errati")</f>
        <v>Dati larghezza errati</v>
      </c>
    </row>
    <row r="15" spans="1:52">
      <c r="A15" s="24"/>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30"/>
      <c r="AB15" s="25"/>
      <c r="AC15" s="6"/>
      <c r="AD15" s="6"/>
      <c r="AE15" s="6"/>
      <c r="AF15" s="19"/>
      <c r="AG15" s="19"/>
      <c r="AH15" s="32"/>
      <c r="AI15" s="32"/>
      <c r="AJ15" s="32"/>
      <c r="AK15" s="19"/>
      <c r="AL15" s="19"/>
      <c r="AN15" s="5"/>
      <c r="AO15" s="5"/>
      <c r="AQ15" s="5"/>
      <c r="AR15" s="5"/>
      <c r="AS15" s="5"/>
      <c r="AU15" s="36"/>
      <c r="AV15" s="36"/>
      <c r="AW15" s="36"/>
      <c r="AX15" s="38"/>
      <c r="AY15" s="21" t="s">
        <v>13023</v>
      </c>
      <c r="AZ15" s="21" t="str">
        <f>IF(SUM(AO:AO)=0,"OK","Dati lunghezza errati")</f>
        <v>Dati lunghezza errati</v>
      </c>
    </row>
    <row r="16" spans="1:52">
      <c r="A16" s="24"/>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30"/>
      <c r="AB16" s="25"/>
      <c r="AC16" s="6"/>
      <c r="AD16" s="6"/>
      <c r="AE16" s="6"/>
      <c r="AF16" s="19"/>
      <c r="AG16" s="19"/>
      <c r="AH16" s="32"/>
      <c r="AI16" s="32"/>
      <c r="AJ16" s="32"/>
      <c r="AK16" s="19"/>
      <c r="AL16" s="19"/>
      <c r="AN16" s="5"/>
      <c r="AO16" s="5"/>
      <c r="AQ16" s="5"/>
      <c r="AR16" s="5"/>
      <c r="AS16" s="5"/>
      <c r="AU16" s="36"/>
      <c r="AV16" s="36"/>
      <c r="AW16" s="36"/>
      <c r="AX16" s="38"/>
      <c r="AY16" s="21" t="s">
        <v>13024</v>
      </c>
      <c r="AZ16" s="21" t="str">
        <f>IF(SUM(AP:AP)=0,"OK","Attenzione: alcuni scolmatori sembrano fuori norma, verificare e confermare i dati inseriti.")</f>
        <v>OK</v>
      </c>
    </row>
    <row r="17" spans="1:52">
      <c r="A17" s="24"/>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30"/>
      <c r="AB17" s="25"/>
      <c r="AC17" s="6"/>
      <c r="AD17" s="6"/>
      <c r="AE17" s="6"/>
      <c r="AF17" s="19"/>
      <c r="AG17" s="19"/>
      <c r="AH17" s="32"/>
      <c r="AI17" s="32"/>
      <c r="AJ17" s="32"/>
      <c r="AK17" s="19"/>
      <c r="AL17" s="19"/>
      <c r="AN17" s="5"/>
      <c r="AO17" s="5"/>
      <c r="AQ17" s="5"/>
      <c r="AR17" s="5"/>
      <c r="AS17" s="5"/>
      <c r="AU17" s="36"/>
      <c r="AV17" s="36"/>
      <c r="AW17" s="36"/>
      <c r="AX17" s="38"/>
      <c r="AY17" s="21" t="s">
        <v>12168</v>
      </c>
      <c r="AZ17" s="21" t="str">
        <f>IF(SUM(AQ:AQ)=0,"OK","Dati telecontrollo non congruenti")</f>
        <v>Dati telecontrollo non congruenti</v>
      </c>
    </row>
    <row r="18" spans="1:52">
      <c r="A18" s="24"/>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30"/>
      <c r="AB18" s="25"/>
      <c r="AC18" s="6"/>
      <c r="AD18" s="6"/>
      <c r="AE18" s="6"/>
      <c r="AF18" s="19"/>
      <c r="AG18" s="19"/>
      <c r="AH18" s="32"/>
      <c r="AI18" s="32"/>
      <c r="AJ18" s="32"/>
      <c r="AK18" s="19"/>
      <c r="AL18" s="19"/>
      <c r="AN18" s="5"/>
      <c r="AO18" s="5"/>
      <c r="AQ18" s="5"/>
      <c r="AR18" s="5"/>
      <c r="AS18" s="5"/>
      <c r="AU18" s="36"/>
      <c r="AV18" s="36"/>
      <c r="AW18" s="36"/>
      <c r="AX18" s="38"/>
      <c r="AY18" s="21" t="s">
        <v>11695</v>
      </c>
      <c r="AZ18" s="21" t="str">
        <f>IF(SUM(AR:AR)=0,"OK","indice di confidenza non congruente con anno di costruzione")</f>
        <v>OK</v>
      </c>
    </row>
    <row r="19" s="22" customFormat="1" ht="23.25" customHeight="1" spans="1:52">
      <c r="A19" s="24"/>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30"/>
      <c r="AB19" s="25"/>
      <c r="AC19" s="6"/>
      <c r="AD19" s="6"/>
      <c r="AE19" s="6"/>
      <c r="AF19" s="19"/>
      <c r="AG19" s="19"/>
      <c r="AH19" s="32"/>
      <c r="AI19" s="32"/>
      <c r="AJ19" s="32"/>
      <c r="AK19" s="19"/>
      <c r="AL19" s="19"/>
      <c r="AM19" s="5"/>
      <c r="AN19" s="5"/>
      <c r="AO19" s="5"/>
      <c r="AP19" s="6"/>
      <c r="AQ19" s="5"/>
      <c r="AR19" s="5"/>
      <c r="AS19" s="5"/>
      <c r="AT19" s="5"/>
      <c r="AU19" s="36"/>
      <c r="AV19" s="36"/>
      <c r="AW19" s="36"/>
      <c r="AX19" s="38"/>
      <c r="AY19" s="21" t="s">
        <v>11696</v>
      </c>
      <c r="AZ19" s="21" t="str">
        <f>IF(SUM(AS:AS)=0,"OK","indice di confidenza non congruente con anno di ristrutturazione")</f>
        <v>OK</v>
      </c>
    </row>
    <row r="20" s="22" customFormat="1" ht="28.5" customHeight="1" spans="1:52">
      <c r="A20" s="24"/>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30"/>
      <c r="AB20" s="25"/>
      <c r="AC20" s="6"/>
      <c r="AD20" s="6"/>
      <c r="AE20" s="6"/>
      <c r="AF20" s="19"/>
      <c r="AG20" s="19"/>
      <c r="AH20" s="32"/>
      <c r="AI20" s="32"/>
      <c r="AJ20" s="32"/>
      <c r="AK20" s="19"/>
      <c r="AL20" s="19"/>
      <c r="AM20" s="5"/>
      <c r="AN20" s="5"/>
      <c r="AO20" s="5"/>
      <c r="AP20" s="6"/>
      <c r="AQ20" s="5"/>
      <c r="AR20" s="5"/>
      <c r="AS20" s="5"/>
      <c r="AT20" s="5"/>
      <c r="AU20" s="36"/>
      <c r="AV20" s="36"/>
      <c r="AW20" s="36"/>
      <c r="AX20" s="38"/>
      <c r="AY20" s="21" t="s">
        <v>13025</v>
      </c>
      <c r="AZ20" s="21" t="str">
        <f>IF(SUM(AT:AT)=0,"OK","Classificazione regionale errata")</f>
        <v>OK</v>
      </c>
    </row>
    <row r="21" s="22" customFormat="1" spans="1:52">
      <c r="A21" s="24"/>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30"/>
      <c r="AB21" s="25"/>
      <c r="AC21" s="6"/>
      <c r="AD21" s="6"/>
      <c r="AE21" s="6"/>
      <c r="AF21" s="19"/>
      <c r="AG21" s="19"/>
      <c r="AH21" s="32"/>
      <c r="AI21" s="32"/>
      <c r="AJ21" s="32"/>
      <c r="AK21" s="19"/>
      <c r="AL21" s="19"/>
      <c r="AM21" s="5"/>
      <c r="AN21" s="5"/>
      <c r="AO21" s="5"/>
      <c r="AP21" s="6"/>
      <c r="AQ21" s="5"/>
      <c r="AR21" s="5"/>
      <c r="AS21" s="5"/>
      <c r="AT21" s="5"/>
      <c r="AU21" s="36"/>
      <c r="AV21" s="36"/>
      <c r="AW21" s="36"/>
      <c r="AX21" s="38"/>
      <c r="AY21" s="39" t="s">
        <v>11705</v>
      </c>
      <c r="AZ21" s="40" t="str">
        <f>IF(SUM(AU:AU)=0,"OK","conservazione non congruente con anno di ristrutturazione &gt;=2018")</f>
        <v>OK</v>
      </c>
    </row>
    <row r="22" spans="1:52">
      <c r="A22" s="24"/>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30"/>
      <c r="AB22" s="25"/>
      <c r="AC22" s="6"/>
      <c r="AD22" s="6"/>
      <c r="AE22" s="6"/>
      <c r="AF22" s="19"/>
      <c r="AG22" s="19"/>
      <c r="AH22" s="32"/>
      <c r="AI22" s="32"/>
      <c r="AJ22" s="32"/>
      <c r="AK22" s="19"/>
      <c r="AL22" s="19"/>
      <c r="AN22" s="5"/>
      <c r="AO22" s="5"/>
      <c r="AQ22" s="5"/>
      <c r="AR22" s="5"/>
      <c r="AS22" s="5"/>
      <c r="AU22" s="36"/>
      <c r="AV22" s="36"/>
      <c r="AW22" s="36"/>
      <c r="AX22" s="38"/>
      <c r="AY22" s="40" t="s">
        <v>11698</v>
      </c>
      <c r="AZ22" s="40" t="str">
        <f>IF(SUM(AV:AV)=0,"OK","Anno ristrutt. e/o stato di conservazione non congruenti con anno di costruzione &gt;=2014")</f>
        <v>OK</v>
      </c>
    </row>
    <row r="23" spans="1:52">
      <c r="A23" s="24"/>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30"/>
      <c r="AB23" s="25"/>
      <c r="AC23" s="6"/>
      <c r="AD23" s="6"/>
      <c r="AE23" s="6"/>
      <c r="AF23" s="19"/>
      <c r="AG23" s="19"/>
      <c r="AH23" s="32"/>
      <c r="AI23" s="32"/>
      <c r="AJ23" s="32"/>
      <c r="AK23" s="19"/>
      <c r="AL23" s="19"/>
      <c r="AN23" s="5"/>
      <c r="AO23" s="5"/>
      <c r="AQ23" s="5"/>
      <c r="AR23" s="5"/>
      <c r="AS23" s="5"/>
      <c r="AU23" s="36"/>
      <c r="AV23" s="36"/>
      <c r="AW23" s="36"/>
      <c r="AX23" s="38"/>
      <c r="AY23" s="40" t="s">
        <v>11699</v>
      </c>
      <c r="AZ23" s="40" t="str">
        <f>IF(SUM(AW:AW)=0,"OK","Errore: celle vuote in corrispondenza di opera costruita in anno &gt;=2015")</f>
        <v>OK</v>
      </c>
    </row>
    <row r="24" spans="51:52">
      <c r="AY24" s="37" t="s">
        <v>11700</v>
      </c>
      <c r="AZ24" s="41" t="str">
        <f>IF(SUM(AX:AX)=0,"OK","Errore: verifica completezza su nuove opere")</f>
        <v>OK</v>
      </c>
    </row>
  </sheetData>
  <pageMargins left="0.75" right="0.75" top="1" bottom="1" header="0.511811023622047" footer="0.511811023622047"/>
  <pageSetup paperSize="9" orientation="portrait" horizontalDpi="300" verticalDpi="300"/>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
  <sheetViews>
    <sheetView workbookViewId="0">
      <selection activeCell="A4" sqref="A4"/>
    </sheetView>
  </sheetViews>
  <sheetFormatPr defaultColWidth="10.7142857142857" defaultRowHeight="12.75"/>
  <cols>
    <col min="1" max="1" width="22.5714285714286" style="3" customWidth="1"/>
    <col min="2" max="22" width="10.7142857142857" style="3"/>
    <col min="23" max="24" width="12.7142857142857" customWidth="1"/>
    <col min="25" max="25" width="13.4285714285714" style="4" customWidth="1"/>
    <col min="26" max="27" width="10.7142857142857" style="5"/>
    <col min="28" max="29" width="11.8571428571429" style="6" customWidth="1"/>
    <col min="30" max="30" width="41.5714285714286" style="3" customWidth="1"/>
    <col min="31" max="31" width="43.2857142857143" style="7" customWidth="1"/>
    <col min="32" max="1024" width="10.7142857142857" style="3"/>
  </cols>
  <sheetData>
    <row r="1" s="1" customFormat="1" ht="60" spans="1:31">
      <c r="A1" s="8" t="s">
        <v>11505</v>
      </c>
      <c r="B1" s="8" t="s">
        <v>11506</v>
      </c>
      <c r="C1" s="8" t="s">
        <v>11507</v>
      </c>
      <c r="D1" s="8" t="s">
        <v>13027</v>
      </c>
      <c r="E1" s="8" t="s">
        <v>13028</v>
      </c>
      <c r="F1" s="8" t="s">
        <v>13029</v>
      </c>
      <c r="G1" s="8" t="s">
        <v>13030</v>
      </c>
      <c r="H1" s="8" t="s">
        <v>13031</v>
      </c>
      <c r="I1" s="8" t="s">
        <v>13032</v>
      </c>
      <c r="J1" s="8" t="s">
        <v>12275</v>
      </c>
      <c r="K1" s="8" t="s">
        <v>11999</v>
      </c>
      <c r="L1" s="8" t="s">
        <v>13033</v>
      </c>
      <c r="M1" s="8" t="s">
        <v>13034</v>
      </c>
      <c r="N1" s="8" t="s">
        <v>12661</v>
      </c>
      <c r="O1" s="8" t="s">
        <v>11540</v>
      </c>
      <c r="P1" s="8" t="s">
        <v>11541</v>
      </c>
      <c r="Q1" s="8" t="s">
        <v>11548</v>
      </c>
      <c r="R1" s="8" t="s">
        <v>13035</v>
      </c>
      <c r="S1" s="8" t="s">
        <v>13036</v>
      </c>
      <c r="T1" s="8" t="s">
        <v>12662</v>
      </c>
      <c r="U1" s="8" t="s">
        <v>11558</v>
      </c>
      <c r="V1" s="12" t="s">
        <v>11559</v>
      </c>
      <c r="W1" s="13" t="s">
        <v>11560</v>
      </c>
      <c r="X1" s="13" t="s">
        <v>11561</v>
      </c>
      <c r="Y1" s="13" t="s">
        <v>11562</v>
      </c>
      <c r="Z1" s="13" t="s">
        <v>12283</v>
      </c>
      <c r="AA1" s="13" t="s">
        <v>13037</v>
      </c>
      <c r="AB1" s="13" t="s">
        <v>12060</v>
      </c>
      <c r="AC1" s="13"/>
      <c r="AD1" s="20"/>
      <c r="AE1" s="20"/>
    </row>
    <row r="2" s="2" customFormat="1" ht="67.5" spans="1:29">
      <c r="A2" s="9" t="s">
        <v>13038</v>
      </c>
      <c r="B2" s="9" t="s">
        <v>11579</v>
      </c>
      <c r="C2" s="9" t="s">
        <v>11580</v>
      </c>
      <c r="D2" s="9" t="s">
        <v>11581</v>
      </c>
      <c r="E2" s="9" t="s">
        <v>11582</v>
      </c>
      <c r="F2" s="9" t="s">
        <v>11583</v>
      </c>
      <c r="G2" s="9" t="s">
        <v>11586</v>
      </c>
      <c r="H2" s="9" t="s">
        <v>11587</v>
      </c>
      <c r="I2" s="9" t="s">
        <v>11588</v>
      </c>
      <c r="J2" s="9" t="s">
        <v>12287</v>
      </c>
      <c r="K2" s="9" t="s">
        <v>12288</v>
      </c>
      <c r="L2" s="9" t="s">
        <v>13039</v>
      </c>
      <c r="M2" s="9" t="s">
        <v>13040</v>
      </c>
      <c r="N2" s="9" t="s">
        <v>12671</v>
      </c>
      <c r="O2" s="9" t="s">
        <v>11613</v>
      </c>
      <c r="P2" s="9" t="s">
        <v>11614</v>
      </c>
      <c r="Q2" s="9" t="s">
        <v>11621</v>
      </c>
      <c r="R2" s="9" t="s">
        <v>13041</v>
      </c>
      <c r="S2" s="9" t="s">
        <v>13042</v>
      </c>
      <c r="T2" s="9" t="s">
        <v>12674</v>
      </c>
      <c r="U2" s="9" t="s">
        <v>11631</v>
      </c>
      <c r="V2" s="14"/>
      <c r="W2" s="13"/>
      <c r="X2" s="13"/>
      <c r="Y2" s="17"/>
      <c r="Z2" s="18"/>
      <c r="AA2" s="18"/>
      <c r="AB2" s="18"/>
      <c r="AC2" s="18"/>
    </row>
    <row r="3" s="1" customFormat="1" ht="21" customHeight="1" spans="1:29">
      <c r="A3" s="10" t="s">
        <v>13043</v>
      </c>
      <c r="B3" s="10" t="s">
        <v>13044</v>
      </c>
      <c r="C3" s="10" t="s">
        <v>13045</v>
      </c>
      <c r="D3" s="10" t="s">
        <v>13046</v>
      </c>
      <c r="E3" s="10" t="s">
        <v>13047</v>
      </c>
      <c r="F3" s="10" t="s">
        <v>13048</v>
      </c>
      <c r="G3" s="10" t="s">
        <v>13049</v>
      </c>
      <c r="H3" s="10" t="s">
        <v>13050</v>
      </c>
      <c r="I3" s="10" t="s">
        <v>13051</v>
      </c>
      <c r="J3" s="10" t="s">
        <v>13052</v>
      </c>
      <c r="K3" s="10" t="s">
        <v>13053</v>
      </c>
      <c r="L3" s="10" t="s">
        <v>13054</v>
      </c>
      <c r="M3" s="10" t="s">
        <v>13055</v>
      </c>
      <c r="N3" s="10" t="s">
        <v>13056</v>
      </c>
      <c r="O3" s="10" t="s">
        <v>13057</v>
      </c>
      <c r="P3" s="10" t="s">
        <v>13058</v>
      </c>
      <c r="Q3" s="10" t="s">
        <v>13059</v>
      </c>
      <c r="R3" s="10" t="s">
        <v>13060</v>
      </c>
      <c r="S3" s="10" t="s">
        <v>13061</v>
      </c>
      <c r="T3" s="10" t="s">
        <v>13062</v>
      </c>
      <c r="U3" s="10" t="s">
        <v>13063</v>
      </c>
      <c r="V3" s="15"/>
      <c r="W3" s="16"/>
      <c r="X3" s="16"/>
      <c r="Y3" s="16" t="s">
        <v>11683</v>
      </c>
      <c r="Z3" s="16" t="s">
        <v>635</v>
      </c>
      <c r="AA3" s="16" t="s">
        <v>13064</v>
      </c>
      <c r="AB3" s="16" t="s">
        <v>12168</v>
      </c>
      <c r="AC3" s="17"/>
    </row>
    <row r="4" spans="1:31">
      <c r="A4" s="11"/>
      <c r="W4" s="6">
        <f>IF(AND(D4&gt;4678396.48217382,D4&lt;4924789.13601513),0,1)</f>
        <v>1</v>
      </c>
      <c r="X4" s="6">
        <f>IF(AND(E4&gt;1554744.35667513,E4&lt;1771650.40247209),0,1)</f>
        <v>1</v>
      </c>
      <c r="Y4" s="19">
        <f>+IF(Q4&lt;3,IF(G4="",0,IF(G4&gt;0,0,1)),0)</f>
        <v>0</v>
      </c>
      <c r="Z4" s="5">
        <f>+IF(Q4&lt;3,IF(AND(J4&gt;0,J4&lt;55),0,1),0)</f>
        <v>1</v>
      </c>
      <c r="AA4" s="5">
        <f>IF(Q4&lt;3,IF(N4&gt;0,0,1),0)</f>
        <v>1</v>
      </c>
      <c r="AB4" s="5">
        <f>+IF(Q4&lt;3,IF(AND(O4&gt;0,O4&lt;5),0,1),0)</f>
        <v>1</v>
      </c>
      <c r="AC4" s="5"/>
      <c r="AD4" s="20" t="s">
        <v>11560</v>
      </c>
      <c r="AE4" s="20" t="str">
        <f>IF(SUM(W:W)=0,"OK","Attenzione! Possibile errore su coordinate")</f>
        <v>Attenzione! Possibile errore su coordinate</v>
      </c>
    </row>
    <row r="5" spans="23:31">
      <c r="W5" s="6"/>
      <c r="X5" s="6"/>
      <c r="Y5" s="19"/>
      <c r="AB5" s="5"/>
      <c r="AC5" s="5"/>
      <c r="AD5" s="20" t="s">
        <v>11561</v>
      </c>
      <c r="AE5" s="20" t="str">
        <f>IF(SUM(X:X)=0,"OK","Attenzione! Possibile errore su coordinate")</f>
        <v>Attenzione! Possibile errore su coordinate</v>
      </c>
    </row>
    <row r="6" spans="23:31">
      <c r="W6" s="6"/>
      <c r="X6" s="6"/>
      <c r="Y6" s="19"/>
      <c r="AB6" s="5"/>
      <c r="AC6" s="5"/>
      <c r="AD6" s="20" t="s">
        <v>11701</v>
      </c>
      <c r="AE6" s="21" t="str">
        <f>IF(SUM(Y:Y)=0,"OK","Attenzione! Possibile errore, QUOTA=0. Verificare e confermare i dati")</f>
        <v>OK</v>
      </c>
    </row>
    <row r="7" spans="23:31">
      <c r="W7" s="6"/>
      <c r="X7" s="6"/>
      <c r="Y7" s="19"/>
      <c r="AB7" s="5"/>
      <c r="AC7" s="5"/>
      <c r="AD7" s="21" t="s">
        <v>1121</v>
      </c>
      <c r="AE7" s="21" t="str">
        <f>IF(SUM(Z:Z)=0,"OK","id materiale non congruente con codifiche ammesse")</f>
        <v>id materiale non congruente con codifiche ammesse</v>
      </c>
    </row>
    <row r="8" spans="23:31">
      <c r="W8" s="6"/>
      <c r="X8" s="6"/>
      <c r="Y8" s="19"/>
      <c r="AB8" s="5"/>
      <c r="AC8" s="5"/>
      <c r="AD8" s="21" t="s">
        <v>13065</v>
      </c>
      <c r="AE8" s="21" t="str">
        <f>IF(SUM(AA:AA)=0,"OK","Volume non congruente")</f>
        <v>Volume non congruente</v>
      </c>
    </row>
    <row r="9" spans="23:31">
      <c r="W9" s="6"/>
      <c r="X9" s="6"/>
      <c r="Y9" s="19"/>
      <c r="AB9" s="5"/>
      <c r="AC9" s="5"/>
      <c r="AD9" s="21" t="s">
        <v>12168</v>
      </c>
      <c r="AE9" s="21" t="str">
        <f>IF(SUM(AB:AB)=0,"OK","Dati telecontrollo non congruenti")</f>
        <v>Dati telecontrollo non congruenti</v>
      </c>
    </row>
  </sheetData>
  <pageMargins left="0.75" right="0.75" top="1" bottom="1"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mv</Company>
  <Application>Microsoft Excel</Application>
  <HeadingPairs>
    <vt:vector size="2" baseType="variant">
      <vt:variant>
        <vt:lpstr>工作表</vt:lpstr>
      </vt:variant>
      <vt:variant>
        <vt:i4>37</vt:i4>
      </vt:variant>
    </vt:vector>
  </HeadingPairs>
  <TitlesOfParts>
    <vt:vector size="37" baseType="lpstr">
      <vt:lpstr>REGOLE GENERALI</vt:lpstr>
      <vt:lpstr>TABDATI</vt:lpstr>
      <vt:lpstr>TABBASE</vt:lpstr>
      <vt:lpstr>ANAGRAFICA</vt:lpstr>
      <vt:lpstr>INFO</vt:lpstr>
      <vt:lpstr>DATI</vt:lpstr>
      <vt:lpstr>Fiumi</vt:lpstr>
      <vt:lpstr>Fiumi_inpotab</vt:lpstr>
      <vt:lpstr>Laghi</vt:lpstr>
      <vt:lpstr>Laghi_inpotab</vt:lpstr>
      <vt:lpstr>Pozzi</vt:lpstr>
      <vt:lpstr>Pozzi_pompe</vt:lpstr>
      <vt:lpstr>Pozzi_inpotab</vt:lpstr>
      <vt:lpstr>Sorgenti</vt:lpstr>
      <vt:lpstr>Sorgenti_inpotab</vt:lpstr>
      <vt:lpstr>Mari</vt:lpstr>
      <vt:lpstr>Mari_inpotab</vt:lpstr>
      <vt:lpstr>Mari_pompe</vt:lpstr>
      <vt:lpstr>Potabilizzatori</vt:lpstr>
      <vt:lpstr>Potab_pompe</vt:lpstr>
      <vt:lpstr>Adduttrici</vt:lpstr>
      <vt:lpstr>Addut_tronchi</vt:lpstr>
      <vt:lpstr>Accumuli</vt:lpstr>
      <vt:lpstr>Pompaggi</vt:lpstr>
      <vt:lpstr>Pompaggi_pompe</vt:lpstr>
      <vt:lpstr>Distribuzioni</vt:lpstr>
      <vt:lpstr>Distrib_tronchi</vt:lpstr>
      <vt:lpstr>Fognature</vt:lpstr>
      <vt:lpstr>Fognat_tronchi</vt:lpstr>
      <vt:lpstr>Sollevamenti</vt:lpstr>
      <vt:lpstr>Sollev_pompe</vt:lpstr>
      <vt:lpstr>Collettori</vt:lpstr>
      <vt:lpstr>Collett_tronchi</vt:lpstr>
      <vt:lpstr>Depuratori</vt:lpstr>
      <vt:lpstr>Depurat_pompe</vt:lpstr>
      <vt:lpstr>Scaricatori</vt:lpstr>
      <vt:lpstr>Condottemarine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dc:creator>
  <cp:lastModifiedBy>gpetr</cp:lastModifiedBy>
  <cp:revision>10</cp:revision>
  <dcterms:created xsi:type="dcterms:W3CDTF">2013-07-03T15:24:00Z</dcterms:created>
  <cp:lastPrinted>2019-11-14T23:17:00Z</cp:lastPrinted>
  <dcterms:modified xsi:type="dcterms:W3CDTF">2025-10-01T17:38:55Z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