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rcadiso365.sharepoint.com/sites/EMPCO_WC/Documents/2024 EMTEK Enhancements/Soil Springs/"/>
    </mc:Choice>
  </mc:AlternateContent>
  <xr:revisionPtr revIDLastSave="291" documentId="8_{ECFCBB59-2B7E-48E5-A8F0-D438D22A82E5}" xr6:coauthVersionLast="47" xr6:coauthVersionMax="47" xr10:uidLastSave="{139983FA-9A63-4FFB-A77E-23DFD9DA29DF}"/>
  <bookViews>
    <workbookView xWindow="57480" yWindow="-120" windowWidth="29040" windowHeight="15720" xr2:uid="{00000000-000D-0000-FFFF-FFFF00000000}"/>
  </bookViews>
  <sheets>
    <sheet name="Input&amp;Summary" sheetId="7" r:id="rId1"/>
    <sheet name="Calcs" sheetId="1" r:id="rId2"/>
  </sheets>
  <definedNames>
    <definedName name="_xlnm.Print_Area" localSheetId="1">Calcs!$A$38:$K$58</definedName>
    <definedName name="_xlnm.Print_Area" localSheetId="0">'Input&amp;Summary'!$A$1:$F$47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D57" i="1"/>
  <c r="D55" i="1"/>
  <c r="D54" i="1"/>
  <c r="D51" i="1" l="1"/>
  <c r="C4" i="1"/>
  <c r="D4" i="1" s="1"/>
  <c r="D5" i="1"/>
  <c r="D8" i="1"/>
  <c r="D9" i="1"/>
  <c r="D10" i="1" l="1"/>
  <c r="D45" i="1"/>
  <c r="D49" i="1" s="1"/>
  <c r="D48" i="1" l="1"/>
  <c r="D47" i="1"/>
  <c r="D66" i="1"/>
  <c r="D89" i="1"/>
  <c r="C87" i="1"/>
  <c r="D87" i="1" s="1"/>
  <c r="D86" i="1"/>
  <c r="D85" i="1"/>
  <c r="D77" i="1"/>
  <c r="C64" i="1"/>
  <c r="D64" i="1" s="1"/>
  <c r="D78" i="1" s="1"/>
  <c r="D63" i="1"/>
  <c r="D62" i="1"/>
  <c r="D44" i="1"/>
  <c r="D42" i="1"/>
  <c r="D43" i="1" s="1"/>
  <c r="D40" i="1"/>
  <c r="D39" i="1"/>
  <c r="D3" i="1"/>
  <c r="D7" i="1"/>
  <c r="D24" i="1"/>
  <c r="D27" i="1" s="1"/>
  <c r="D23" i="1"/>
  <c r="D22" i="1"/>
  <c r="D20" i="1"/>
  <c r="D19" i="1"/>
  <c r="D12" i="1" l="1"/>
  <c r="D13" i="1" s="1"/>
  <c r="D15" i="1" s="1"/>
  <c r="D11" i="1"/>
  <c r="D79" i="1"/>
  <c r="D80" i="1" s="1"/>
  <c r="F64" i="1"/>
  <c r="D6" i="1"/>
  <c r="D31" i="1"/>
  <c r="D29" i="1"/>
  <c r="D28" i="1"/>
  <c r="D30" i="1"/>
  <c r="D100" i="1"/>
  <c r="D41" i="1"/>
  <c r="D99" i="1"/>
  <c r="D97" i="1"/>
  <c r="D76" i="1"/>
  <c r="P69" i="1"/>
  <c r="O69" i="1"/>
  <c r="D21" i="1"/>
  <c r="D32" i="1" s="1"/>
  <c r="B13" i="7"/>
  <c r="B14" i="7"/>
  <c r="D25" i="1" l="1"/>
  <c r="D16" i="1"/>
  <c r="E54" i="1"/>
  <c r="D101" i="1"/>
  <c r="C15" i="7"/>
  <c r="D26" i="1"/>
  <c r="E55" i="1"/>
  <c r="D52" i="1"/>
  <c r="D67" i="1" l="1"/>
  <c r="D34" i="1"/>
  <c r="D58" i="1"/>
  <c r="D70" i="1" l="1"/>
  <c r="D71" i="1"/>
  <c r="D35" i="1"/>
  <c r="D90" i="1"/>
  <c r="D103" i="1" s="1"/>
  <c r="D73" i="1" l="1"/>
  <c r="D92" i="1"/>
  <c r="D94" i="1" s="1"/>
  <c r="F94" i="1" s="1"/>
  <c r="F73" i="1" l="1"/>
  <c r="C14" i="7"/>
  <c r="C13" i="7"/>
  <c r="D82" i="1"/>
  <c r="C16" i="7" s="1"/>
  <c r="C17" i="7" l="1"/>
</calcChain>
</file>

<file path=xl/sharedStrings.xml><?xml version="1.0" encoding="utf-8"?>
<sst xmlns="http://schemas.openxmlformats.org/spreadsheetml/2006/main" count="240" uniqueCount="132">
  <si>
    <t>RIGHT BANK</t>
  </si>
  <si>
    <t>Pipe Properties</t>
  </si>
  <si>
    <t>Soil Properties</t>
  </si>
  <si>
    <t>Pipe OD (in):</t>
  </si>
  <si>
    <r>
      <t>Soil Friction Angle (</t>
    </r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degrees):</t>
    </r>
  </si>
  <si>
    <t>Pipe wt (in):</t>
  </si>
  <si>
    <t>Soil Cohesion (c, psf):</t>
  </si>
  <si>
    <t>Pipe SMYS (psi):</t>
  </si>
  <si>
    <t>X-52</t>
  </si>
  <si>
    <r>
      <t>Soil Effective Unit Weight (</t>
    </r>
    <r>
      <rPr>
        <sz val="11"/>
        <color theme="1"/>
        <rFont val="Calibri"/>
        <family val="2"/>
      </rPr>
      <t>γ'</t>
    </r>
    <r>
      <rPr>
        <sz val="11"/>
        <color theme="1"/>
        <rFont val="Calibri"/>
        <family val="2"/>
        <scheme val="minor"/>
      </rPr>
      <t>, psf):</t>
    </r>
  </si>
  <si>
    <t>Pipe DOC (ft):</t>
  </si>
  <si>
    <t>PGD Path (perpendicular/parallel to pipe):</t>
  </si>
  <si>
    <t>Parallel</t>
  </si>
  <si>
    <t>Length of Pipe in PGD (ft):</t>
  </si>
  <si>
    <t>Pipe Coating</t>
  </si>
  <si>
    <t>Rough Steel</t>
  </si>
  <si>
    <t>Internal Pressure (psi):</t>
  </si>
  <si>
    <t>API 5L X52, 16" OD, Std Wt (.375")</t>
  </si>
  <si>
    <t>DOC = Depth of Cover</t>
  </si>
  <si>
    <t>Summary Output</t>
  </si>
  <si>
    <t>Remaining Allowable Stress (psi)</t>
  </si>
  <si>
    <t>Allowable Pipe Length in PGD (ft):</t>
  </si>
  <si>
    <t>Exceeds Allowable:</t>
  </si>
  <si>
    <t>PGD=Permanent Ground Deformation</t>
  </si>
  <si>
    <t>Pipeline Length: FOS &lt;1.5</t>
  </si>
  <si>
    <t>Orange Area</t>
  </si>
  <si>
    <t>ft</t>
  </si>
  <si>
    <t>Axial Forces</t>
  </si>
  <si>
    <t>Pipe outside diameter</t>
  </si>
  <si>
    <t>OD</t>
  </si>
  <si>
    <t>inches</t>
  </si>
  <si>
    <t>Coating dependent factor</t>
  </si>
  <si>
    <t>Pipe Coating Dependent Factor (f)</t>
  </si>
  <si>
    <t>Concrete</t>
  </si>
  <si>
    <t>Depth of cover</t>
  </si>
  <si>
    <t>DOC</t>
  </si>
  <si>
    <t>Coal Tar</t>
  </si>
  <si>
    <t>Depth to pipe centerline</t>
  </si>
  <si>
    <t>H</t>
  </si>
  <si>
    <t>Soil cohesion</t>
  </si>
  <si>
    <t>c</t>
  </si>
  <si>
    <t>psf</t>
  </si>
  <si>
    <t>Smooth steel</t>
  </si>
  <si>
    <t>Internal friction angle for soil</t>
  </si>
  <si>
    <t>φ</t>
  </si>
  <si>
    <t>degrees</t>
  </si>
  <si>
    <t>Fusion Bonded Epoxy</t>
  </si>
  <si>
    <t>Effective unit weight of soil</t>
  </si>
  <si>
    <t>γ</t>
  </si>
  <si>
    <t>lb/ft3</t>
  </si>
  <si>
    <t>Polyethylene</t>
  </si>
  <si>
    <t>Coefficient of pressure at rest</t>
  </si>
  <si>
    <r>
      <t>K</t>
    </r>
    <r>
      <rPr>
        <vertAlign val="subscript"/>
        <sz val="11"/>
        <color theme="1"/>
        <rFont val="Calibri"/>
        <family val="2"/>
        <scheme val="minor"/>
      </rPr>
      <t>o</t>
    </r>
  </si>
  <si>
    <t>Adhesion factor</t>
  </si>
  <si>
    <t>α</t>
  </si>
  <si>
    <t>Interface angle for pipe-soil</t>
  </si>
  <si>
    <t>δ</t>
  </si>
  <si>
    <t>Tan of interface angle</t>
  </si>
  <si>
    <t>tanδ</t>
  </si>
  <si>
    <t>Axial soil force</t>
  </si>
  <si>
    <t>Tu</t>
  </si>
  <si>
    <t>lbs/ft</t>
  </si>
  <si>
    <t>kips/ft</t>
  </si>
  <si>
    <t>Lateral Forces</t>
  </si>
  <si>
    <t>Lateral Bearing Capacity Factor of Soil</t>
  </si>
  <si>
    <t>φ (degrees)</t>
  </si>
  <si>
    <t>a</t>
  </si>
  <si>
    <t>b</t>
  </si>
  <si>
    <t>d</t>
  </si>
  <si>
    <t>e</t>
  </si>
  <si>
    <t>Nch</t>
  </si>
  <si>
    <t>Nqh</t>
  </si>
  <si>
    <t>Horizontal bearing capacity factor for clay</t>
  </si>
  <si>
    <r>
      <t>N</t>
    </r>
    <r>
      <rPr>
        <vertAlign val="subscript"/>
        <sz val="11"/>
        <rFont val="Arial"/>
        <family val="2"/>
      </rPr>
      <t>ch</t>
    </r>
  </si>
  <si>
    <t>Horizontal bearing capacity factor for sand</t>
  </si>
  <si>
    <r>
      <t>N</t>
    </r>
    <r>
      <rPr>
        <vertAlign val="subscript"/>
        <sz val="11"/>
        <rFont val="Arial"/>
        <family val="2"/>
      </rPr>
      <t>qh</t>
    </r>
  </si>
  <si>
    <t>H/D</t>
  </si>
  <si>
    <t>Lateral soil force</t>
  </si>
  <si>
    <t>Pu</t>
  </si>
  <si>
    <t>Vertical Forces</t>
  </si>
  <si>
    <t xml:space="preserve"> Bearing Capacity Factor of Soil</t>
  </si>
  <si>
    <t>Total unit weight of soil</t>
  </si>
  <si>
    <t xml:space="preserve">Vertical bearing capacity factor </t>
  </si>
  <si>
    <r>
      <t>N</t>
    </r>
    <r>
      <rPr>
        <vertAlign val="subscript"/>
        <sz val="11"/>
        <rFont val="Arial"/>
        <family val="2"/>
      </rPr>
      <t>c</t>
    </r>
  </si>
  <si>
    <r>
      <t>N</t>
    </r>
    <r>
      <rPr>
        <vertAlign val="subscript"/>
        <sz val="11"/>
        <rFont val="Arial"/>
        <family val="2"/>
      </rPr>
      <t>q</t>
    </r>
  </si>
  <si>
    <r>
      <t>N</t>
    </r>
    <r>
      <rPr>
        <sz val="11"/>
        <rFont val="Calibri"/>
        <family val="2"/>
      </rPr>
      <t>γ</t>
    </r>
  </si>
  <si>
    <t>Vertical Bearing Soil Force</t>
  </si>
  <si>
    <r>
      <t>Q</t>
    </r>
    <r>
      <rPr>
        <vertAlign val="subscript"/>
        <sz val="11"/>
        <color theme="1"/>
        <rFont val="Calibri"/>
        <family val="2"/>
        <scheme val="minor"/>
      </rPr>
      <t>d</t>
    </r>
  </si>
  <si>
    <r>
      <t>N</t>
    </r>
    <r>
      <rPr>
        <vertAlign val="subscript"/>
        <sz val="11"/>
        <color theme="1"/>
        <rFont val="Arial"/>
        <family val="2"/>
      </rPr>
      <t>cv</t>
    </r>
  </si>
  <si>
    <r>
      <t>N</t>
    </r>
    <r>
      <rPr>
        <vertAlign val="subscript"/>
        <sz val="11"/>
        <color theme="1"/>
        <rFont val="Arial"/>
        <family val="2"/>
      </rPr>
      <t>qv</t>
    </r>
  </si>
  <si>
    <t>Vertical Uplift Soil Force</t>
  </si>
  <si>
    <r>
      <t>Q</t>
    </r>
    <r>
      <rPr>
        <vertAlign val="subscript"/>
        <sz val="11"/>
        <color theme="1"/>
        <rFont val="Calibri"/>
        <family val="2"/>
        <scheme val="minor"/>
      </rPr>
      <t>u</t>
    </r>
  </si>
  <si>
    <t>Longitudinal PGD Stress</t>
  </si>
  <si>
    <t>Pipeline crossing permanent ground deformation zone in the direction of ground movement.</t>
  </si>
  <si>
    <t>Pipe Grade</t>
  </si>
  <si>
    <t>Yield stress (psi)</t>
  </si>
  <si>
    <t>n</t>
  </si>
  <si>
    <t>r</t>
  </si>
  <si>
    <t>Wall thickness of pipe</t>
  </si>
  <si>
    <t>t</t>
  </si>
  <si>
    <t>Grade B</t>
  </si>
  <si>
    <t>Pipe Grade / SMYS</t>
  </si>
  <si>
    <t>X-42</t>
  </si>
  <si>
    <t>Modulus of elasticity</t>
  </si>
  <si>
    <t>E</t>
  </si>
  <si>
    <t>psi</t>
  </si>
  <si>
    <t>Length of PGD zone/Length of pipe in slide</t>
  </si>
  <si>
    <t>L</t>
  </si>
  <si>
    <t>X-60</t>
  </si>
  <si>
    <t>X-70</t>
  </si>
  <si>
    <t>Elastic strain</t>
  </si>
  <si>
    <r>
      <t>ε</t>
    </r>
    <r>
      <rPr>
        <vertAlign val="subscript"/>
        <sz val="11"/>
        <rFont val="Calibri"/>
        <family val="2"/>
      </rPr>
      <t>el</t>
    </r>
  </si>
  <si>
    <t>Plastic strain</t>
  </si>
  <si>
    <r>
      <t>ε</t>
    </r>
    <r>
      <rPr>
        <vertAlign val="subscript"/>
        <sz val="11"/>
        <rFont val="Calibri"/>
        <family val="2"/>
      </rPr>
      <t>pl</t>
    </r>
  </si>
  <si>
    <t>Total strain</t>
  </si>
  <si>
    <r>
      <t>ε</t>
    </r>
    <r>
      <rPr>
        <vertAlign val="subscript"/>
        <sz val="11"/>
        <rFont val="Calibri"/>
        <family val="2"/>
      </rPr>
      <t xml:space="preserve"> tot</t>
    </r>
  </si>
  <si>
    <t>Bending Stress on pipe</t>
  </si>
  <si>
    <r>
      <t>σ</t>
    </r>
    <r>
      <rPr>
        <vertAlign val="subscript"/>
        <sz val="11"/>
        <color theme="1"/>
        <rFont val="Calibri"/>
        <family val="2"/>
      </rPr>
      <t>axial</t>
    </r>
  </si>
  <si>
    <t>Design Factor</t>
  </si>
  <si>
    <t>Pipe Internal Diameter</t>
  </si>
  <si>
    <t>ID</t>
  </si>
  <si>
    <t>in.</t>
  </si>
  <si>
    <t>Maximum Operating Pressure</t>
  </si>
  <si>
    <t>MOP</t>
  </si>
  <si>
    <t xml:space="preserve">Allowable Stress </t>
  </si>
  <si>
    <t>Internal pressure stress</t>
  </si>
  <si>
    <t>Remaining Stress Available</t>
  </si>
  <si>
    <t>Allowable length of Longitudinal PGD</t>
  </si>
  <si>
    <t>Transverse PGD Stress</t>
  </si>
  <si>
    <t>Pipeline crossing permanent ground deformation zone transverse to the direction of ground movement.</t>
  </si>
  <si>
    <t>Width of PGD zone/Length of pipe in slide</t>
  </si>
  <si>
    <t>Bending stress on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</si>
</sst>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%"/>
    <numFmt numFmtId="165" formatCode="0.000"/>
    <numFmt numFmtId="166" formatCode="0.0"/>
    <numFmt numFmtId="167" formatCode="#,##0.0"/>
    <numFmt numFmtId="168" formatCode="0.0000"/>
    <numFmt numFmtId="169" formatCode="0.00000"/>
  </numFmts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4"/>
      <color theme="1"/>
      <name val="Calibri"/>
      <family val="2"/>
      <scheme val="minor"/>
    </font>
    <font>
      <u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u/>
      <sz val="11"/>
      <name val="Calibri"/>
      <family val="2"/>
    </font>
    <font>
      <vertAlign val="subscript"/>
      <sz val="11"/>
      <name val="Arial"/>
      <family val="2"/>
    </font>
    <font>
      <vertAlign val="subscript"/>
      <sz val="11"/>
      <color theme="1"/>
      <name val="Arial"/>
      <family val="2"/>
    </font>
    <font>
      <vertAlign val="subscript"/>
      <sz val="11"/>
      <name val="Calibri"/>
      <family val="2"/>
    </font>
    <font>
      <vertAlign val="subscript"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5" borderId="2" applyNumberFormat="0" applyAlignment="0" applyProtection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71">
    <xf numFmtId="0" fontId="0" fillId="0" borderId="0" xfId="0"/>
    <xf numFmtId="0" fontId="2" fillId="3" borderId="1" xfId="2" applyBorder="1"/>
    <xf numFmtId="0" fontId="4" fillId="0" borderId="1" xfId="0" applyFont="1" applyBorder="1"/>
    <xf numFmtId="0" fontId="0" fillId="0" borderId="1" xfId="0" applyBorder="1"/>
    <xf numFmtId="0" fontId="5" fillId="4" borderId="1" xfId="0" applyFont="1" applyFill="1" applyBorder="1"/>
    <xf numFmtId="2" fontId="2" fillId="3" borderId="1" xfId="2" applyNumberFormat="1" applyBorder="1"/>
    <xf numFmtId="0" fontId="9" fillId="5" borderId="3" xfId="3" applyFont="1" applyBorder="1"/>
    <xf numFmtId="0" fontId="7" fillId="0" borderId="1" xfId="4" applyBorder="1"/>
    <xf numFmtId="0" fontId="9" fillId="5" borderId="2" xfId="3" applyFont="1" applyAlignment="1">
      <alignment horizontal="center"/>
    </xf>
    <xf numFmtId="0" fontId="9" fillId="5" borderId="4" xfId="3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8" fillId="0" borderId="0" xfId="4" applyFont="1" applyAlignment="1"/>
    <xf numFmtId="0" fontId="1" fillId="0" borderId="1" xfId="1" applyFill="1" applyBorder="1"/>
    <xf numFmtId="2" fontId="10" fillId="3" borderId="1" xfId="2" applyNumberFormat="1" applyFont="1" applyBorder="1"/>
    <xf numFmtId="0" fontId="9" fillId="5" borderId="3" xfId="3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6" borderId="1" xfId="3" applyFont="1" applyFill="1" applyBorder="1"/>
    <xf numFmtId="0" fontId="8" fillId="0" borderId="0" xfId="4" applyFont="1" applyAlignment="1">
      <alignment horizontal="center"/>
    </xf>
    <xf numFmtId="0" fontId="9" fillId="5" borderId="3" xfId="3" applyFont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166" fontId="2" fillId="3" borderId="1" xfId="2" applyNumberFormat="1" applyBorder="1"/>
    <xf numFmtId="2" fontId="0" fillId="0" borderId="0" xfId="0" applyNumberFormat="1"/>
    <xf numFmtId="0" fontId="0" fillId="6" borderId="1" xfId="0" applyFill="1" applyBorder="1"/>
    <xf numFmtId="0" fontId="0" fillId="4" borderId="1" xfId="0" applyFill="1" applyBorder="1" applyAlignment="1">
      <alignment horizontal="righ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9" fillId="6" borderId="1" xfId="2" applyFont="1" applyFill="1" applyBorder="1"/>
    <xf numFmtId="166" fontId="9" fillId="6" borderId="1" xfId="1" applyNumberFormat="1" applyFont="1" applyFill="1" applyBorder="1"/>
    <xf numFmtId="2" fontId="9" fillId="6" borderId="1" xfId="1" applyNumberFormat="1" applyFont="1" applyFill="1" applyBorder="1"/>
    <xf numFmtId="165" fontId="9" fillId="6" borderId="1" xfId="2" applyNumberFormat="1" applyFont="1" applyFill="1" applyBorder="1"/>
    <xf numFmtId="2" fontId="9" fillId="6" borderId="1" xfId="2" applyNumberFormat="1" applyFont="1" applyFill="1" applyBorder="1"/>
    <xf numFmtId="166" fontId="9" fillId="6" borderId="1" xfId="2" applyNumberFormat="1" applyFont="1" applyFill="1" applyBorder="1"/>
    <xf numFmtId="0" fontId="4" fillId="6" borderId="1" xfId="0" applyFont="1" applyFill="1" applyBorder="1"/>
    <xf numFmtId="0" fontId="11" fillId="6" borderId="1" xfId="0" applyFont="1" applyFill="1" applyBorder="1"/>
    <xf numFmtId="0" fontId="9" fillId="6" borderId="1" xfId="1" applyFont="1" applyFill="1" applyBorder="1"/>
    <xf numFmtId="0" fontId="5" fillId="6" borderId="1" xfId="0" applyFont="1" applyFill="1" applyBorder="1"/>
    <xf numFmtId="166" fontId="0" fillId="7" borderId="1" xfId="0" applyNumberFormat="1" applyFill="1" applyBorder="1"/>
    <xf numFmtId="2" fontId="0" fillId="7" borderId="1" xfId="0" applyNumberFormat="1" applyFill="1" applyBorder="1"/>
    <xf numFmtId="165" fontId="0" fillId="7" borderId="1" xfId="0" applyNumberFormat="1" applyFill="1" applyBorder="1"/>
    <xf numFmtId="3" fontId="9" fillId="6" borderId="1" xfId="1" applyNumberFormat="1" applyFont="1" applyFill="1" applyBorder="1"/>
    <xf numFmtId="164" fontId="9" fillId="6" borderId="1" xfId="2" applyNumberFormat="1" applyFont="1" applyFill="1" applyBorder="1"/>
    <xf numFmtId="0" fontId="9" fillId="6" borderId="1" xfId="0" applyFont="1" applyFill="1" applyBorder="1" applyAlignment="1">
      <alignment horizontal="center"/>
    </xf>
    <xf numFmtId="0" fontId="9" fillId="6" borderId="1" xfId="3" applyFont="1" applyFill="1" applyBorder="1"/>
    <xf numFmtId="0" fontId="14" fillId="6" borderId="1" xfId="0" applyFont="1" applyFill="1" applyBorder="1" applyAlignment="1">
      <alignment horizontal="center"/>
    </xf>
    <xf numFmtId="167" fontId="0" fillId="4" borderId="1" xfId="5" applyNumberFormat="1" applyFont="1" applyFill="1" applyBorder="1"/>
    <xf numFmtId="0" fontId="15" fillId="0" borderId="0" xfId="0" applyFont="1"/>
    <xf numFmtId="0" fontId="0" fillId="6" borderId="1" xfId="0" applyFill="1" applyBorder="1" applyAlignment="1">
      <alignment horizontal="center"/>
    </xf>
    <xf numFmtId="0" fontId="9" fillId="6" borderId="2" xfId="3" applyFont="1" applyFill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6" borderId="1" xfId="3" applyFont="1" applyFill="1" applyBorder="1" applyAlignment="1">
      <alignment horizontal="center"/>
    </xf>
    <xf numFmtId="167" fontId="10" fillId="3" borderId="1" xfId="2" applyNumberFormat="1" applyFont="1" applyBorder="1"/>
    <xf numFmtId="164" fontId="9" fillId="6" borderId="1" xfId="6" applyNumberFormat="1" applyFont="1" applyFill="1" applyBorder="1"/>
    <xf numFmtId="0" fontId="0" fillId="0" borderId="0" xfId="0" applyAlignment="1">
      <alignment vertical="top" wrapText="1"/>
    </xf>
    <xf numFmtId="9" fontId="0" fillId="0" borderId="0" xfId="6" applyFont="1"/>
    <xf numFmtId="169" fontId="0" fillId="0" borderId="0" xfId="6" applyNumberFormat="1" applyFont="1"/>
    <xf numFmtId="168" fontId="0" fillId="0" borderId="0" xfId="0" applyNumberFormat="1"/>
    <xf numFmtId="0" fontId="23" fillId="0" borderId="0" xfId="0" applyFont="1" applyAlignment="1">
      <alignment vertical="center"/>
    </xf>
    <xf numFmtId="0" fontId="3" fillId="6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8" fillId="0" borderId="0" xfId="4" applyFont="1" applyAlignment="1">
      <alignment horizontal="center"/>
    </xf>
    <xf numFmtId="0" fontId="8" fillId="0" borderId="0" xfId="4" applyFont="1" applyAlignment="1">
      <alignment horizontal="center" wrapText="1"/>
    </xf>
    <xf numFmtId="0" fontId="9" fillId="5" borderId="3" xfId="3" applyFont="1" applyBorder="1" applyAlignment="1">
      <alignment horizontal="center" vertical="center"/>
    </xf>
  </cellXfs>
  <cellStyles count="7">
    <cellStyle name="Calculation" xfId="3" builtinId="22"/>
    <cellStyle name="Comma" xfId="5" builtinId="3"/>
    <cellStyle name="Explanatory Text" xfId="4" builtinId="53"/>
    <cellStyle name="Good" xfId="1" builtinId="26"/>
    <cellStyle name="Neutral" xfId="2" builtinId="28"/>
    <cellStyle name="Normal" xfId="0" builtinId="0"/>
    <cellStyle name="Percent" xfId="6" builtinId="5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140155</xdr:rowOff>
    </xdr:from>
    <xdr:to>
      <xdr:col>5</xdr:col>
      <xdr:colOff>612321</xdr:colOff>
      <xdr:row>46</xdr:row>
      <xdr:rowOff>169491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F571C4-64AA-FB0B-8D98-400AF2677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95726"/>
          <a:ext cx="7034892" cy="4628551"/>
        </a:xfrm>
        <a:prstGeom prst="rect">
          <a:avLst/>
        </a:prstGeom>
      </xdr:spPr>
    </xdr:pic>
    <xdr:clientData/>
  </xdr:twoCellAnchor>
  <xdr:twoCellAnchor editAs="oneCell">
    <xdr:from>
      <xdr:col>4</xdr:col>
      <xdr:colOff>1230086</xdr:colOff>
      <xdr:row>21</xdr:row>
      <xdr:rowOff>16328</xdr:rowOff>
    </xdr:from>
    <xdr:to>
      <xdr:col>6</xdr:col>
      <xdr:colOff>41057</xdr:colOff>
      <xdr:row>30</xdr:row>
      <xdr:rowOff>6981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B4E5E3-A8EC-6514-1F0D-D36828D2BF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073"/>
        <a:stretch/>
      </xdr:blipFill>
      <xdr:spPr>
        <a:xfrm>
          <a:off x="4944836" y="3554185"/>
          <a:ext cx="2376042" cy="158268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</xdr:row>
      <xdr:rowOff>121487</xdr:rowOff>
    </xdr:from>
    <xdr:to>
      <xdr:col>4</xdr:col>
      <xdr:colOff>2571750</xdr:colOff>
      <xdr:row>46</xdr:row>
      <xdr:rowOff>141698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8B8778-9CDE-0A77-8347-80403AEEE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020308"/>
          <a:ext cx="6286499" cy="1081568"/>
        </a:xfrm>
        <a:prstGeom prst="rect">
          <a:avLst/>
        </a:prstGeom>
      </xdr:spPr>
    </xdr:pic>
    <xdr:clientData/>
  </xdr:twoCellAnchor>
  <xdr:twoCellAnchor>
    <xdr:from>
      <xdr:col>1</xdr:col>
      <xdr:colOff>1149350</xdr:colOff>
      <xdr:row>26</xdr:row>
      <xdr:rowOff>57604</xdr:rowOff>
    </xdr:from>
    <xdr:to>
      <xdr:col>2</xdr:col>
      <xdr:colOff>1044576</xdr:colOff>
      <xdr:row>29</xdr:row>
      <xdr:rowOff>57604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F52200-9FED-7410-4C98-1D4EA9B3059D}"/>
            </a:ext>
          </a:extLst>
        </xdr:cNvPr>
        <xdr:cNvSpPr txBox="1"/>
      </xdr:nvSpPr>
      <xdr:spPr>
        <a:xfrm>
          <a:off x="1326243" y="4479925"/>
          <a:ext cx="1881869" cy="530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Right Bank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388620</xdr:colOff>
      <xdr:row>39</xdr:row>
      <xdr:rowOff>15240</xdr:rowOff>
    </xdr:from>
    <xdr:to>
      <xdr:col>10</xdr:col>
      <xdr:colOff>201295</xdr:colOff>
      <xdr:row>57</xdr:row>
      <xdr:rowOff>154940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5620" y="929640"/>
          <a:ext cx="3154680" cy="4132580"/>
        </a:xfrm>
        <a:prstGeom prst="rect">
          <a:avLst/>
        </a:prstGeom>
      </xdr:spPr>
    </xdr:pic>
    <xdr:clientData/>
  </xdr:twoCellAnchor>
  <xdr:twoCellAnchor editAs="oneCell">
    <xdr:from>
      <xdr:col>6</xdr:col>
      <xdr:colOff>579114</xdr:colOff>
      <xdr:row>63</xdr:row>
      <xdr:rowOff>45712</xdr:rowOff>
    </xdr:from>
    <xdr:to>
      <xdr:col>10</xdr:col>
      <xdr:colOff>46083</xdr:colOff>
      <xdr:row>73</xdr:row>
      <xdr:rowOff>201203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1914" y="1142992"/>
          <a:ext cx="2815324" cy="238370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6</xdr:col>
      <xdr:colOff>487677</xdr:colOff>
      <xdr:row>86</xdr:row>
      <xdr:rowOff>68576</xdr:rowOff>
    </xdr:from>
    <xdr:to>
      <xdr:col>10</xdr:col>
      <xdr:colOff>136136</xdr:colOff>
      <xdr:row>94</xdr:row>
      <xdr:rowOff>87758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4677" y="1165856"/>
          <a:ext cx="2993639" cy="1814327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O20"/>
  <sheetViews>
    <sheetView tabSelected="1" zoomScale="120" zoomScaleNormal="120" workbookViewId="0">
      <selection activeCell="C8" sqref="C8"/>
    </sheetView>
  </sheetViews>
  <sheetFormatPr defaultRowHeight="15" x14ac:dyDescent="0.25"/>
  <cols>
    <col min="1" max="1" width="2.42578125" customWidth="1"/>
    <col min="2" max="2" width="28.42578125" bestFit="1" customWidth="1"/>
    <col min="3" max="3" width="18.42578125" bestFit="1" customWidth="1"/>
    <col min="4" max="4" width="3.5703125" customWidth="1"/>
    <col min="5" max="5" width="39" bestFit="1" customWidth="1"/>
    <col min="6" max="6" width="12.140625" bestFit="1" customWidth="1"/>
  </cols>
  <sheetData>
    <row r="1" spans="2:15" ht="30.6" customHeight="1" x14ac:dyDescent="0.25">
      <c r="B1" s="67" t="s">
        <v>0</v>
      </c>
      <c r="C1" s="67"/>
      <c r="D1" s="67"/>
      <c r="E1" s="67"/>
      <c r="F1" s="67"/>
    </row>
    <row r="2" spans="2:15" x14ac:dyDescent="0.25">
      <c r="B2" s="66" t="s">
        <v>1</v>
      </c>
      <c r="C2" s="66"/>
      <c r="E2" s="66" t="s">
        <v>2</v>
      </c>
      <c r="F2" s="66"/>
    </row>
    <row r="3" spans="2:15" ht="14.45" customHeight="1" x14ac:dyDescent="0.25">
      <c r="B3" s="23" t="s">
        <v>3</v>
      </c>
      <c r="C3" s="38">
        <v>16</v>
      </c>
      <c r="E3" s="23" t="s">
        <v>4</v>
      </c>
      <c r="F3" s="37">
        <v>30</v>
      </c>
      <c r="H3" s="61"/>
      <c r="I3" s="61"/>
      <c r="J3" s="61"/>
      <c r="K3" s="61"/>
      <c r="L3" s="61"/>
      <c r="M3" s="61"/>
      <c r="N3" s="61"/>
      <c r="O3" s="61"/>
    </row>
    <row r="4" spans="2:15" x14ac:dyDescent="0.25">
      <c r="B4" s="23" t="s">
        <v>5</v>
      </c>
      <c r="C4" s="39">
        <v>0.375</v>
      </c>
      <c r="E4" s="23" t="s">
        <v>6</v>
      </c>
      <c r="F4" s="37">
        <v>100</v>
      </c>
      <c r="H4" s="61"/>
      <c r="I4" s="61"/>
      <c r="J4" s="61"/>
      <c r="K4" s="61"/>
      <c r="L4" s="61"/>
      <c r="M4" s="61"/>
      <c r="N4" s="61"/>
      <c r="O4" s="61"/>
    </row>
    <row r="5" spans="2:15" x14ac:dyDescent="0.25">
      <c r="B5" s="23" t="s">
        <v>7</v>
      </c>
      <c r="C5" s="26" t="s">
        <v>8</v>
      </c>
      <c r="E5" s="23" t="s">
        <v>9</v>
      </c>
      <c r="F5" s="37">
        <v>125</v>
      </c>
      <c r="H5" s="61"/>
      <c r="I5" s="61"/>
      <c r="J5" s="61"/>
      <c r="K5" s="61"/>
      <c r="L5" s="61"/>
      <c r="M5" s="61"/>
      <c r="N5" s="61"/>
      <c r="O5" s="61"/>
    </row>
    <row r="6" spans="2:15" x14ac:dyDescent="0.25">
      <c r="B6" s="23" t="s">
        <v>10</v>
      </c>
      <c r="C6" s="38">
        <v>11.2</v>
      </c>
      <c r="E6" s="23" t="s">
        <v>11</v>
      </c>
      <c r="F6" s="26" t="s">
        <v>12</v>
      </c>
      <c r="H6" s="61"/>
      <c r="I6" s="61"/>
      <c r="J6" s="61"/>
      <c r="K6" s="61"/>
      <c r="L6" s="61"/>
      <c r="M6" s="61"/>
      <c r="N6" s="61"/>
      <c r="O6" s="61"/>
    </row>
    <row r="7" spans="2:15" x14ac:dyDescent="0.25">
      <c r="B7" s="23" t="s">
        <v>13</v>
      </c>
      <c r="C7" s="37">
        <v>7</v>
      </c>
    </row>
    <row r="8" spans="2:15" x14ac:dyDescent="0.25">
      <c r="B8" s="23" t="s">
        <v>14</v>
      </c>
      <c r="C8" s="26" t="s">
        <v>50</v>
      </c>
    </row>
    <row r="9" spans="2:15" x14ac:dyDescent="0.25">
      <c r="B9" s="23" t="s">
        <v>16</v>
      </c>
      <c r="C9" s="25">
        <v>1440</v>
      </c>
    </row>
    <row r="10" spans="2:15" x14ac:dyDescent="0.25">
      <c r="B10" s="65" t="s">
        <v>17</v>
      </c>
    </row>
    <row r="11" spans="2:15" x14ac:dyDescent="0.25">
      <c r="B11" t="s">
        <v>18</v>
      </c>
    </row>
    <row r="12" spans="2:15" x14ac:dyDescent="0.25">
      <c r="B12" s="66" t="s">
        <v>19</v>
      </c>
      <c r="C12" s="66"/>
    </row>
    <row r="13" spans="2:15" x14ac:dyDescent="0.25">
      <c r="B13" s="23" t="str">
        <f>IF($F$6="Parallel","Longitudinal Force (lb/ft)","Transverse Force (lb/ft)")</f>
        <v>Longitudinal Force (lb/ft)</v>
      </c>
      <c r="C13" s="45">
        <f>IF($F$6="Parallel",Calcs!D67,Calcs!D90)</f>
        <v>1942.925871157033</v>
      </c>
    </row>
    <row r="14" spans="2:15" x14ac:dyDescent="0.25">
      <c r="B14" s="23" t="str">
        <f>IF($F$6="Parallel","Axial Stress (psi)","Bending Stress (psi)")</f>
        <v>Axial Stress (psi)</v>
      </c>
      <c r="C14" s="45">
        <f>IF($F$6="Parallel",Calcs!D73,Calcs!D94)</f>
        <v>360.76396586506354</v>
      </c>
    </row>
    <row r="15" spans="2:15" x14ac:dyDescent="0.25">
      <c r="B15" s="23" t="s">
        <v>20</v>
      </c>
      <c r="C15" s="45">
        <f>Calcs!D80</f>
        <v>12720.000000000004</v>
      </c>
    </row>
    <row r="16" spans="2:15" x14ac:dyDescent="0.25">
      <c r="B16" s="23" t="s">
        <v>21</v>
      </c>
      <c r="C16" s="45">
        <f>IF($F$6="Parallel",Calcs!D82,Calcs!D103)</f>
        <v>246.80957197732889</v>
      </c>
    </row>
    <row r="17" spans="2:3" x14ac:dyDescent="0.25">
      <c r="B17" s="23" t="s">
        <v>22</v>
      </c>
      <c r="C17" s="24" t="str">
        <f>IF(ISERROR(C14),"",IF(C14&gt;C15,"Exceeds","Does Not Exceed"))</f>
        <v>Does Not Exceed</v>
      </c>
    </row>
    <row r="18" spans="2:3" x14ac:dyDescent="0.25">
      <c r="B18" t="s">
        <v>23</v>
      </c>
    </row>
    <row r="19" spans="2:3" x14ac:dyDescent="0.25">
      <c r="B19" t="s">
        <v>24</v>
      </c>
      <c r="C19" t="s">
        <v>25</v>
      </c>
    </row>
    <row r="20" spans="2:3" x14ac:dyDescent="0.25">
      <c r="B20">
        <v>7</v>
      </c>
      <c r="C20" t="s">
        <v>26</v>
      </c>
    </row>
  </sheetData>
  <mergeCells count="4">
    <mergeCell ref="B2:C2"/>
    <mergeCell ref="E2:F2"/>
    <mergeCell ref="B12:C12"/>
    <mergeCell ref="B1:F1"/>
  </mergeCells>
  <conditionalFormatting sqref="C17">
    <cfRule type="cellIs" dxfId="9" priority="2" operator="equal">
      <formula>"Does Not Exceed"</formula>
    </cfRule>
    <cfRule type="expression" dxfId="8" priority="3">
      <formula>$C$17="Exceeds"</formula>
    </cfRule>
  </conditionalFormatting>
  <dataValidations count="1">
    <dataValidation type="list" allowBlank="1" showInputMessage="1" showErrorMessage="1" sqref="F6" xr:uid="{00000000-0002-0000-0000-000000000000}">
      <formula1>"Parallel, Perpendicular"</formula1>
    </dataValidation>
  </dataValidations>
  <pageMargins left="0.7" right="0.7" top="0.75" bottom="0.75" header="0.3" footer="0.3"/>
  <pageSetup scale="7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Calcs!$M$63:$M$67</xm:f>
          </x14:formula1>
          <xm:sqref>C5</xm:sqref>
        </x14:dataValidation>
        <x14:dataValidation type="list" allowBlank="1" showInputMessage="1" showErrorMessage="1" xr:uid="{00000000-0002-0000-0000-000002000000}">
          <x14:formula1>
            <xm:f>Calcs!$G$4:$G$9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P103"/>
  <sheetViews>
    <sheetView topLeftCell="A96" workbookViewId="0">
      <selection activeCell="D85" sqref="D85"/>
    </sheetView>
  </sheetViews>
  <sheetFormatPr defaultRowHeight="18.75" x14ac:dyDescent="0.3"/>
  <cols>
    <col min="1" max="1" width="4.42578125" style="46" customWidth="1"/>
    <col min="2" max="2" width="39.42578125" customWidth="1"/>
    <col min="3" max="3" width="18.85546875" customWidth="1"/>
    <col min="4" max="4" width="11.42578125" customWidth="1"/>
    <col min="5" max="5" width="9" customWidth="1"/>
    <col min="6" max="6" width="9.140625" bestFit="1" customWidth="1"/>
    <col min="7" max="7" width="20.5703125" customWidth="1"/>
    <col min="8" max="8" width="10.42578125" bestFit="1" customWidth="1"/>
    <col min="13" max="13" width="11" customWidth="1"/>
    <col min="14" max="14" width="15.5703125" customWidth="1"/>
    <col min="15" max="15" width="7.42578125" customWidth="1"/>
    <col min="16" max="16" width="8.5703125" customWidth="1"/>
    <col min="19" max="19" width="24.5703125" customWidth="1"/>
  </cols>
  <sheetData>
    <row r="2" spans="1:9" x14ac:dyDescent="0.3">
      <c r="A2" s="46" t="s">
        <v>27</v>
      </c>
    </row>
    <row r="3" spans="1:9" x14ac:dyDescent="0.3">
      <c r="B3" s="33" t="s">
        <v>28</v>
      </c>
      <c r="C3" s="47" t="s">
        <v>29</v>
      </c>
      <c r="D3" s="28">
        <f>'Input&amp;Summary'!C3</f>
        <v>16</v>
      </c>
      <c r="E3" t="s">
        <v>30</v>
      </c>
      <c r="G3" s="68" t="s">
        <v>31</v>
      </c>
      <c r="H3" s="68"/>
      <c r="I3" s="18"/>
    </row>
    <row r="4" spans="1:9" x14ac:dyDescent="0.3">
      <c r="B4" s="33" t="s">
        <v>32</v>
      </c>
      <c r="C4" s="48" t="str">
        <f>'Input&amp;Summary'!C8</f>
        <v>Polyethylene</v>
      </c>
      <c r="D4" s="27">
        <f>VLOOKUP(C4,G4:H9,2,FALSE)</f>
        <v>0.6</v>
      </c>
      <c r="G4" s="6" t="s">
        <v>33</v>
      </c>
      <c r="H4" s="7">
        <v>1</v>
      </c>
    </row>
    <row r="5" spans="1:9" x14ac:dyDescent="0.3">
      <c r="B5" s="33" t="s">
        <v>34</v>
      </c>
      <c r="C5" s="47" t="s">
        <v>35</v>
      </c>
      <c r="D5" s="29">
        <f>'Input&amp;Summary'!C6</f>
        <v>11.2</v>
      </c>
      <c r="E5" t="s">
        <v>26</v>
      </c>
      <c r="G5" s="6" t="s">
        <v>36</v>
      </c>
      <c r="H5" s="7">
        <v>0.9</v>
      </c>
    </row>
    <row r="6" spans="1:9" x14ac:dyDescent="0.3">
      <c r="B6" s="33" t="s">
        <v>37</v>
      </c>
      <c r="C6" s="47" t="s">
        <v>38</v>
      </c>
      <c r="D6" s="29">
        <f>D5+D3/2/12</f>
        <v>11.866666666666665</v>
      </c>
      <c r="E6" t="s">
        <v>26</v>
      </c>
      <c r="G6" s="6" t="s">
        <v>15</v>
      </c>
      <c r="H6" s="7">
        <v>0.8</v>
      </c>
    </row>
    <row r="7" spans="1:9" x14ac:dyDescent="0.3">
      <c r="B7" s="33" t="s">
        <v>39</v>
      </c>
      <c r="C7" s="47" t="s">
        <v>40</v>
      </c>
      <c r="D7" s="28">
        <f>'Input&amp;Summary'!F4</f>
        <v>100</v>
      </c>
      <c r="E7" t="s">
        <v>41</v>
      </c>
      <c r="G7" s="6" t="s">
        <v>42</v>
      </c>
      <c r="H7" s="7">
        <v>0.7</v>
      </c>
    </row>
    <row r="8" spans="1:9" x14ac:dyDescent="0.3">
      <c r="B8" s="33" t="s">
        <v>43</v>
      </c>
      <c r="C8" s="49" t="s">
        <v>44</v>
      </c>
      <c r="D8" s="28">
        <f>'Input&amp;Summary'!F3</f>
        <v>30</v>
      </c>
      <c r="E8" t="s">
        <v>45</v>
      </c>
      <c r="G8" s="6" t="s">
        <v>46</v>
      </c>
      <c r="H8" s="7">
        <v>0.6</v>
      </c>
    </row>
    <row r="9" spans="1:9" x14ac:dyDescent="0.3">
      <c r="B9" s="33" t="s">
        <v>47</v>
      </c>
      <c r="C9" s="50" t="s">
        <v>48</v>
      </c>
      <c r="D9" s="28">
        <f>'Input&amp;Summary'!F5</f>
        <v>125</v>
      </c>
      <c r="E9" t="s">
        <v>49</v>
      </c>
      <c r="G9" s="6" t="s">
        <v>50</v>
      </c>
      <c r="H9" s="7">
        <v>0.6</v>
      </c>
    </row>
    <row r="10" spans="1:9" ht="19.5" x14ac:dyDescent="0.35">
      <c r="B10" s="33" t="s">
        <v>51</v>
      </c>
      <c r="C10" s="47" t="s">
        <v>52</v>
      </c>
      <c r="D10" s="30">
        <f>1-SIN(RADIANS(D8))</f>
        <v>0.5</v>
      </c>
    </row>
    <row r="11" spans="1:9" x14ac:dyDescent="0.3">
      <c r="B11" s="33" t="s">
        <v>53</v>
      </c>
      <c r="C11" s="49" t="s">
        <v>54</v>
      </c>
      <c r="D11" s="31">
        <f>0.608-0.123*(D7/20.89/100)-0.274/((D7/20.89/100)^2+1)+0.695/((D7/20.89/100)^3+1)</f>
        <v>1.0236622262454493</v>
      </c>
    </row>
    <row r="12" spans="1:9" x14ac:dyDescent="0.3">
      <c r="B12" s="33" t="s">
        <v>55</v>
      </c>
      <c r="C12" s="49" t="s">
        <v>56</v>
      </c>
      <c r="D12" s="32">
        <f>D4*D8</f>
        <v>18</v>
      </c>
      <c r="E12" t="s">
        <v>45</v>
      </c>
    </row>
    <row r="13" spans="1:9" x14ac:dyDescent="0.3">
      <c r="B13" s="33" t="s">
        <v>57</v>
      </c>
      <c r="C13" s="49" t="s">
        <v>58</v>
      </c>
      <c r="D13" s="30">
        <f>TAN(RADIANS(D12))</f>
        <v>0.32491969623290629</v>
      </c>
    </row>
    <row r="14" spans="1:9" x14ac:dyDescent="0.3">
      <c r="B14" s="2"/>
      <c r="C14" s="3"/>
      <c r="D14" s="3"/>
    </row>
    <row r="15" spans="1:9" x14ac:dyDescent="0.3">
      <c r="B15" s="4" t="s">
        <v>59</v>
      </c>
      <c r="C15" s="51" t="s">
        <v>60</v>
      </c>
      <c r="D15" s="21">
        <f>PI()*D3/12*(D7*D11+D6*D9*(1+D10)*0.5*D13)</f>
        <v>1942.925871157033</v>
      </c>
      <c r="E15" t="s">
        <v>61</v>
      </c>
    </row>
    <row r="16" spans="1:9" x14ac:dyDescent="0.3">
      <c r="D16" s="14">
        <f>D15/1000</f>
        <v>1.942925871157033</v>
      </c>
      <c r="E16" t="s">
        <v>62</v>
      </c>
    </row>
    <row r="18" spans="1:13" x14ac:dyDescent="0.3">
      <c r="A18" s="46" t="s">
        <v>63</v>
      </c>
    </row>
    <row r="19" spans="1:13" x14ac:dyDescent="0.3">
      <c r="B19" s="34" t="s">
        <v>28</v>
      </c>
      <c r="C19" s="42" t="s">
        <v>29</v>
      </c>
      <c r="D19" s="35">
        <f>'Input&amp;Summary'!C3</f>
        <v>16</v>
      </c>
      <c r="E19" t="s">
        <v>30</v>
      </c>
    </row>
    <row r="20" spans="1:13" x14ac:dyDescent="0.3">
      <c r="B20" s="34" t="s">
        <v>34</v>
      </c>
      <c r="C20" s="42" t="s">
        <v>35</v>
      </c>
      <c r="D20" s="35">
        <f>'Input&amp;Summary'!C6</f>
        <v>11.2</v>
      </c>
      <c r="E20" t="s">
        <v>26</v>
      </c>
      <c r="G20" s="68" t="s">
        <v>64</v>
      </c>
      <c r="H20" s="68"/>
      <c r="I20" s="68"/>
      <c r="J20" s="68"/>
      <c r="K20" s="68"/>
      <c r="L20" s="68"/>
      <c r="M20" s="68"/>
    </row>
    <row r="21" spans="1:13" x14ac:dyDescent="0.3">
      <c r="B21" s="34" t="s">
        <v>37</v>
      </c>
      <c r="C21" s="42" t="s">
        <v>38</v>
      </c>
      <c r="D21" s="29">
        <f>D20+D19/2/12</f>
        <v>11.866666666666665</v>
      </c>
      <c r="E21" t="s">
        <v>26</v>
      </c>
    </row>
    <row r="22" spans="1:13" x14ac:dyDescent="0.3">
      <c r="B22" s="34" t="s">
        <v>47</v>
      </c>
      <c r="C22" s="52" t="s">
        <v>48</v>
      </c>
      <c r="D22" s="35">
        <f>'Input&amp;Summary'!F5</f>
        <v>125</v>
      </c>
      <c r="E22" t="s">
        <v>49</v>
      </c>
      <c r="H22" s="9" t="s">
        <v>65</v>
      </c>
      <c r="I22" s="9" t="s">
        <v>66</v>
      </c>
      <c r="J22" s="9" t="s">
        <v>67</v>
      </c>
      <c r="K22" s="9" t="s">
        <v>40</v>
      </c>
      <c r="L22" s="9" t="s">
        <v>68</v>
      </c>
      <c r="M22" s="9" t="s">
        <v>69</v>
      </c>
    </row>
    <row r="23" spans="1:13" x14ac:dyDescent="0.3">
      <c r="B23" s="34" t="s">
        <v>39</v>
      </c>
      <c r="C23" s="42" t="s">
        <v>40</v>
      </c>
      <c r="D23" s="35">
        <f>'Input&amp;Summary'!F4</f>
        <v>100</v>
      </c>
      <c r="E23" t="s">
        <v>41</v>
      </c>
      <c r="G23" s="19" t="s">
        <v>70</v>
      </c>
      <c r="H23" s="10">
        <v>0</v>
      </c>
      <c r="I23" s="10">
        <v>6.7519999999999998</v>
      </c>
      <c r="J23" s="10">
        <v>6.5000000000000002E-2</v>
      </c>
      <c r="K23" s="10">
        <v>-11.063000000000001</v>
      </c>
      <c r="L23" s="10">
        <v>7.1189999999999998</v>
      </c>
      <c r="M23" s="10"/>
    </row>
    <row r="24" spans="1:13" x14ac:dyDescent="0.3">
      <c r="B24" s="34" t="s">
        <v>43</v>
      </c>
      <c r="C24" s="44" t="s">
        <v>44</v>
      </c>
      <c r="D24" s="35">
        <f>'Input&amp;Summary'!F3</f>
        <v>30</v>
      </c>
      <c r="E24" t="s">
        <v>45</v>
      </c>
      <c r="G24" s="70" t="s">
        <v>71</v>
      </c>
      <c r="H24" s="10">
        <v>20</v>
      </c>
      <c r="I24" s="10">
        <v>2.399</v>
      </c>
      <c r="J24" s="10">
        <v>0.439</v>
      </c>
      <c r="K24" s="10">
        <v>-0.03</v>
      </c>
      <c r="L24" s="11">
        <v>1.059E-3</v>
      </c>
      <c r="M24" s="11">
        <v>-1.7540000000000001E-5</v>
      </c>
    </row>
    <row r="25" spans="1:13" x14ac:dyDescent="0.3">
      <c r="B25" s="34" t="s">
        <v>72</v>
      </c>
      <c r="C25" s="53" t="s">
        <v>73</v>
      </c>
      <c r="D25" s="30">
        <f>IF(D27+D28*D32+D29/(D32+1)^2+D30/(D32+1)^3&gt;9,9,D27+D28*D32+D29/(D32+1)^2+D30/(D32+1)^3)</f>
        <v>4.5658986216292989</v>
      </c>
      <c r="G25" s="70"/>
      <c r="H25" s="10">
        <v>25</v>
      </c>
      <c r="I25" s="10">
        <v>3.3319999999999999</v>
      </c>
      <c r="J25" s="10">
        <v>0.83899999999999997</v>
      </c>
      <c r="K25" s="10">
        <v>-0.09</v>
      </c>
      <c r="L25" s="11">
        <v>5.6059999999999999E-3</v>
      </c>
      <c r="M25" s="11">
        <v>-1.3190000000000001E-4</v>
      </c>
    </row>
    <row r="26" spans="1:13" x14ac:dyDescent="0.3">
      <c r="B26" s="34" t="s">
        <v>74</v>
      </c>
      <c r="C26" s="53" t="s">
        <v>75</v>
      </c>
      <c r="D26" s="30">
        <f>D27+D28*D32+D29*D32^2+D30*D32^3+D31*D32^4</f>
        <v>4.6409290900392657</v>
      </c>
      <c r="G26" s="70"/>
      <c r="H26" s="10">
        <v>30</v>
      </c>
      <c r="I26" s="10">
        <v>4.5650000000000004</v>
      </c>
      <c r="J26" s="10">
        <v>1.234</v>
      </c>
      <c r="K26" s="10">
        <v>-8.8999999999999996E-2</v>
      </c>
      <c r="L26" s="11">
        <v>4.2750000000000002E-3</v>
      </c>
      <c r="M26" s="11">
        <v>-9.1589999999999996E-5</v>
      </c>
    </row>
    <row r="27" spans="1:13" x14ac:dyDescent="0.3">
      <c r="B27" s="34" t="s">
        <v>66</v>
      </c>
      <c r="C27" s="34"/>
      <c r="D27" s="30">
        <f>IF($D$24&gt;=45,$I$29,(INDEX($H$23:$M$29,MATCH($D$24,$H$23:$H$29,1)+1,2)-INDEX($H$23:$M$29,MATCH($D$24,$H$23:$H$29,1),2))/(INDEX($H$23:$M$29,MATCH($D$24,$H$23:$H$29,1)+1,1)-INDEX($H$23:$M$29,MATCH($D$24,$H$23:$H$29,1),1))*($D$24-INDEX($H$23:$M$29,MATCH($D$24,$H$23:$H$29,1),1))+INDEX($H$23:$M$29,MATCH($D$24,$H$23:$H$29,1),2))</f>
        <v>4.5650000000000004</v>
      </c>
      <c r="G27" s="70"/>
      <c r="H27" s="10">
        <v>35</v>
      </c>
      <c r="I27" s="10">
        <v>6.8159999999999998</v>
      </c>
      <c r="J27" s="10">
        <v>2.0190000000000001</v>
      </c>
      <c r="K27" s="10">
        <v>-0.14599999999999999</v>
      </c>
      <c r="L27" s="11">
        <v>7.6509999999999998E-3</v>
      </c>
      <c r="M27" s="11">
        <v>-1.683E-4</v>
      </c>
    </row>
    <row r="28" spans="1:13" x14ac:dyDescent="0.3">
      <c r="B28" s="34" t="s">
        <v>67</v>
      </c>
      <c r="C28" s="34"/>
      <c r="D28" s="30">
        <f>IF($D$24&gt;=45,$J$29,(INDEX($H$23:$M$29,MATCH($D$24,$H$23:$H$29,1)+1,3)-INDEX($H$23:$M$29,MATCH($D$24,$H$23:$H$29,1),3))/(INDEX($H$23:$M$29,MATCH($D$24,$H$23:$H$29,1)+1,1)-INDEX($H$23:$M$29,MATCH($D$24,$H$23:$H$29,1),1))*($D$24-INDEX($H$23:$M$29,MATCH($D$24,$H$23:$H$29,1),1))+INDEX($H$23:$M$29,MATCH($D$24,$H$23:$H$29,1),3))</f>
        <v>1.234</v>
      </c>
      <c r="G28" s="70"/>
      <c r="H28" s="10">
        <v>40</v>
      </c>
      <c r="I28" s="10">
        <v>10.959</v>
      </c>
      <c r="J28" s="10">
        <v>1.7829999999999999</v>
      </c>
      <c r="K28" s="10">
        <v>4.4999999999999998E-2</v>
      </c>
      <c r="L28" s="11">
        <v>-5.4250000000000001E-3</v>
      </c>
      <c r="M28" s="11">
        <v>-1.153E-4</v>
      </c>
    </row>
    <row r="29" spans="1:13" x14ac:dyDescent="0.3">
      <c r="B29" s="34" t="s">
        <v>40</v>
      </c>
      <c r="C29" s="34"/>
      <c r="D29" s="30">
        <f>IF($D$24&gt;=45,$K$29,(INDEX($H$23:$M$29,MATCH($D$24,$H$23:$H$29,1)+1,4)-INDEX($H$23:$M$29,MATCH($D$24,$H$23:$H$29,1),4))/(INDEX($H$23:$M$29,MATCH($D$24,$H$23:$H$29,1)+1,1)-INDEX($H$23:$M$29,MATCH($D$24,$H$23:$H$29,1),1))*($D$24-INDEX($H$23:$M$29,MATCH($D$24,$H$23:$H$29,1),1))+INDEX($H$23:$M$29,MATCH($D$24,$H$23:$H$29,1),4))</f>
        <v>-8.8999999999999996E-2</v>
      </c>
      <c r="G29" s="70"/>
      <c r="H29" s="10">
        <v>45</v>
      </c>
      <c r="I29" s="10">
        <v>17.658000000000001</v>
      </c>
      <c r="J29" s="10">
        <v>3.3090000000000002</v>
      </c>
      <c r="K29" s="10">
        <v>4.8000000000000001E-2</v>
      </c>
      <c r="L29" s="11">
        <v>-6.4429999999999999E-3</v>
      </c>
      <c r="M29" s="11">
        <v>-1.2990000000000001E-4</v>
      </c>
    </row>
    <row r="30" spans="1:13" x14ac:dyDescent="0.3">
      <c r="B30" s="34" t="s">
        <v>68</v>
      </c>
      <c r="C30" s="34"/>
      <c r="D30" s="30">
        <f>IF($D$24&gt;=45,$L$29,(INDEX($H$23:$M$29,MATCH($D$24,$H$23:$H$29,1)+1,5)-INDEX($H$23:$M$29,MATCH($D$24,$H$23:$H$29,1),5))/(INDEX($H$23:$M$29,MATCH($D$24,$H$23:$H$29,1)+1,1)-INDEX($H$23:$M$29,MATCH($D$24,$H$23:$H$29,1),1))*($D$24-INDEX($H$23:$M$29,MATCH($D$24,$H$23:$H$29,1),1))+INDEX($H$23:$M$29,MATCH($D$24,$H$23:$H$29,1),5))</f>
        <v>4.2750000000000002E-3</v>
      </c>
    </row>
    <row r="31" spans="1:13" x14ac:dyDescent="0.3">
      <c r="B31" s="34" t="s">
        <v>69</v>
      </c>
      <c r="C31" s="34"/>
      <c r="D31" s="30">
        <f>IF($D$24&gt;=45,$M$29,(INDEX($H$23:$M$29,MATCH($D$24,$H$23:$H$29,1)+1,6)-INDEX($H$23:$M$29,MATCH($D$24,$H$23:$H$29,1),6))/(INDEX($H$23:$M$29,MATCH($D$24,$H$23:$H$29,1)+1,1)-INDEX($H$23:$M$29,MATCH($D$24,$H$23:$H$29,1),1))*($D$24-INDEX($H$23:$M$29,MATCH($D$24,$H$23:$H$29,1),1))+INDEX($H$23:$M$29,MATCH($D$24,$H$23:$H$29,1),6))</f>
        <v>-9.1589999999999996E-5</v>
      </c>
    </row>
    <row r="32" spans="1:13" x14ac:dyDescent="0.3">
      <c r="B32" s="34" t="s">
        <v>76</v>
      </c>
      <c r="C32" s="34"/>
      <c r="D32" s="30">
        <f>D21/D19/12</f>
        <v>6.1805555555555551E-2</v>
      </c>
    </row>
    <row r="34" spans="1:11" x14ac:dyDescent="0.3">
      <c r="B34" s="4" t="s">
        <v>77</v>
      </c>
      <c r="C34" s="51" t="s">
        <v>78</v>
      </c>
      <c r="D34" s="21">
        <f>D25*D23*D19/12+D26*D22*D21*D19/12</f>
        <v>9787.5129054060089</v>
      </c>
      <c r="E34" t="s">
        <v>61</v>
      </c>
    </row>
    <row r="35" spans="1:11" x14ac:dyDescent="0.3">
      <c r="D35" s="14">
        <f>D34/1000</f>
        <v>9.7875129054060093</v>
      </c>
      <c r="E35" t="s">
        <v>62</v>
      </c>
    </row>
    <row r="38" spans="1:11" x14ac:dyDescent="0.3">
      <c r="A38" s="46" t="s">
        <v>79</v>
      </c>
    </row>
    <row r="39" spans="1:11" x14ac:dyDescent="0.3">
      <c r="B39" s="34" t="s">
        <v>28</v>
      </c>
      <c r="C39" s="42" t="s">
        <v>29</v>
      </c>
      <c r="D39" s="35">
        <f>'Input&amp;Summary'!C3</f>
        <v>16</v>
      </c>
      <c r="E39" t="s">
        <v>30</v>
      </c>
      <c r="G39" s="68" t="s">
        <v>80</v>
      </c>
      <c r="H39" s="68"/>
      <c r="I39" s="68"/>
      <c r="J39" s="68"/>
      <c r="K39" s="68"/>
    </row>
    <row r="40" spans="1:11" x14ac:dyDescent="0.3">
      <c r="B40" s="34" t="s">
        <v>34</v>
      </c>
      <c r="C40" s="42" t="s">
        <v>35</v>
      </c>
      <c r="D40" s="35">
        <f>'Input&amp;Summary'!C6</f>
        <v>11.2</v>
      </c>
      <c r="E40" t="s">
        <v>26</v>
      </c>
    </row>
    <row r="41" spans="1:11" x14ac:dyDescent="0.3">
      <c r="B41" s="34" t="s">
        <v>37</v>
      </c>
      <c r="C41" s="42" t="s">
        <v>38</v>
      </c>
      <c r="D41" s="29">
        <f>D40+D39/2/12</f>
        <v>11.866666666666665</v>
      </c>
      <c r="E41" t="s">
        <v>26</v>
      </c>
    </row>
    <row r="42" spans="1:11" x14ac:dyDescent="0.3">
      <c r="B42" s="34" t="s">
        <v>47</v>
      </c>
      <c r="C42" s="52" t="s">
        <v>48</v>
      </c>
      <c r="D42" s="35">
        <f>'Input&amp;Summary'!F5</f>
        <v>125</v>
      </c>
      <c r="E42" t="s">
        <v>49</v>
      </c>
    </row>
    <row r="43" spans="1:11" x14ac:dyDescent="0.3">
      <c r="B43" s="34" t="s">
        <v>81</v>
      </c>
      <c r="C43" s="44" t="s">
        <v>48</v>
      </c>
      <c r="D43" s="35">
        <f>D42</f>
        <v>125</v>
      </c>
    </row>
    <row r="44" spans="1:11" x14ac:dyDescent="0.3">
      <c r="B44" s="34" t="s">
        <v>39</v>
      </c>
      <c r="C44" s="42" t="s">
        <v>40</v>
      </c>
      <c r="D44" s="35">
        <f>'Input&amp;Summary'!F4</f>
        <v>100</v>
      </c>
      <c r="E44" t="s">
        <v>41</v>
      </c>
    </row>
    <row r="45" spans="1:11" x14ac:dyDescent="0.3">
      <c r="B45" s="34" t="s">
        <v>43</v>
      </c>
      <c r="C45" s="44" t="s">
        <v>44</v>
      </c>
      <c r="D45" s="35">
        <f>'Input&amp;Summary'!F3</f>
        <v>30</v>
      </c>
      <c r="E45" t="s">
        <v>45</v>
      </c>
    </row>
    <row r="46" spans="1:11" x14ac:dyDescent="0.3">
      <c r="B46" s="2"/>
      <c r="C46" s="54"/>
      <c r="D46" s="13"/>
    </row>
    <row r="47" spans="1:11" x14ac:dyDescent="0.3">
      <c r="B47" s="34" t="s">
        <v>82</v>
      </c>
      <c r="C47" s="53" t="s">
        <v>83</v>
      </c>
      <c r="D47" s="31">
        <f>_xlfn.COT(RADIANS(D45+0.001))*(EXP(PI()*TAN(RADIANS(D45+0.001)))*TAN(RADIANS(45+(D45+0.001)/2))^2-1)</f>
        <v>30.142027811094692</v>
      </c>
    </row>
    <row r="48" spans="1:11" x14ac:dyDescent="0.3">
      <c r="B48" s="34" t="s">
        <v>82</v>
      </c>
      <c r="C48" s="53" t="s">
        <v>84</v>
      </c>
      <c r="D48" s="31">
        <f>EXP(PI()*TAN(RADIANS(D45)))*TAN(RADIANS(45+D45/2))^2</f>
        <v>18.401122218708668</v>
      </c>
    </row>
    <row r="49" spans="1:16" x14ac:dyDescent="0.3">
      <c r="B49" s="34" t="s">
        <v>82</v>
      </c>
      <c r="C49" s="53" t="s">
        <v>85</v>
      </c>
      <c r="D49" s="31">
        <f>EXP(0.18*D45-2.5)</f>
        <v>18.17414536944305</v>
      </c>
    </row>
    <row r="51" spans="1:16" ht="19.5" x14ac:dyDescent="0.35">
      <c r="B51" s="36" t="s">
        <v>86</v>
      </c>
      <c r="C51" s="47" t="s">
        <v>87</v>
      </c>
      <c r="D51" s="21">
        <f>D47*D44*D39/12+D48*D42*D41*D39/12+D49*D43*0.5*(D39/12)^2</f>
        <v>42431.617137307883</v>
      </c>
      <c r="E51" t="s">
        <v>61</v>
      </c>
    </row>
    <row r="52" spans="1:16" x14ac:dyDescent="0.3">
      <c r="D52" s="14">
        <f>D51/1000</f>
        <v>42.431617137307882</v>
      </c>
      <c r="E52" t="s">
        <v>62</v>
      </c>
    </row>
    <row r="54" spans="1:16" x14ac:dyDescent="0.3">
      <c r="B54" s="33" t="s">
        <v>82</v>
      </c>
      <c r="C54" s="55" t="s">
        <v>88</v>
      </c>
      <c r="D54" s="30">
        <f>IF(2*(D41/D39/12)&gt;10,10,2*(D41/D39/12))</f>
        <v>0.1236111111111111</v>
      </c>
      <c r="E54" t="str">
        <f>IF(D54&lt;10,"&lt;10 ok","error")</f>
        <v>&lt;10 ok</v>
      </c>
    </row>
    <row r="55" spans="1:16" x14ac:dyDescent="0.3">
      <c r="B55" s="33" t="s">
        <v>82</v>
      </c>
      <c r="C55" s="55" t="s">
        <v>89</v>
      </c>
      <c r="D55" s="27">
        <f>IF(D45*D41/(44*(D39/12))&gt;D48,D48,D45*D41/(44*(D39/12)))</f>
        <v>6.0681818181818175</v>
      </c>
      <c r="E55" t="str">
        <f>IF(D55&lt;D48,"&lt;Nq ok","error")</f>
        <v>&lt;Nq ok</v>
      </c>
    </row>
    <row r="57" spans="1:16" ht="19.5" x14ac:dyDescent="0.35">
      <c r="B57" s="36" t="s">
        <v>90</v>
      </c>
      <c r="C57" s="47" t="s">
        <v>91</v>
      </c>
      <c r="D57" s="5">
        <f>D54*D44*D39/12+D55*D42*D41*D39/12</f>
        <v>12017.996632996628</v>
      </c>
      <c r="E57" t="s">
        <v>61</v>
      </c>
    </row>
    <row r="58" spans="1:16" x14ac:dyDescent="0.3">
      <c r="D58" s="14">
        <f>D57/1000</f>
        <v>12.017996632996628</v>
      </c>
      <c r="E58" t="s">
        <v>62</v>
      </c>
    </row>
    <row r="61" spans="1:16" x14ac:dyDescent="0.3">
      <c r="A61" s="46" t="s">
        <v>92</v>
      </c>
    </row>
    <row r="62" spans="1:16" x14ac:dyDescent="0.3">
      <c r="B62" s="34" t="s">
        <v>28</v>
      </c>
      <c r="C62" s="42" t="s">
        <v>29</v>
      </c>
      <c r="D62" s="35">
        <f>'Input&amp;Summary'!C3</f>
        <v>16</v>
      </c>
      <c r="E62" t="s">
        <v>30</v>
      </c>
      <c r="G62" s="69" t="s">
        <v>93</v>
      </c>
      <c r="H62" s="69"/>
      <c r="I62" s="69"/>
      <c r="J62" s="69"/>
      <c r="K62" s="69"/>
      <c r="L62" s="12"/>
      <c r="M62" s="8" t="s">
        <v>94</v>
      </c>
      <c r="N62" s="9" t="s">
        <v>95</v>
      </c>
      <c r="O62" s="9" t="s">
        <v>96</v>
      </c>
      <c r="P62" s="9" t="s">
        <v>97</v>
      </c>
    </row>
    <row r="63" spans="1:16" x14ac:dyDescent="0.3">
      <c r="B63" s="34" t="s">
        <v>98</v>
      </c>
      <c r="C63" s="42" t="s">
        <v>99</v>
      </c>
      <c r="D63" s="35">
        <f>'Input&amp;Summary'!C4</f>
        <v>0.375</v>
      </c>
      <c r="E63" t="s">
        <v>30</v>
      </c>
      <c r="G63" s="69"/>
      <c r="H63" s="69"/>
      <c r="I63" s="69"/>
      <c r="J63" s="69"/>
      <c r="K63" s="69"/>
      <c r="M63" s="15" t="s">
        <v>100</v>
      </c>
      <c r="N63" s="16">
        <v>35000</v>
      </c>
      <c r="O63" s="16">
        <v>10</v>
      </c>
      <c r="P63" s="16">
        <v>100</v>
      </c>
    </row>
    <row r="64" spans="1:16" x14ac:dyDescent="0.3">
      <c r="B64" s="34" t="s">
        <v>101</v>
      </c>
      <c r="C64" s="42" t="str">
        <f>'Input&amp;Summary'!C5</f>
        <v>X-52</v>
      </c>
      <c r="D64" s="35">
        <f>VLOOKUP(C64,M63:N67,2)</f>
        <v>52000</v>
      </c>
      <c r="E64" t="s">
        <v>105</v>
      </c>
      <c r="F64" s="62">
        <f>1.76*D63/D62</f>
        <v>4.1250000000000002E-2</v>
      </c>
      <c r="G64" s="20"/>
      <c r="H64" s="20"/>
      <c r="I64" s="20"/>
      <c r="J64" s="20"/>
      <c r="K64" s="20"/>
      <c r="M64" s="15" t="s">
        <v>102</v>
      </c>
      <c r="N64" s="16">
        <v>42000</v>
      </c>
      <c r="O64" s="16">
        <v>15</v>
      </c>
      <c r="P64" s="16">
        <v>32</v>
      </c>
    </row>
    <row r="65" spans="2:16" x14ac:dyDescent="0.3">
      <c r="B65" s="34" t="s">
        <v>103</v>
      </c>
      <c r="C65" s="44" t="s">
        <v>104</v>
      </c>
      <c r="D65" s="40">
        <v>29000000</v>
      </c>
      <c r="E65" t="s">
        <v>105</v>
      </c>
      <c r="F65" s="62"/>
      <c r="M65" s="15" t="s">
        <v>8</v>
      </c>
      <c r="N65" s="16">
        <v>52000</v>
      </c>
      <c r="O65" s="16">
        <v>9</v>
      </c>
      <c r="P65" s="16">
        <v>10</v>
      </c>
    </row>
    <row r="66" spans="2:16" x14ac:dyDescent="0.3">
      <c r="B66" s="34" t="s">
        <v>106</v>
      </c>
      <c r="C66" s="44" t="s">
        <v>107</v>
      </c>
      <c r="D66" s="35">
        <f>'Input&amp;Summary'!C7</f>
        <v>7</v>
      </c>
      <c r="E66" t="s">
        <v>26</v>
      </c>
      <c r="M66" s="15" t="s">
        <v>108</v>
      </c>
      <c r="N66" s="16">
        <v>60000</v>
      </c>
      <c r="O66" s="16">
        <v>10</v>
      </c>
      <c r="P66" s="16">
        <v>12</v>
      </c>
    </row>
    <row r="67" spans="2:16" x14ac:dyDescent="0.3">
      <c r="B67" s="34" t="s">
        <v>59</v>
      </c>
      <c r="C67" s="44" t="s">
        <v>60</v>
      </c>
      <c r="D67" s="31">
        <f>Calcs!D15</f>
        <v>1942.925871157033</v>
      </c>
      <c r="E67" t="s">
        <v>61</v>
      </c>
      <c r="M67" s="15" t="s">
        <v>109</v>
      </c>
      <c r="N67" s="16">
        <v>70000</v>
      </c>
      <c r="O67" s="16">
        <v>5.5</v>
      </c>
      <c r="P67" s="16">
        <v>16.600000000000001</v>
      </c>
    </row>
    <row r="68" spans="2:16" x14ac:dyDescent="0.3">
      <c r="B68" s="2"/>
      <c r="C68" s="54"/>
      <c r="D68" s="13"/>
    </row>
    <row r="69" spans="2:16" x14ac:dyDescent="0.3">
      <c r="B69" s="34" t="s">
        <v>110</v>
      </c>
      <c r="C69" s="56" t="s">
        <v>111</v>
      </c>
      <c r="D69" s="60">
        <f>D67*D66/(2*PI()*D62*D63*D65)</f>
        <v>1.2440136753967709E-5</v>
      </c>
      <c r="F69" s="64"/>
      <c r="O69" s="1">
        <f>LOOKUP(C64,M63:M67,O63:O67)</f>
        <v>9</v>
      </c>
      <c r="P69" s="1">
        <f>LOOKUP(C64,M63:M67,P63:P67)</f>
        <v>10</v>
      </c>
    </row>
    <row r="70" spans="2:16" x14ac:dyDescent="0.3">
      <c r="B70" s="34" t="s">
        <v>112</v>
      </c>
      <c r="C70" s="56" t="s">
        <v>113</v>
      </c>
      <c r="D70" s="41">
        <f>D67*D66/(2*PI()*D62*D63)/D65*(O69/(1+P69))*(D67*D66/(2*PI()*D62*D63)/D64)^P69</f>
        <v>2.6294993459850124E-27</v>
      </c>
    </row>
    <row r="71" spans="2:16" x14ac:dyDescent="0.3">
      <c r="B71" s="34" t="s">
        <v>114</v>
      </c>
      <c r="C71" s="56" t="s">
        <v>115</v>
      </c>
      <c r="D71" s="41">
        <f>D69+D70</f>
        <v>1.2440136753967709E-5</v>
      </c>
    </row>
    <row r="73" spans="2:16" ht="19.5" x14ac:dyDescent="0.35">
      <c r="B73" s="4" t="s">
        <v>116</v>
      </c>
      <c r="C73" s="57" t="s">
        <v>117</v>
      </c>
      <c r="D73" s="59">
        <f>D69*D65</f>
        <v>360.76396586506354</v>
      </c>
      <c r="E73" t="s">
        <v>105</v>
      </c>
      <c r="F73" t="str">
        <f>IF(D73&gt;D80, "FAIL","PASS")</f>
        <v>PASS</v>
      </c>
    </row>
    <row r="75" spans="2:16" x14ac:dyDescent="0.3">
      <c r="B75" s="17" t="s">
        <v>118</v>
      </c>
      <c r="C75" s="58"/>
      <c r="D75" s="35">
        <v>0.54</v>
      </c>
    </row>
    <row r="76" spans="2:16" x14ac:dyDescent="0.3">
      <c r="B76" s="17" t="s">
        <v>119</v>
      </c>
      <c r="C76" s="58" t="s">
        <v>120</v>
      </c>
      <c r="D76" s="35">
        <f>D62-2*D63</f>
        <v>15.25</v>
      </c>
      <c r="E76" t="s">
        <v>121</v>
      </c>
    </row>
    <row r="77" spans="2:16" x14ac:dyDescent="0.3">
      <c r="B77" s="17" t="s">
        <v>122</v>
      </c>
      <c r="C77" s="58" t="s">
        <v>123</v>
      </c>
      <c r="D77" s="35">
        <f>'Input&amp;Summary'!C9</f>
        <v>1440</v>
      </c>
      <c r="E77" t="s">
        <v>105</v>
      </c>
    </row>
    <row r="78" spans="2:16" x14ac:dyDescent="0.3">
      <c r="B78" s="17" t="s">
        <v>124</v>
      </c>
      <c r="C78" s="58"/>
      <c r="D78" s="27">
        <f>D75*D64</f>
        <v>28080.000000000004</v>
      </c>
      <c r="E78" t="s">
        <v>105</v>
      </c>
      <c r="H78" s="22"/>
    </row>
    <row r="79" spans="2:16" x14ac:dyDescent="0.3">
      <c r="B79" s="17" t="s">
        <v>125</v>
      </c>
      <c r="C79" s="58"/>
      <c r="D79" s="31">
        <f>D77*D62/(4*D63)</f>
        <v>15360</v>
      </c>
      <c r="E79" t="s">
        <v>105</v>
      </c>
      <c r="H79" s="22"/>
    </row>
    <row r="80" spans="2:16" x14ac:dyDescent="0.3">
      <c r="B80" s="17" t="s">
        <v>126</v>
      </c>
      <c r="C80" s="58"/>
      <c r="D80" s="31">
        <f>D78-D79</f>
        <v>12720.000000000004</v>
      </c>
      <c r="E80" t="s">
        <v>105</v>
      </c>
      <c r="F80" s="63"/>
    </row>
    <row r="82" spans="1:13" x14ac:dyDescent="0.3">
      <c r="B82" s="17" t="s">
        <v>127</v>
      </c>
      <c r="C82" s="58"/>
      <c r="D82" s="31">
        <f>(D80/D65)*(2*PI()*D62*D63*D65)/D67</f>
        <v>246.80957197732889</v>
      </c>
      <c r="E82" t="s">
        <v>26</v>
      </c>
    </row>
    <row r="84" spans="1:13" x14ac:dyDescent="0.3">
      <c r="A84" s="46" t="s">
        <v>128</v>
      </c>
    </row>
    <row r="85" spans="1:13" x14ac:dyDescent="0.3">
      <c r="B85" s="34" t="s">
        <v>28</v>
      </c>
      <c r="C85" s="42" t="s">
        <v>29</v>
      </c>
      <c r="D85" s="29">
        <f>'Input&amp;Summary'!C3</f>
        <v>16</v>
      </c>
      <c r="E85" t="s">
        <v>30</v>
      </c>
      <c r="G85" s="69" t="s">
        <v>129</v>
      </c>
      <c r="H85" s="69"/>
      <c r="I85" s="69"/>
      <c r="J85" s="69"/>
      <c r="K85" s="69"/>
      <c r="L85" s="12"/>
      <c r="M85" s="12"/>
    </row>
    <row r="86" spans="1:13" x14ac:dyDescent="0.3">
      <c r="B86" s="34" t="s">
        <v>98</v>
      </c>
      <c r="C86" s="42" t="s">
        <v>99</v>
      </c>
      <c r="D86" s="35">
        <f>'Input&amp;Summary'!C4</f>
        <v>0.375</v>
      </c>
      <c r="E86" t="s">
        <v>30</v>
      </c>
      <c r="G86" s="69"/>
      <c r="H86" s="69"/>
      <c r="I86" s="69"/>
      <c r="J86" s="69"/>
      <c r="K86" s="69"/>
    </row>
    <row r="87" spans="1:13" x14ac:dyDescent="0.3">
      <c r="B87" s="34" t="s">
        <v>94</v>
      </c>
      <c r="C87" s="42" t="str">
        <f>'Input&amp;Summary'!C5</f>
        <v>X-52</v>
      </c>
      <c r="D87" s="43">
        <f>VLOOKUP(C87,M63:N67,2)</f>
        <v>52000</v>
      </c>
      <c r="E87" t="s">
        <v>105</v>
      </c>
      <c r="G87" s="20"/>
      <c r="H87" s="20"/>
      <c r="I87" s="20"/>
      <c r="J87" s="20"/>
      <c r="K87" s="20"/>
    </row>
    <row r="88" spans="1:13" x14ac:dyDescent="0.3">
      <c r="B88" s="34" t="s">
        <v>103</v>
      </c>
      <c r="C88" s="44" t="s">
        <v>104</v>
      </c>
      <c r="D88" s="40">
        <v>29000000</v>
      </c>
      <c r="E88" t="s">
        <v>105</v>
      </c>
    </row>
    <row r="89" spans="1:13" x14ac:dyDescent="0.3">
      <c r="B89" s="34" t="s">
        <v>130</v>
      </c>
      <c r="C89" s="44" t="s">
        <v>107</v>
      </c>
      <c r="D89" s="35">
        <f>'Input&amp;Summary'!C7</f>
        <v>7</v>
      </c>
      <c r="E89" t="s">
        <v>26</v>
      </c>
    </row>
    <row r="90" spans="1:13" x14ac:dyDescent="0.3">
      <c r="B90" s="34" t="s">
        <v>77</v>
      </c>
      <c r="C90" s="44" t="s">
        <v>78</v>
      </c>
      <c r="D90" s="31">
        <f>D34</f>
        <v>9787.5129054060089</v>
      </c>
      <c r="E90" t="s">
        <v>61</v>
      </c>
    </row>
    <row r="91" spans="1:13" x14ac:dyDescent="0.3">
      <c r="B91" s="2"/>
      <c r="C91" s="54"/>
      <c r="D91" s="13"/>
    </row>
    <row r="92" spans="1:13" x14ac:dyDescent="0.3">
      <c r="B92" s="34" t="s">
        <v>110</v>
      </c>
      <c r="C92" s="56" t="s">
        <v>111</v>
      </c>
      <c r="D92" s="41">
        <f>D90*D89^2/(3*PI()*D88*144*D86/12*(D85/12)^2)</f>
        <v>2.1933569515541137E-4</v>
      </c>
    </row>
    <row r="94" spans="1:13" ht="19.5" x14ac:dyDescent="0.35">
      <c r="B94" s="36" t="s">
        <v>131</v>
      </c>
      <c r="C94" s="49" t="s">
        <v>117</v>
      </c>
      <c r="D94" s="59">
        <f>D92*D88</f>
        <v>6360.7351595069294</v>
      </c>
      <c r="E94" t="s">
        <v>105</v>
      </c>
      <c r="F94" t="str">
        <f>IF(D94&gt;D101, "FAIL","PASS")</f>
        <v>PASS</v>
      </c>
    </row>
    <row r="96" spans="1:13" x14ac:dyDescent="0.3">
      <c r="B96" s="17" t="s">
        <v>118</v>
      </c>
      <c r="C96" s="58"/>
      <c r="D96" s="35">
        <v>0.54</v>
      </c>
    </row>
    <row r="97" spans="2:5" x14ac:dyDescent="0.3">
      <c r="B97" s="17" t="s">
        <v>119</v>
      </c>
      <c r="C97" s="58" t="s">
        <v>120</v>
      </c>
      <c r="D97" s="35">
        <f>D85-2*D86</f>
        <v>15.25</v>
      </c>
      <c r="E97" t="s">
        <v>121</v>
      </c>
    </row>
    <row r="98" spans="2:5" x14ac:dyDescent="0.3">
      <c r="B98" s="17" t="s">
        <v>122</v>
      </c>
      <c r="C98" s="58" t="s">
        <v>123</v>
      </c>
      <c r="D98" s="35">
        <v>711</v>
      </c>
      <c r="E98" t="s">
        <v>105</v>
      </c>
    </row>
    <row r="99" spans="2:5" x14ac:dyDescent="0.3">
      <c r="B99" s="17" t="s">
        <v>124</v>
      </c>
      <c r="C99" s="58"/>
      <c r="D99" s="27">
        <f>D96*D87</f>
        <v>28080.000000000004</v>
      </c>
      <c r="E99" t="s">
        <v>105</v>
      </c>
    </row>
    <row r="100" spans="2:5" x14ac:dyDescent="0.3">
      <c r="B100" s="17" t="s">
        <v>125</v>
      </c>
      <c r="C100" s="58"/>
      <c r="D100" s="31">
        <f>D98*D85/(4*D86)</f>
        <v>7584</v>
      </c>
      <c r="E100" t="s">
        <v>105</v>
      </c>
    </row>
    <row r="101" spans="2:5" x14ac:dyDescent="0.3">
      <c r="B101" s="17" t="s">
        <v>126</v>
      </c>
      <c r="C101" s="58"/>
      <c r="D101" s="31">
        <f>D99-D100</f>
        <v>20496.000000000004</v>
      </c>
      <c r="E101" t="s">
        <v>105</v>
      </c>
    </row>
    <row r="103" spans="2:5" x14ac:dyDescent="0.3">
      <c r="B103" s="17" t="s">
        <v>127</v>
      </c>
      <c r="C103" s="58"/>
      <c r="D103" s="31">
        <f>SQRT((D101/D88)*(3*PI()*D88*144*D86/12*(D85/12)^2)/D90)</f>
        <v>12.565475842321705</v>
      </c>
      <c r="E103" t="s">
        <v>26</v>
      </c>
    </row>
  </sheetData>
  <mergeCells count="6">
    <mergeCell ref="G39:K39"/>
    <mergeCell ref="G62:K63"/>
    <mergeCell ref="G85:K86"/>
    <mergeCell ref="G3:H3"/>
    <mergeCell ref="G20:M20"/>
    <mergeCell ref="G24:G29"/>
  </mergeCells>
  <conditionalFormatting sqref="E54">
    <cfRule type="containsText" dxfId="7" priority="7" operator="containsText" text="&lt;10 ok">
      <formula>NOT(ISERROR(SEARCH("&lt;10 ok",E54)))</formula>
    </cfRule>
    <cfRule type="containsText" dxfId="6" priority="9" operator="containsText" text="error">
      <formula>NOT(ISERROR(SEARCH("error",E54)))</formula>
    </cfRule>
  </conditionalFormatting>
  <conditionalFormatting sqref="E55">
    <cfRule type="containsText" dxfId="5" priority="5" operator="containsText" text="&lt;Nq ok">
      <formula>NOT(ISERROR(SEARCH("&lt;Nq ok",E55)))</formula>
    </cfRule>
    <cfRule type="containsText" dxfId="4" priority="6" operator="containsText" text="error">
      <formula>NOT(ISERROR(SEARCH("error",E55)))</formula>
    </cfRule>
  </conditionalFormatting>
  <conditionalFormatting sqref="F73">
    <cfRule type="containsText" dxfId="3" priority="4" operator="containsText" text="PASS">
      <formula>NOT(ISERROR(SEARCH("PASS",F73)))</formula>
    </cfRule>
    <cfRule type="containsText" dxfId="2" priority="3" operator="containsText" text="FAIL">
      <formula>NOT(ISERROR(SEARCH("FAIL",F73)))</formula>
    </cfRule>
  </conditionalFormatting>
  <conditionalFormatting sqref="F94">
    <cfRule type="containsText" dxfId="1" priority="2" operator="containsText" text="PASS">
      <formula>NOT(ISERROR(SEARCH("PASS",F94)))</formula>
    </cfRule>
    <cfRule type="containsText" dxfId="0" priority="1" operator="containsText" text="FAIL">
      <formula>NOT(ISERROR(SEARCH("FAIL",F94)))</formula>
    </cfRule>
  </conditionalFormatting>
  <pageMargins left="0.7" right="0.7" top="0.75" bottom="0.75" header="0.3" footer="0.3"/>
  <pageSetup scale="8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71cec66-62bb-4b40-baf6-1c21a67a4487" xsi:nil="true"/>
    <lcf76f155ced4ddcb4097134ff3c332f xmlns="edc31dcf-9d1f-43aa-a050-f085812730c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2B5C8B71CB584AA08FA64CBC6EB5CD" ma:contentTypeVersion="20" ma:contentTypeDescription="Create a new document." ma:contentTypeScope="" ma:versionID="b1e18c57ce5a0cdf755c9a83c3b5cb87">
  <xsd:schema xmlns:xsd="http://www.w3.org/2001/XMLSchema" xmlns:xs="http://www.w3.org/2001/XMLSchema" xmlns:p="http://schemas.microsoft.com/office/2006/metadata/properties" xmlns:ns2="edc31dcf-9d1f-43aa-a050-f085812730c9" xmlns:ns3="171cec66-62bb-4b40-baf6-1c21a67a4487" targetNamespace="http://schemas.microsoft.com/office/2006/metadata/properties" ma:root="true" ma:fieldsID="102eccd1ee2feb3d73c4c6aee13d7ece" ns2:_="" ns3:_="">
    <xsd:import namespace="edc31dcf-9d1f-43aa-a050-f085812730c9"/>
    <xsd:import namespace="171cec66-62bb-4b40-baf6-1c21a67a44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31dcf-9d1f-43aa-a050-f085812730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35aeea7-e848-442f-a6c3-04e7a31ee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cec66-62bb-4b40-baf6-1c21a67a4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ffb0a5e-5eea-4f60-911b-d580f38c71e3}" ma:internalName="TaxCatchAll" ma:showField="CatchAllData" ma:web="171cec66-62bb-4b40-baf6-1c21a67a44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AA739B-317D-46DA-8933-104D7C958C1C}">
  <ds:schemaRefs>
    <ds:schemaRef ds:uri="171cec66-62bb-4b40-baf6-1c21a67a4487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dc31dcf-9d1f-43aa-a050-f085812730c9"/>
  </ds:schemaRefs>
</ds:datastoreItem>
</file>

<file path=customXml/itemProps2.xml><?xml version="1.0" encoding="utf-8"?>
<ds:datastoreItem xmlns:ds="http://schemas.openxmlformats.org/officeDocument/2006/customXml" ds:itemID="{0192E930-12AC-44B8-8FFF-D5F73B922C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EBFAA7-FFAA-4314-AA91-538F87537D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31dcf-9d1f-43aa-a050-f085812730c9"/>
    <ds:schemaRef ds:uri="171cec66-62bb-4b40-baf6-1c21a67a4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Input&amp;Summary</vt:lpstr>
      <vt:lpstr>Calcs</vt:lpstr>
      <vt:lpstr>Calcs!Print_Area</vt:lpstr>
      <vt:lpstr>'Input&amp;Summary'!Print_Area</vt:lpstr>
    </vt:vector>
  </TitlesOfParts>
  <Manager/>
  <Company>ExxonMobil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Spari, Markella K /C</dc:creator>
  <cp:keywords/>
  <dc:description/>
  <cp:lastModifiedBy>Arias-Robles, Brian</cp:lastModifiedBy>
  <cp:revision/>
  <dcterms:created xsi:type="dcterms:W3CDTF">2018-08-14T17:38:27Z</dcterms:created>
  <dcterms:modified xsi:type="dcterms:W3CDTF">2024-11-25T18:11:07Z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0x010100A32B5C8B71CB584AA08FA64CBC6EB5CD</vt:lpwstr>
  </property>
  <property fmtid="{D5CDD505-2E9C-101B-9397-08002B2CF9AE}" pid="3" name="MediaServiceImageTags">
    <vt:lpwstr/>
  </property>
</Properties>
</file>