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57480" yWindow="-120" windowWidth="29040" windowHeight="15720" tabRatio="600" firstSheet="0" activeTab="0" autoFilterDateGrouping="1"/>
  </bookViews>
  <sheets>
    <sheet name="Input&amp;Summary" sheetId="1" state="visible" r:id="rId1"/>
    <sheet name="Calcs" sheetId="2" state="visible" r:id="rId2"/>
  </sheets>
  <definedNames>
    <definedName name="_xlnm.Print_Area" localSheetId="0">'Input&amp;Summary'!$A$1:$F$47</definedName>
    <definedName name="_xlnm.Print_Area" localSheetId="1">'Calcs'!$A$38:$K$58</definedName>
  </definedNames>
  <calcPr calcId="191028" fullCalcOnLoad="1"/>
</workbook>
</file>

<file path=xl/styles.xml><?xml version="1.0" encoding="utf-8"?>
<styleSheet xmlns="http://schemas.openxmlformats.org/spreadsheetml/2006/main">
  <numFmts count="6">
    <numFmt numFmtId="164" formatCode="0.0"/>
    <numFmt numFmtId="165" formatCode="0.000"/>
    <numFmt numFmtId="166" formatCode="0.000%"/>
    <numFmt numFmtId="167" formatCode="#,##0.0"/>
    <numFmt numFmtId="168" formatCode="0.00000"/>
    <numFmt numFmtId="169" formatCode="0.0000"/>
  </numFmts>
  <fonts count="25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color theme="1"/>
      <sz val="11"/>
    </font>
    <font>
      <name val="Arial"/>
      <family val="2"/>
      <b val="1"/>
      <color theme="1"/>
      <sz val="11"/>
    </font>
    <font>
      <name val="Calibri"/>
      <family val="2"/>
      <b val="1"/>
      <color rgb="FFFA7D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i val="1"/>
      <sz val="11"/>
      <scheme val="minor"/>
    </font>
    <font>
      <name val="Calibri"/>
      <family val="2"/>
      <sz val="11"/>
      <scheme val="minor"/>
    </font>
    <font>
      <name val="Calibri"/>
      <family val="2"/>
      <b val="1"/>
      <color rgb="FF9C6500"/>
      <sz val="11"/>
      <scheme val="minor"/>
    </font>
    <font>
      <name val="Arial"/>
      <family val="2"/>
      <sz val="11"/>
    </font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Calibri"/>
      <family val="2"/>
      <sz val="11"/>
    </font>
    <font>
      <name val="Calibri"/>
      <family val="2"/>
      <i val="1"/>
      <color theme="1"/>
      <sz val="14"/>
      <scheme val="minor"/>
    </font>
    <font>
      <name val="Calibri"/>
      <family val="2"/>
      <color theme="1"/>
      <sz val="11"/>
      <u val="single"/>
    </font>
    <font>
      <name val="Calibri"/>
      <family val="2"/>
      <color theme="1"/>
      <sz val="11"/>
      <vertAlign val="subscript"/>
      <scheme val="minor"/>
    </font>
    <font>
      <name val="Calibri"/>
      <family val="2"/>
      <sz val="11"/>
      <u val="single"/>
    </font>
    <font>
      <name val="Arial"/>
      <family val="2"/>
      <sz val="11"/>
      <vertAlign val="subscript"/>
    </font>
    <font>
      <name val="Arial"/>
      <family val="2"/>
      <color theme="1"/>
      <sz val="11"/>
      <vertAlign val="subscript"/>
    </font>
    <font>
      <name val="Calibri"/>
      <family val="2"/>
      <sz val="11"/>
      <vertAlign val="subscript"/>
    </font>
    <font>
      <name val="Calibri"/>
      <family val="2"/>
      <color theme="1"/>
      <sz val="11"/>
      <vertAlign val="subscript"/>
    </font>
    <font>
      <name val="Calibri"/>
      <family val="2"/>
      <color rgb="FF000000"/>
      <sz val="11"/>
      <scheme val="minor"/>
    </font>
    <font>
      <name val="Calibri"/>
      <family val="2"/>
      <b val="1"/>
      <color theme="1"/>
      <sz val="18"/>
      <scheme val="minor"/>
    </font>
  </fonts>
  <fills count="8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2"/>
        <bgColor indexed="64"/>
      </patternFill>
    </fill>
    <fill>
      <patternFill patternType="solid">
        <fgColor rgb="FFF2F2F2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/>
      <bottom/>
      <diagonal/>
    </border>
    <border>
      <left style="thin">
        <color rgb="FF7F7F7F"/>
      </left>
      <right/>
      <top/>
      <bottom style="thin">
        <color rgb="FF7F7F7F"/>
      </bottom>
      <diagonal/>
    </border>
  </borders>
  <cellStyleXfs count="7">
    <xf numFmtId="0" fontId="12" fillId="0" borderId="0"/>
    <xf numFmtId="0" fontId="1" fillId="2" borderId="0"/>
    <xf numFmtId="0" fontId="2" fillId="3" borderId="0"/>
    <xf numFmtId="0" fontId="6" fillId="5" borderId="2"/>
    <xf numFmtId="0" fontId="7" fillId="0" borderId="0"/>
    <xf numFmtId="43" fontId="12" fillId="0" borderId="0"/>
    <xf numFmtId="9" fontId="12" fillId="0" borderId="0"/>
  </cellStyleXfs>
  <cellXfs count="82">
    <xf numFmtId="0" fontId="0" fillId="0" borderId="0" pivotButton="0" quotePrefix="0" xfId="0"/>
    <xf numFmtId="0" fontId="2" fillId="3" borderId="1" pivotButton="0" quotePrefix="0" xfId="2"/>
    <xf numFmtId="0" fontId="4" fillId="0" borderId="1" pivotButton="0" quotePrefix="0" xfId="0"/>
    <xf numFmtId="0" fontId="0" fillId="0" borderId="1" pivotButton="0" quotePrefix="0" xfId="0"/>
    <xf numFmtId="0" fontId="5" fillId="4" borderId="1" pivotButton="0" quotePrefix="0" xfId="0"/>
    <xf numFmtId="2" fontId="2" fillId="3" borderId="1" pivotButton="0" quotePrefix="0" xfId="2"/>
    <xf numFmtId="0" fontId="9" fillId="5" borderId="3" pivotButton="0" quotePrefix="0" xfId="3"/>
    <xf numFmtId="0" fontId="7" fillId="0" borderId="1" pivotButton="0" quotePrefix="0" xfId="4"/>
    <xf numFmtId="0" fontId="9" fillId="5" borderId="2" applyAlignment="1" pivotButton="0" quotePrefix="0" xfId="3">
      <alignment horizontal="center"/>
    </xf>
    <xf numFmtId="0" fontId="9" fillId="5" borderId="4" applyAlignment="1" pivotButton="0" quotePrefix="0" xfId="3">
      <alignment horizontal="center"/>
    </xf>
    <xf numFmtId="0" fontId="0" fillId="0" borderId="1" applyAlignment="1" pivotButton="0" quotePrefix="0" xfId="0">
      <alignment horizontal="center" vertical="center"/>
    </xf>
    <xf numFmtId="11" fontId="0" fillId="0" borderId="1" applyAlignment="1" pivotButton="0" quotePrefix="0" xfId="0">
      <alignment horizontal="center" vertical="center"/>
    </xf>
    <xf numFmtId="0" fontId="8" fillId="0" borderId="0" pivotButton="0" quotePrefix="0" xfId="4"/>
    <xf numFmtId="0" fontId="1" fillId="0" borderId="1" pivotButton="0" quotePrefix="0" xfId="1"/>
    <xf numFmtId="2" fontId="10" fillId="3" borderId="1" pivotButton="0" quotePrefix="0" xfId="2"/>
    <xf numFmtId="0" fontId="9" fillId="5" borderId="3" applyAlignment="1" pivotButton="0" quotePrefix="0" xfId="3">
      <alignment horizontal="center"/>
    </xf>
    <xf numFmtId="0" fontId="0" fillId="0" borderId="1" applyAlignment="1" pivotButton="0" quotePrefix="0" xfId="0">
      <alignment horizontal="center"/>
    </xf>
    <xf numFmtId="0" fontId="11" fillId="6" borderId="1" pivotButton="0" quotePrefix="0" xfId="3"/>
    <xf numFmtId="0" fontId="8" fillId="0" borderId="0" applyAlignment="1" pivotButton="0" quotePrefix="0" xfId="4">
      <alignment horizontal="center"/>
    </xf>
    <xf numFmtId="0" fontId="9" fillId="5" borderId="3" applyAlignment="1" pivotButton="0" quotePrefix="0" xfId="3">
      <alignment horizontal="center" vertical="center"/>
    </xf>
    <xf numFmtId="0" fontId="8" fillId="0" borderId="0" applyAlignment="1" pivotButton="0" quotePrefix="0" xfId="4">
      <alignment horizontal="center" wrapText="1"/>
    </xf>
    <xf numFmtId="164" fontId="2" fillId="3" borderId="1" pivotButton="0" quotePrefix="0" xfId="2"/>
    <xf numFmtId="2" fontId="0" fillId="0" borderId="0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right"/>
    </xf>
    <xf numFmtId="0" fontId="0" fillId="7" borderId="1" pivotButton="0" quotePrefix="0" xfId="0"/>
    <xf numFmtId="0" fontId="0" fillId="7" borderId="1" applyAlignment="1" pivotButton="0" quotePrefix="0" xfId="0">
      <alignment horizontal="right"/>
    </xf>
    <xf numFmtId="0" fontId="9" fillId="6" borderId="1" pivotButton="0" quotePrefix="0" xfId="2"/>
    <xf numFmtId="164" fontId="9" fillId="6" borderId="1" pivotButton="0" quotePrefix="0" xfId="1"/>
    <xf numFmtId="2" fontId="9" fillId="6" borderId="1" pivotButton="0" quotePrefix="0" xfId="1"/>
    <xf numFmtId="165" fontId="9" fillId="6" borderId="1" pivotButton="0" quotePrefix="0" xfId="2"/>
    <xf numFmtId="2" fontId="9" fillId="6" borderId="1" pivotButton="0" quotePrefix="0" xfId="2"/>
    <xf numFmtId="164" fontId="9" fillId="6" borderId="1" pivotButton="0" quotePrefix="0" xfId="2"/>
    <xf numFmtId="0" fontId="4" fillId="6" borderId="1" pivotButton="0" quotePrefix="0" xfId="0"/>
    <xf numFmtId="0" fontId="11" fillId="6" borderId="1" pivotButton="0" quotePrefix="0" xfId="0"/>
    <xf numFmtId="0" fontId="9" fillId="6" borderId="1" pivotButton="0" quotePrefix="0" xfId="1"/>
    <xf numFmtId="0" fontId="5" fillId="6" borderId="1" pivotButton="0" quotePrefix="0" xfId="0"/>
    <xf numFmtId="164" fontId="0" fillId="7" borderId="1" pivotButton="0" quotePrefix="0" xfId="0"/>
    <xf numFmtId="2" fontId="0" fillId="7" borderId="1" pivotButton="0" quotePrefix="0" xfId="0"/>
    <xf numFmtId="165" fontId="0" fillId="7" borderId="1" pivotButton="0" quotePrefix="0" xfId="0"/>
    <xf numFmtId="3" fontId="9" fillId="6" borderId="1" pivotButton="0" quotePrefix="0" xfId="1"/>
    <xf numFmtId="166" fontId="9" fillId="6" borderId="1" pivotButton="0" quotePrefix="0" xfId="2"/>
    <xf numFmtId="0" fontId="9" fillId="6" borderId="1" applyAlignment="1" pivotButton="0" quotePrefix="0" xfId="0">
      <alignment horizontal="center"/>
    </xf>
    <xf numFmtId="0" fontId="9" fillId="6" borderId="1" pivotButton="0" quotePrefix="0" xfId="3"/>
    <xf numFmtId="0" fontId="14" fillId="6" borderId="1" applyAlignment="1" pivotButton="0" quotePrefix="0" xfId="0">
      <alignment horizontal="center"/>
    </xf>
    <xf numFmtId="167" fontId="0" fillId="4" borderId="1" pivotButton="0" quotePrefix="0" xfId="5"/>
    <xf numFmtId="0" fontId="15" fillId="0" borderId="0" pivotButton="0" quotePrefix="0" xfId="0"/>
    <xf numFmtId="0" fontId="0" fillId="6" borderId="1" applyAlignment="1" pivotButton="0" quotePrefix="0" xfId="0">
      <alignment horizontal="center"/>
    </xf>
    <xf numFmtId="0" fontId="9" fillId="6" borderId="2" applyAlignment="1" pivotButton="0" quotePrefix="0" xfId="3">
      <alignment horizontal="center"/>
    </xf>
    <xf numFmtId="0" fontId="13" fillId="6" borderId="1" applyAlignment="1" pivotButton="0" quotePrefix="0" xfId="0">
      <alignment horizontal="center"/>
    </xf>
    <xf numFmtId="0" fontId="16" fillId="6" borderId="1" applyAlignment="1" pivotButton="0" quotePrefix="0" xfId="0">
      <alignment horizontal="center"/>
    </xf>
    <xf numFmtId="0" fontId="0" fillId="4" borderId="1" applyAlignment="1" pivotButton="0" quotePrefix="0" xfId="0">
      <alignment horizontal="center"/>
    </xf>
    <xf numFmtId="0" fontId="18" fillId="6" borderId="1" applyAlignment="1" pivotButton="0" quotePrefix="0" xfId="0">
      <alignment horizontal="center"/>
    </xf>
    <xf numFmtId="0" fontId="11" fillId="6" borderId="1" applyAlignment="1" pivotButton="0" quotePrefix="0" xfId="0">
      <alignment horizontal="center" vertical="center"/>
    </xf>
    <xf numFmtId="0" fontId="13" fillId="0" borderId="1" applyAlignment="1" pivotButton="0" quotePrefix="0" xfId="0">
      <alignment horizontal="center"/>
    </xf>
    <xf numFmtId="0" fontId="4" fillId="6" borderId="1" applyAlignment="1" pivotButton="0" quotePrefix="0" xfId="0">
      <alignment horizontal="center" vertical="center"/>
    </xf>
    <xf numFmtId="0" fontId="14" fillId="6" borderId="1" applyAlignment="1" pivotButton="0" quotePrefix="0" xfId="0">
      <alignment horizontal="center" vertical="center"/>
    </xf>
    <xf numFmtId="0" fontId="13" fillId="4" borderId="1" applyAlignment="1" pivotButton="0" quotePrefix="0" xfId="0">
      <alignment horizontal="center"/>
    </xf>
    <xf numFmtId="0" fontId="9" fillId="6" borderId="1" applyAlignment="1" pivotButton="0" quotePrefix="0" xfId="3">
      <alignment horizontal="center"/>
    </xf>
    <xf numFmtId="167" fontId="10" fillId="3" borderId="1" pivotButton="0" quotePrefix="0" xfId="2"/>
    <xf numFmtId="166" fontId="9" fillId="6" borderId="1" pivotButton="0" quotePrefix="0" xfId="6"/>
    <xf numFmtId="0" fontId="0" fillId="0" borderId="0" applyAlignment="1" pivotButton="0" quotePrefix="0" xfId="0">
      <alignment vertical="top" wrapText="1"/>
    </xf>
    <xf numFmtId="9" fontId="0" fillId="0" borderId="0" pivotButton="0" quotePrefix="0" xfId="6"/>
    <xf numFmtId="168" fontId="0" fillId="0" borderId="0" pivotButton="0" quotePrefix="0" xfId="6"/>
    <xf numFmtId="169" fontId="0" fillId="0" borderId="0" pivotButton="0" quotePrefix="0" xfId="0"/>
    <xf numFmtId="0" fontId="23" fillId="0" borderId="0" applyAlignment="1" pivotButton="0" quotePrefix="0" xfId="0">
      <alignment vertical="center"/>
    </xf>
    <xf numFmtId="0" fontId="3" fillId="6" borderId="1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8" fillId="0" borderId="0" applyAlignment="1" pivotButton="0" quotePrefix="0" xfId="4">
      <alignment horizontal="center"/>
    </xf>
    <xf numFmtId="0" fontId="8" fillId="0" borderId="0" applyAlignment="1" pivotButton="0" quotePrefix="0" xfId="4">
      <alignment horizontal="center" wrapText="1"/>
    </xf>
    <xf numFmtId="0" fontId="9" fillId="5" borderId="3" applyAlignment="1" pivotButton="0" quotePrefix="0" xfId="3">
      <alignment horizontal="center" vertical="center"/>
    </xf>
    <xf numFmtId="0" fontId="0" fillId="0" borderId="7" pivotButton="0" quotePrefix="0" xfId="0"/>
    <xf numFmtId="164" fontId="0" fillId="7" borderId="1" pivotButton="0" quotePrefix="0" xfId="0"/>
    <xf numFmtId="164" fontId="9" fillId="6" borderId="1" pivotButton="0" quotePrefix="0" xfId="1"/>
    <xf numFmtId="164" fontId="9" fillId="6" borderId="1" pivotButton="0" quotePrefix="0" xfId="2"/>
    <xf numFmtId="164" fontId="2" fillId="3" borderId="1" pivotButton="0" quotePrefix="0" xfId="2"/>
    <xf numFmtId="0" fontId="0" fillId="0" borderId="8" pivotButton="0" quotePrefix="0" xfId="0"/>
    <xf numFmtId="0" fontId="0" fillId="0" borderId="9" pivotButton="0" quotePrefix="0" xfId="0"/>
    <xf numFmtId="166" fontId="9" fillId="6" borderId="1" pivotButton="0" quotePrefix="0" xfId="6"/>
    <xf numFmtId="169" fontId="0" fillId="0" borderId="0" pivotButton="0" quotePrefix="0" xfId="0"/>
    <xf numFmtId="166" fontId="9" fillId="6" borderId="1" pivotButton="0" quotePrefix="0" xfId="2"/>
    <xf numFmtId="168" fontId="0" fillId="0" borderId="0" pivotButton="0" quotePrefix="0" xfId="6"/>
  </cellXfs>
  <cellStyles count="7">
    <cellStyle name="Normal" xfId="0" builtinId="0"/>
    <cellStyle name="Good" xfId="1" builtinId="26"/>
    <cellStyle name="Neutral" xfId="2" builtinId="28"/>
    <cellStyle name="Calculation" xfId="3" builtinId="22"/>
    <cellStyle name="Explanatory Text" xfId="4" builtinId="53"/>
    <cellStyle name="Comma" xfId="5" builtinId="3"/>
    <cellStyle name="Percent" xfId="6" builtinId="5"/>
  </cellStyles>
  <dxfs count="10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/Relationships>
</file>

<file path=xl/drawings/_rels/drawing2.xml.rels><Relationships xmlns="http://schemas.openxmlformats.org/package/2006/relationships"><Relationship Type="http://schemas.openxmlformats.org/officeDocument/2006/relationships/image" Target="/xl/media/image4.png" Id="rId1" /><Relationship Type="http://schemas.openxmlformats.org/officeDocument/2006/relationships/image" Target="/xl/media/image5.png" Id="rId2" /><Relationship Type="http://schemas.openxmlformats.org/officeDocument/2006/relationships/image" Target="/xl/media/image6.png" Id="rId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20</row>
      <rowOff>140155</rowOff>
    </from>
    <to>
      <col>5</col>
      <colOff>612321</colOff>
      <row>46</row>
      <rowOff>169491</rowOff>
    </to>
    <pic>
      <nvPicPr>
        <cNvPr id="6" name="Picture 5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3895726"/>
          <a:ext cx="7034892" cy="462855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4</col>
      <colOff>1230086</colOff>
      <row>21</row>
      <rowOff>16328</rowOff>
    </from>
    <to>
      <col>6</col>
      <colOff>41057</colOff>
      <row>30</row>
      <rowOff>6981</rowOff>
    </to>
    <pic>
      <nvPicPr>
        <cNvPr id="3" name="Picture 2"/>
        <cNvPicPr>
          <a:picLocks noChangeAspect="1"/>
        </cNvPicPr>
      </nvPicPr>
      <blipFill rotWithShape="1">
        <a:blip r:embed="rId2"/>
        <a:srcRect t="9073"/>
        <a:stretch>
          <a:fillRect/>
        </a:stretch>
      </blipFill>
      <spPr>
        <a:xfrm>
          <a:off x="4944836" y="3554185"/>
          <a:ext cx="2376042" cy="158268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40</row>
      <rowOff>121487</rowOff>
    </from>
    <to>
      <col>4</col>
      <colOff>2571750</colOff>
      <row>46</row>
      <rowOff>141698</rowOff>
    </to>
    <pic>
      <nvPicPr>
        <cNvPr id="5" name="Picture 4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1" y="7020308"/>
          <a:ext cx="6286499" cy="1081568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388620</colOff>
      <row>39</row>
      <rowOff>15240</rowOff>
    </from>
    <to>
      <col>10</col>
      <colOff>201295</colOff>
      <row>57</row>
      <rowOff>154940</rowOff>
    </to>
    <pic>
      <nvPicPr>
        <cNvPr id="3" name="Picture 2"/>
        <cNvPicPr/>
      </nvPicPr>
      <blipFill>
        <a:blip r:embed="rId1"/>
        <a:stretch>
          <a:fillRect/>
        </a:stretch>
      </blipFill>
      <spPr>
        <a:xfrm>
          <a:off x="6865620" y="929640"/>
          <a:ext cx="3154680" cy="413258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579114</colOff>
      <row>63</row>
      <rowOff>45712</rowOff>
    </from>
    <to>
      <col>10</col>
      <colOff>46083</colOff>
      <row>73</row>
      <rowOff>201203</rowOff>
    </to>
    <pic>
      <nvPicPr>
        <cNvPr id="4" name="Picture 3"/>
        <cNvPicPr>
          <a:picLocks noChangeAspect="1"/>
        </cNvPicPr>
      </nvPicPr>
      <blipFill>
        <a:blip cstate="print" r:embed="rId2"/>
        <a:srcRect/>
        <a:stretch>
          <a:fillRect/>
        </a:stretch>
      </blipFill>
      <spPr bwMode="auto">
        <a:xfrm>
          <a:off x="7741914" y="1142992"/>
          <a:ext cx="2815324" cy="2383706"/>
        </a:xfrm>
        <a:prstGeom prst="rect">
          <avLst/>
        </a:prstGeom>
        <a:solidFill>
          <a:schemeClr val="bg1"/>
        </a:solidFill>
        <a:ln>
          <a:prstDash val="solid"/>
        </a:ln>
      </spPr>
    </pic>
    <clientData/>
  </twoCellAnchor>
  <twoCellAnchor editAs="oneCell">
    <from>
      <col>6</col>
      <colOff>487677</colOff>
      <row>86</row>
      <rowOff>68576</rowOff>
    </from>
    <to>
      <col>10</col>
      <colOff>136136</colOff>
      <row>94</row>
      <rowOff>87758</rowOff>
    </to>
    <pic>
      <nvPicPr>
        <cNvPr id="5" name="Picture 4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6964677" y="1165856"/>
          <a:ext cx="2993639" cy="1814327"/>
        </a:xfrm>
        <a:prstGeom prst="rect">
          <avLst/>
        </a:prstGeom>
        <a:solidFill>
          <a:schemeClr val="bg1"/>
        </a:solidFill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B1:O20"/>
  <sheetViews>
    <sheetView tabSelected="1" zoomScale="120" zoomScaleNormal="120" workbookViewId="0">
      <selection activeCell="C8" sqref="C8"/>
    </sheetView>
  </sheetViews>
  <sheetFormatPr baseColWidth="8" defaultRowHeight="15"/>
  <cols>
    <col width="2.42578125" customWidth="1" min="1" max="1"/>
    <col width="28.42578125" bestFit="1" customWidth="1" min="2" max="2"/>
    <col width="18.42578125" bestFit="1" customWidth="1" min="3" max="3"/>
    <col width="3.5703125" customWidth="1" min="4" max="4"/>
    <col width="39" bestFit="1" customWidth="1" min="5" max="5"/>
    <col width="12.140625" bestFit="1" customWidth="1" min="6" max="6"/>
  </cols>
  <sheetData>
    <row r="1" ht="30.6" customHeight="1">
      <c r="B1" s="67" t="inlineStr">
        <is>
          <t>RIGHT BANK</t>
        </is>
      </c>
    </row>
    <row r="2">
      <c r="B2" s="66" t="inlineStr">
        <is>
          <t>Pipe Properties</t>
        </is>
      </c>
      <c r="C2" s="71" t="n"/>
      <c r="E2" s="66" t="inlineStr">
        <is>
          <t>Soil Properties</t>
        </is>
      </c>
      <c r="F2" s="71" t="n"/>
    </row>
    <row r="3" ht="14.45" customHeight="1">
      <c r="B3" s="23" t="inlineStr">
        <is>
          <t>Pipe OD (in):</t>
        </is>
      </c>
      <c r="C3" s="38" t="n">
        <v>16</v>
      </c>
      <c r="E3" s="23" t="inlineStr">
        <is>
          <t>Soil Friction Angle (φ degrees):</t>
        </is>
      </c>
      <c r="F3" s="72" t="n">
        <v>26</v>
      </c>
      <c r="H3" s="61" t="n"/>
      <c r="I3" s="61" t="n"/>
      <c r="J3" s="61" t="n"/>
      <c r="K3" s="61" t="n"/>
      <c r="L3" s="61" t="n"/>
      <c r="M3" s="61" t="n"/>
      <c r="N3" s="61" t="n"/>
      <c r="O3" s="61" t="n"/>
    </row>
    <row r="4">
      <c r="B4" s="23" t="inlineStr">
        <is>
          <t>Pipe wt (in):</t>
        </is>
      </c>
      <c r="C4" s="39" t="n">
        <v>0.375</v>
      </c>
      <c r="E4" s="23" t="inlineStr">
        <is>
          <t>Soil Cohesion (c, psf):</t>
        </is>
      </c>
      <c r="F4" s="72" t="n">
        <v>100</v>
      </c>
      <c r="H4" s="61" t="n"/>
      <c r="I4" s="61" t="n"/>
      <c r="J4" s="61" t="n"/>
      <c r="K4" s="61" t="n"/>
      <c r="L4" s="61" t="n"/>
      <c r="M4" s="61" t="n"/>
      <c r="N4" s="61" t="n"/>
      <c r="O4" s="61" t="n"/>
    </row>
    <row r="5">
      <c r="B5" s="23" t="inlineStr">
        <is>
          <t>Pipe SMYS (psi):</t>
        </is>
      </c>
      <c r="C5" s="26" t="inlineStr">
        <is>
          <t>X-42</t>
        </is>
      </c>
      <c r="E5" s="23" t="inlineStr">
        <is>
          <t>Soil Effective Unit Weight (γ', psf):</t>
        </is>
      </c>
      <c r="F5" s="72" t="n">
        <v>120</v>
      </c>
      <c r="H5" s="61" t="n"/>
      <c r="I5" s="61" t="n"/>
      <c r="J5" s="61" t="n"/>
      <c r="K5" s="61" t="n"/>
      <c r="L5" s="61" t="n"/>
      <c r="M5" s="61" t="n"/>
      <c r="N5" s="61" t="n"/>
      <c r="O5" s="61" t="n"/>
    </row>
    <row r="6">
      <c r="B6" s="23" t="inlineStr">
        <is>
          <t>Pipe DOC (ft):</t>
        </is>
      </c>
      <c r="C6" s="38" t="n">
        <v>14</v>
      </c>
      <c r="E6" s="23" t="inlineStr">
        <is>
          <t>PGD Path (perpendicular/parallel to pipe):</t>
        </is>
      </c>
      <c r="F6" s="26" t="inlineStr">
        <is>
          <t>Parallel</t>
        </is>
      </c>
      <c r="H6" s="61" t="n"/>
      <c r="I6" s="61" t="n"/>
      <c r="J6" s="61" t="n"/>
      <c r="K6" s="61" t="n"/>
      <c r="L6" s="61" t="n"/>
      <c r="M6" s="61" t="n"/>
      <c r="N6" s="61" t="n"/>
      <c r="O6" s="61" t="n"/>
    </row>
    <row r="7">
      <c r="B7" s="23" t="inlineStr">
        <is>
          <t>Length of Pipe in PGD (ft):</t>
        </is>
      </c>
      <c r="C7" s="72" t="n">
        <v>99</v>
      </c>
    </row>
    <row r="8">
      <c r="B8" s="23" t="inlineStr">
        <is>
          <t>Pipe Coating</t>
        </is>
      </c>
      <c r="C8" s="26" t="inlineStr">
        <is>
          <t>Rough Steel</t>
        </is>
      </c>
    </row>
    <row r="9">
      <c r="B9" s="23" t="inlineStr">
        <is>
          <t>Internal Pressure (psi):</t>
        </is>
      </c>
      <c r="C9" s="25" t="n">
        <v>1500</v>
      </c>
    </row>
    <row r="10">
      <c r="B10" s="65" t="inlineStr">
        <is>
          <t>API 5L X52, 16" OD, Std Wt (.375")</t>
        </is>
      </c>
    </row>
    <row r="11">
      <c r="B11" t="inlineStr">
        <is>
          <t>DOC = Depth of Cover</t>
        </is>
      </c>
    </row>
    <row r="12">
      <c r="B12" s="66" t="inlineStr">
        <is>
          <t>Summary Output</t>
        </is>
      </c>
      <c r="C12" s="71" t="n"/>
    </row>
    <row r="13">
      <c r="B13" s="23">
        <f>IF($F$6="Parallel","Longitudinal Force (lb/ft)","Transverse Force (lb/ft)")</f>
        <v/>
      </c>
      <c r="C13" s="45">
        <f>IF($F$6="Parallel",Calcs!D67,Calcs!D90)</f>
        <v/>
      </c>
    </row>
    <row r="14">
      <c r="B14" s="23">
        <f>IF($F$6="Parallel","Axial Stress (psi)","Bending Stress (psi)")</f>
        <v/>
      </c>
      <c r="C14" s="45">
        <f>IF($F$6="Parallel",Calcs!D73,Calcs!D94)</f>
        <v/>
      </c>
    </row>
    <row r="15">
      <c r="B15" s="23" t="inlineStr">
        <is>
          <t>Remaining Allowable Stress (psi)</t>
        </is>
      </c>
      <c r="C15" s="45">
        <f>Calcs!D80</f>
        <v/>
      </c>
    </row>
    <row r="16">
      <c r="B16" s="23" t="inlineStr">
        <is>
          <t>Allowable Pipe Length in PGD (ft):</t>
        </is>
      </c>
      <c r="C16" s="45">
        <f>IF($F$6="Parallel",Calcs!D82,Calcs!D103)</f>
        <v/>
      </c>
    </row>
    <row r="17">
      <c r="B17" s="23" t="inlineStr">
        <is>
          <t>Exceeds Allowable:</t>
        </is>
      </c>
      <c r="C17" s="24">
        <f>IF(ISERROR(C14),"",IF(C14&gt;C15,"Exceeds","Does Not Exceed"))</f>
        <v/>
      </c>
    </row>
    <row r="18">
      <c r="B18" t="inlineStr">
        <is>
          <t>PGD=Permanent Ground Deformation</t>
        </is>
      </c>
    </row>
    <row r="19">
      <c r="B19" t="inlineStr">
        <is>
          <t>Pipeline Length: FOS &lt;1.5</t>
        </is>
      </c>
      <c r="C19" t="inlineStr">
        <is>
          <t>Orange Area</t>
        </is>
      </c>
    </row>
    <row r="20">
      <c r="B20" t="n">
        <v>7</v>
      </c>
      <c r="C20" t="inlineStr">
        <is>
          <t>ft</t>
        </is>
      </c>
    </row>
  </sheetData>
  <mergeCells count="4">
    <mergeCell ref="E2:F2"/>
    <mergeCell ref="B2:C2"/>
    <mergeCell ref="B1:F1"/>
    <mergeCell ref="B12:C12"/>
  </mergeCells>
  <conditionalFormatting sqref="C17">
    <cfRule type="cellIs" priority="2" operator="equal" dxfId="9">
      <formula>"Does Not Exceed"</formula>
    </cfRule>
    <cfRule type="expression" priority="3" dxfId="8">
      <formula>$C$17="Exceeds"</formula>
    </cfRule>
  </conditionalFormatting>
  <dataValidations count="1">
    <dataValidation sqref="F6" showDropDown="0" showInputMessage="1" showErrorMessage="1" allowBlank="1" type="list">
      <formula1>"Parallel, Perpendicular"</formula1>
    </dataValidation>
  </dataValidations>
  <pageMargins left="0.7" right="0.7" top="0.75" bottom="0.75" header="0.3" footer="0.3"/>
  <pageSetup orientation="landscape" scale="72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 fitToPage="1"/>
  </sheetPr>
  <dimension ref="A2:P103"/>
  <sheetViews>
    <sheetView topLeftCell="A96" workbookViewId="0">
      <selection activeCell="D85" sqref="D85"/>
    </sheetView>
  </sheetViews>
  <sheetFormatPr baseColWidth="8" defaultRowHeight="18.75"/>
  <cols>
    <col width="4.42578125" customWidth="1" style="46" min="1" max="1"/>
    <col width="39.42578125" customWidth="1" min="2" max="2"/>
    <col width="18.85546875" customWidth="1" min="3" max="3"/>
    <col width="11.42578125" customWidth="1" min="4" max="4"/>
    <col width="9" customWidth="1" min="5" max="5"/>
    <col width="9.140625" bestFit="1" customWidth="1" min="6" max="6"/>
    <col width="20.5703125" customWidth="1" min="7" max="7"/>
    <col width="10.42578125" bestFit="1" customWidth="1" min="8" max="8"/>
    <col width="11" customWidth="1" min="13" max="13"/>
    <col width="15.5703125" customWidth="1" min="14" max="14"/>
    <col width="7.42578125" customWidth="1" min="15" max="15"/>
    <col width="8.5703125" customWidth="1" min="16" max="16"/>
    <col width="24.5703125" customWidth="1" min="19" max="19"/>
  </cols>
  <sheetData>
    <row r="2">
      <c r="A2" s="46" t="inlineStr">
        <is>
          <t>Axial Forces</t>
        </is>
      </c>
    </row>
    <row r="3">
      <c r="B3" s="33" t="inlineStr">
        <is>
          <t>Pipe outside diameter</t>
        </is>
      </c>
      <c r="C3" s="47" t="inlineStr">
        <is>
          <t>OD</t>
        </is>
      </c>
      <c r="D3" s="73">
        <f>'Input&amp;Summary'!C3</f>
        <v/>
      </c>
      <c r="E3" t="inlineStr">
        <is>
          <t>inches</t>
        </is>
      </c>
      <c r="G3" s="68" t="inlineStr">
        <is>
          <t>Coating dependent factor</t>
        </is>
      </c>
      <c r="I3" s="68" t="n"/>
    </row>
    <row r="4">
      <c r="B4" s="33" t="inlineStr">
        <is>
          <t>Pipe Coating Dependent Factor (f)</t>
        </is>
      </c>
      <c r="C4" s="48">
        <f>'Input&amp;Summary'!C8</f>
        <v/>
      </c>
      <c r="D4" s="27">
        <f>VLOOKUP(C4,G4:H9,2,FALSE)</f>
        <v/>
      </c>
      <c r="G4" s="6" t="inlineStr">
        <is>
          <t>Concrete</t>
        </is>
      </c>
      <c r="H4" s="7" t="n">
        <v>1</v>
      </c>
    </row>
    <row r="5">
      <c r="B5" s="33" t="inlineStr">
        <is>
          <t>Depth of cover</t>
        </is>
      </c>
      <c r="C5" s="47" t="inlineStr">
        <is>
          <t>DOC</t>
        </is>
      </c>
      <c r="D5" s="29">
        <f>'Input&amp;Summary'!C6</f>
        <v/>
      </c>
      <c r="E5" t="inlineStr">
        <is>
          <t>ft</t>
        </is>
      </c>
      <c r="G5" s="6" t="inlineStr">
        <is>
          <t>Coal Tar</t>
        </is>
      </c>
      <c r="H5" s="7" t="n">
        <v>0.9</v>
      </c>
    </row>
    <row r="6">
      <c r="B6" s="33" t="inlineStr">
        <is>
          <t>Depth to pipe centerline</t>
        </is>
      </c>
      <c r="C6" s="47" t="inlineStr">
        <is>
          <t>H</t>
        </is>
      </c>
      <c r="D6" s="29">
        <f>D5+D3/2/12</f>
        <v/>
      </c>
      <c r="E6" t="inlineStr">
        <is>
          <t>ft</t>
        </is>
      </c>
      <c r="G6" s="6" t="inlineStr">
        <is>
          <t>Rough Steel</t>
        </is>
      </c>
      <c r="H6" s="7" t="n">
        <v>0.8</v>
      </c>
    </row>
    <row r="7">
      <c r="B7" s="33" t="inlineStr">
        <is>
          <t>Soil cohesion</t>
        </is>
      </c>
      <c r="C7" s="47" t="inlineStr">
        <is>
          <t>c</t>
        </is>
      </c>
      <c r="D7" s="73">
        <f>'Input&amp;Summary'!F4</f>
        <v/>
      </c>
      <c r="E7" t="inlineStr">
        <is>
          <t>psf</t>
        </is>
      </c>
      <c r="G7" s="6" t="inlineStr">
        <is>
          <t>Smooth steel</t>
        </is>
      </c>
      <c r="H7" s="7" t="n">
        <v>0.7</v>
      </c>
    </row>
    <row r="8">
      <c r="B8" s="33" t="inlineStr">
        <is>
          <t>Internal friction angle for soil</t>
        </is>
      </c>
      <c r="C8" s="49" t="inlineStr">
        <is>
          <t>φ</t>
        </is>
      </c>
      <c r="D8" s="73">
        <f>'Input&amp;Summary'!F3</f>
        <v/>
      </c>
      <c r="E8" t="inlineStr">
        <is>
          <t>degrees</t>
        </is>
      </c>
      <c r="G8" s="6" t="inlineStr">
        <is>
          <t>Fusion Bonded Epoxy</t>
        </is>
      </c>
      <c r="H8" s="7" t="n">
        <v>0.6</v>
      </c>
    </row>
    <row r="9">
      <c r="B9" s="33" t="inlineStr">
        <is>
          <t>Effective unit weight of soil</t>
        </is>
      </c>
      <c r="C9" s="50" t="inlineStr">
        <is>
          <t>γ</t>
        </is>
      </c>
      <c r="D9" s="73">
        <f>'Input&amp;Summary'!F5</f>
        <v/>
      </c>
      <c r="E9" t="inlineStr">
        <is>
          <t>lb/ft3</t>
        </is>
      </c>
      <c r="G9" s="6" t="inlineStr">
        <is>
          <t>Polyethylene</t>
        </is>
      </c>
      <c r="H9" s="7" t="n">
        <v>0.6</v>
      </c>
    </row>
    <row r="10" ht="19.5" customHeight="1">
      <c r="B10" s="33" t="inlineStr">
        <is>
          <t>Coefficient of pressure at rest</t>
        </is>
      </c>
      <c r="C10" s="47" t="inlineStr">
        <is>
          <t>Ko</t>
        </is>
      </c>
      <c r="D10" s="30">
        <f>1-SIN(RADIANS(D8))</f>
        <v/>
      </c>
    </row>
    <row r="11">
      <c r="B11" s="33" t="inlineStr">
        <is>
          <t>Adhesion factor</t>
        </is>
      </c>
      <c r="C11" s="49" t="inlineStr">
        <is>
          <t>α</t>
        </is>
      </c>
      <c r="D11" s="31">
        <f>0.608-0.123*(D7/20.89/100)-0.274/((D7/20.89/100)^2+1)+0.695/((D7/20.89/100)^3+1)</f>
        <v/>
      </c>
    </row>
    <row r="12">
      <c r="B12" s="33" t="inlineStr">
        <is>
          <t>Interface angle for pipe-soil</t>
        </is>
      </c>
      <c r="C12" s="49" t="inlineStr">
        <is>
          <t>δ</t>
        </is>
      </c>
      <c r="D12" s="74">
        <f>D4*D8</f>
        <v/>
      </c>
      <c r="E12" t="inlineStr">
        <is>
          <t>degrees</t>
        </is>
      </c>
    </row>
    <row r="13">
      <c r="B13" s="33" t="inlineStr">
        <is>
          <t>Tan of interface angle</t>
        </is>
      </c>
      <c r="C13" s="49" t="inlineStr">
        <is>
          <t>tanδ</t>
        </is>
      </c>
      <c r="D13" s="30">
        <f>TAN(RADIANS(D12))</f>
        <v/>
      </c>
    </row>
    <row r="14">
      <c r="B14" s="2" t="n"/>
      <c r="C14" s="3" t="n"/>
      <c r="D14" s="3" t="n"/>
    </row>
    <row r="15">
      <c r="B15" s="4" t="inlineStr">
        <is>
          <t>Axial soil force</t>
        </is>
      </c>
      <c r="C15" s="51" t="inlineStr">
        <is>
          <t>Tu</t>
        </is>
      </c>
      <c r="D15" s="75">
        <f>PI()*D3/12*(D7*D11+D6*D9*(1+D10)*0.5*D13)</f>
        <v/>
      </c>
      <c r="E15" t="inlineStr">
        <is>
          <t>lbs/ft</t>
        </is>
      </c>
    </row>
    <row r="16">
      <c r="D16" s="14">
        <f>D15/1000</f>
        <v/>
      </c>
      <c r="E16" t="inlineStr">
        <is>
          <t>kips/ft</t>
        </is>
      </c>
    </row>
    <row r="18">
      <c r="A18" s="46" t="inlineStr">
        <is>
          <t>Lateral Forces</t>
        </is>
      </c>
    </row>
    <row r="19">
      <c r="B19" s="34" t="inlineStr">
        <is>
          <t>Pipe outside diameter</t>
        </is>
      </c>
      <c r="C19" s="42" t="inlineStr">
        <is>
          <t>OD</t>
        </is>
      </c>
      <c r="D19" s="35">
        <f>'Input&amp;Summary'!C3</f>
        <v/>
      </c>
      <c r="E19" t="inlineStr">
        <is>
          <t>inches</t>
        </is>
      </c>
    </row>
    <row r="20">
      <c r="B20" s="34" t="inlineStr">
        <is>
          <t>Depth of cover</t>
        </is>
      </c>
      <c r="C20" s="42" t="inlineStr">
        <is>
          <t>DOC</t>
        </is>
      </c>
      <c r="D20" s="35">
        <f>'Input&amp;Summary'!C6</f>
        <v/>
      </c>
      <c r="E20" t="inlineStr">
        <is>
          <t>ft</t>
        </is>
      </c>
      <c r="G20" s="68" t="inlineStr">
        <is>
          <t>Lateral Bearing Capacity Factor of Soil</t>
        </is>
      </c>
    </row>
    <row r="21">
      <c r="B21" s="34" t="inlineStr">
        <is>
          <t>Depth to pipe centerline</t>
        </is>
      </c>
      <c r="C21" s="42" t="inlineStr">
        <is>
          <t>H</t>
        </is>
      </c>
      <c r="D21" s="29">
        <f>D20+D19/2/12</f>
        <v/>
      </c>
      <c r="E21" t="inlineStr">
        <is>
          <t>ft</t>
        </is>
      </c>
    </row>
    <row r="22">
      <c r="B22" s="34" t="inlineStr">
        <is>
          <t>Effective unit weight of soil</t>
        </is>
      </c>
      <c r="C22" s="52" t="inlineStr">
        <is>
          <t>γ</t>
        </is>
      </c>
      <c r="D22" s="35">
        <f>'Input&amp;Summary'!F5</f>
        <v/>
      </c>
      <c r="E22" t="inlineStr">
        <is>
          <t>lb/ft3</t>
        </is>
      </c>
      <c r="H22" s="9" t="inlineStr">
        <is>
          <t>φ (degrees)</t>
        </is>
      </c>
      <c r="I22" s="9" t="inlineStr">
        <is>
          <t>a</t>
        </is>
      </c>
      <c r="J22" s="9" t="inlineStr">
        <is>
          <t>b</t>
        </is>
      </c>
      <c r="K22" s="9" t="inlineStr">
        <is>
          <t>c</t>
        </is>
      </c>
      <c r="L22" s="9" t="inlineStr">
        <is>
          <t>d</t>
        </is>
      </c>
      <c r="M22" s="9" t="inlineStr">
        <is>
          <t>e</t>
        </is>
      </c>
    </row>
    <row r="23">
      <c r="B23" s="34" t="inlineStr">
        <is>
          <t>Soil cohesion</t>
        </is>
      </c>
      <c r="C23" s="42" t="inlineStr">
        <is>
          <t>c</t>
        </is>
      </c>
      <c r="D23" s="35">
        <f>'Input&amp;Summary'!F4</f>
        <v/>
      </c>
      <c r="E23" t="inlineStr">
        <is>
          <t>psf</t>
        </is>
      </c>
      <c r="G23" s="70" t="inlineStr">
        <is>
          <t>Nch</t>
        </is>
      </c>
      <c r="H23" s="10" t="n">
        <v>0</v>
      </c>
      <c r="I23" s="10" t="n">
        <v>6.752</v>
      </c>
      <c r="J23" s="10" t="n">
        <v>0.065</v>
      </c>
      <c r="K23" s="10" t="n">
        <v>-11.063</v>
      </c>
      <c r="L23" s="10" t="n">
        <v>7.119</v>
      </c>
      <c r="M23" s="10" t="n"/>
    </row>
    <row r="24">
      <c r="B24" s="34" t="inlineStr">
        <is>
          <t>Internal friction angle for soil</t>
        </is>
      </c>
      <c r="C24" s="44" t="inlineStr">
        <is>
          <t>φ</t>
        </is>
      </c>
      <c r="D24" s="35">
        <f>'Input&amp;Summary'!F3</f>
        <v/>
      </c>
      <c r="E24" t="inlineStr">
        <is>
          <t>degrees</t>
        </is>
      </c>
      <c r="G24" s="70" t="inlineStr">
        <is>
          <t>Nqh</t>
        </is>
      </c>
      <c r="H24" s="10" t="n">
        <v>20</v>
      </c>
      <c r="I24" s="10" t="n">
        <v>2.399</v>
      </c>
      <c r="J24" s="10" t="n">
        <v>0.439</v>
      </c>
      <c r="K24" s="10" t="n">
        <v>-0.03</v>
      </c>
      <c r="L24" s="11" t="n">
        <v>0.001059</v>
      </c>
      <c r="M24" s="11" t="n">
        <v>-1.754e-05</v>
      </c>
    </row>
    <row r="25">
      <c r="B25" s="34" t="inlineStr">
        <is>
          <t>Horizontal bearing capacity factor for clay</t>
        </is>
      </c>
      <c r="C25" s="53" t="inlineStr">
        <is>
          <t>Nch</t>
        </is>
      </c>
      <c r="D25" s="30">
        <f>IF(D27+D28*D32+D29/(D32+1)^2+D30/(D32+1)^3&gt;9,9,D27+D28*D32+D29/(D32+1)^2+D30/(D32+1)^3)</f>
        <v/>
      </c>
      <c r="G25" s="76" t="n"/>
      <c r="H25" s="10" t="n">
        <v>25</v>
      </c>
      <c r="I25" s="10" t="n">
        <v>3.332</v>
      </c>
      <c r="J25" s="10" t="n">
        <v>0.839</v>
      </c>
      <c r="K25" s="10" t="n">
        <v>-0.09</v>
      </c>
      <c r="L25" s="11" t="n">
        <v>0.005606</v>
      </c>
      <c r="M25" s="11" t="n">
        <v>-0.0001319</v>
      </c>
    </row>
    <row r="26">
      <c r="B26" s="34" t="inlineStr">
        <is>
          <t>Horizontal bearing capacity factor for sand</t>
        </is>
      </c>
      <c r="C26" s="53" t="inlineStr">
        <is>
          <t>Nqh</t>
        </is>
      </c>
      <c r="D26" s="30">
        <f>D27+D28*D32+D29*D32^2+D30*D32^3+D31*D32^4</f>
        <v/>
      </c>
      <c r="G26" s="76" t="n"/>
      <c r="H26" s="10" t="n">
        <v>30</v>
      </c>
      <c r="I26" s="10" t="n">
        <v>4.565</v>
      </c>
      <c r="J26" s="10" t="n">
        <v>1.234</v>
      </c>
      <c r="K26" s="10" t="n">
        <v>-0.089</v>
      </c>
      <c r="L26" s="11" t="n">
        <v>0.004275</v>
      </c>
      <c r="M26" s="11" t="n">
        <v>-9.159e-05</v>
      </c>
    </row>
    <row r="27">
      <c r="B27" s="34" t="inlineStr">
        <is>
          <t>a</t>
        </is>
      </c>
      <c r="C27" s="34" t="n"/>
      <c r="D27" s="30">
        <f>IF($D$24&gt;=45,$I$29,(INDEX($H$23:$M$29,MATCH($D$24,$H$23:$H$29,1)+1,2)-INDEX($H$23:$M$29,MATCH($D$24,$H$23:$H$29,1),2))/(INDEX($H$23:$M$29,MATCH($D$24,$H$23:$H$29,1)+1,1)-INDEX($H$23:$M$29,MATCH($D$24,$H$23:$H$29,1),1))*($D$24-INDEX($H$23:$M$29,MATCH($D$24,$H$23:$H$29,1),1))+INDEX($H$23:$M$29,MATCH($D$24,$H$23:$H$29,1),2))</f>
        <v/>
      </c>
      <c r="G27" s="76" t="n"/>
      <c r="H27" s="10" t="n">
        <v>35</v>
      </c>
      <c r="I27" s="10" t="n">
        <v>6.816</v>
      </c>
      <c r="J27" s="10" t="n">
        <v>2.019</v>
      </c>
      <c r="K27" s="10" t="n">
        <v>-0.146</v>
      </c>
      <c r="L27" s="11" t="n">
        <v>0.007651</v>
      </c>
      <c r="M27" s="11" t="n">
        <v>-0.0001683</v>
      </c>
    </row>
    <row r="28">
      <c r="B28" s="34" t="inlineStr">
        <is>
          <t>b</t>
        </is>
      </c>
      <c r="C28" s="34" t="n"/>
      <c r="D28" s="30">
        <f>IF($D$24&gt;=45,$J$29,(INDEX($H$23:$M$29,MATCH($D$24,$H$23:$H$29,1)+1,3)-INDEX($H$23:$M$29,MATCH($D$24,$H$23:$H$29,1),3))/(INDEX($H$23:$M$29,MATCH($D$24,$H$23:$H$29,1)+1,1)-INDEX($H$23:$M$29,MATCH($D$24,$H$23:$H$29,1),1))*($D$24-INDEX($H$23:$M$29,MATCH($D$24,$H$23:$H$29,1),1))+INDEX($H$23:$M$29,MATCH($D$24,$H$23:$H$29,1),3))</f>
        <v/>
      </c>
      <c r="G28" s="76" t="n"/>
      <c r="H28" s="10" t="n">
        <v>40</v>
      </c>
      <c r="I28" s="10" t="n">
        <v>10.959</v>
      </c>
      <c r="J28" s="10" t="n">
        <v>1.783</v>
      </c>
      <c r="K28" s="10" t="n">
        <v>0.045</v>
      </c>
      <c r="L28" s="11" t="n">
        <v>-0.005425</v>
      </c>
      <c r="M28" s="11" t="n">
        <v>-0.0001153</v>
      </c>
    </row>
    <row r="29">
      <c r="B29" s="34" t="inlineStr">
        <is>
          <t>c</t>
        </is>
      </c>
      <c r="C29" s="34" t="n"/>
      <c r="D29" s="30">
        <f>IF($D$24&gt;=45,$K$29,(INDEX($H$23:$M$29,MATCH($D$24,$H$23:$H$29,1)+1,4)-INDEX($H$23:$M$29,MATCH($D$24,$H$23:$H$29,1),4))/(INDEX($H$23:$M$29,MATCH($D$24,$H$23:$H$29,1)+1,1)-INDEX($H$23:$M$29,MATCH($D$24,$H$23:$H$29,1),1))*($D$24-INDEX($H$23:$M$29,MATCH($D$24,$H$23:$H$29,1),1))+INDEX($H$23:$M$29,MATCH($D$24,$H$23:$H$29,1),4))</f>
        <v/>
      </c>
      <c r="G29" s="77" t="n"/>
      <c r="H29" s="10" t="n">
        <v>45</v>
      </c>
      <c r="I29" s="10" t="n">
        <v>17.658</v>
      </c>
      <c r="J29" s="10" t="n">
        <v>3.309</v>
      </c>
      <c r="K29" s="10" t="n">
        <v>0.048</v>
      </c>
      <c r="L29" s="11" t="n">
        <v>-0.006443</v>
      </c>
      <c r="M29" s="11" t="n">
        <v>-0.0001299</v>
      </c>
    </row>
    <row r="30">
      <c r="B30" s="34" t="inlineStr">
        <is>
          <t>d</t>
        </is>
      </c>
      <c r="C30" s="34" t="n"/>
      <c r="D30" s="30">
        <f>IF($D$24&gt;=45,$L$29,(INDEX($H$23:$M$29,MATCH($D$24,$H$23:$H$29,1)+1,5)-INDEX($H$23:$M$29,MATCH($D$24,$H$23:$H$29,1),5))/(INDEX($H$23:$M$29,MATCH($D$24,$H$23:$H$29,1)+1,1)-INDEX($H$23:$M$29,MATCH($D$24,$H$23:$H$29,1),1))*($D$24-INDEX($H$23:$M$29,MATCH($D$24,$H$23:$H$29,1),1))+INDEX($H$23:$M$29,MATCH($D$24,$H$23:$H$29,1),5))</f>
        <v/>
      </c>
    </row>
    <row r="31">
      <c r="B31" s="34" t="inlineStr">
        <is>
          <t>e</t>
        </is>
      </c>
      <c r="C31" s="34" t="n"/>
      <c r="D31" s="30">
        <f>IF($D$24&gt;=45,$M$29,(INDEX($H$23:$M$29,MATCH($D$24,$H$23:$H$29,1)+1,6)-INDEX($H$23:$M$29,MATCH($D$24,$H$23:$H$29,1),6))/(INDEX($H$23:$M$29,MATCH($D$24,$H$23:$H$29,1)+1,1)-INDEX($H$23:$M$29,MATCH($D$24,$H$23:$H$29,1),1))*($D$24-INDEX($H$23:$M$29,MATCH($D$24,$H$23:$H$29,1),1))+INDEX($H$23:$M$29,MATCH($D$24,$H$23:$H$29,1),6))</f>
        <v/>
      </c>
    </row>
    <row r="32">
      <c r="B32" s="34" t="inlineStr">
        <is>
          <t>H/D</t>
        </is>
      </c>
      <c r="C32" s="34" t="n"/>
      <c r="D32" s="30">
        <f>D21/D19/12</f>
        <v/>
      </c>
    </row>
    <row r="34">
      <c r="B34" s="4" t="inlineStr">
        <is>
          <t>Lateral soil force</t>
        </is>
      </c>
      <c r="C34" s="51" t="inlineStr">
        <is>
          <t>Pu</t>
        </is>
      </c>
      <c r="D34" s="75">
        <f>D25*D23*D19/12+D26*D22*D21*D19/12</f>
        <v/>
      </c>
      <c r="E34" t="inlineStr">
        <is>
          <t>lbs/ft</t>
        </is>
      </c>
    </row>
    <row r="35">
      <c r="D35" s="14">
        <f>D34/1000</f>
        <v/>
      </c>
      <c r="E35" t="inlineStr">
        <is>
          <t>kips/ft</t>
        </is>
      </c>
    </row>
    <row r="38">
      <c r="A38" s="46" t="inlineStr">
        <is>
          <t>Vertical Forces</t>
        </is>
      </c>
    </row>
    <row r="39">
      <c r="B39" s="34" t="inlineStr">
        <is>
          <t>Pipe outside diameter</t>
        </is>
      </c>
      <c r="C39" s="42" t="inlineStr">
        <is>
          <t>OD</t>
        </is>
      </c>
      <c r="D39" s="35">
        <f>'Input&amp;Summary'!C3</f>
        <v/>
      </c>
      <c r="E39" t="inlineStr">
        <is>
          <t>inches</t>
        </is>
      </c>
      <c r="G39" s="68" t="inlineStr">
        <is>
          <t xml:space="preserve"> Bearing Capacity Factor of Soil</t>
        </is>
      </c>
    </row>
    <row r="40">
      <c r="B40" s="34" t="inlineStr">
        <is>
          <t>Depth of cover</t>
        </is>
      </c>
      <c r="C40" s="42" t="inlineStr">
        <is>
          <t>DOC</t>
        </is>
      </c>
      <c r="D40" s="35">
        <f>'Input&amp;Summary'!C6</f>
        <v/>
      </c>
      <c r="E40" t="inlineStr">
        <is>
          <t>ft</t>
        </is>
      </c>
    </row>
    <row r="41">
      <c r="B41" s="34" t="inlineStr">
        <is>
          <t>Depth to pipe centerline</t>
        </is>
      </c>
      <c r="C41" s="42" t="inlineStr">
        <is>
          <t>H</t>
        </is>
      </c>
      <c r="D41" s="29">
        <f>D40+D39/2/12</f>
        <v/>
      </c>
      <c r="E41" t="inlineStr">
        <is>
          <t>ft</t>
        </is>
      </c>
    </row>
    <row r="42">
      <c r="B42" s="34" t="inlineStr">
        <is>
          <t>Effective unit weight of soil</t>
        </is>
      </c>
      <c r="C42" s="52" t="inlineStr">
        <is>
          <t>γ</t>
        </is>
      </c>
      <c r="D42" s="35">
        <f>'Input&amp;Summary'!F5</f>
        <v/>
      </c>
      <c r="E42" t="inlineStr">
        <is>
          <t>lb/ft3</t>
        </is>
      </c>
    </row>
    <row r="43">
      <c r="B43" s="34" t="inlineStr">
        <is>
          <t>Total unit weight of soil</t>
        </is>
      </c>
      <c r="C43" s="44" t="inlineStr">
        <is>
          <t>γ</t>
        </is>
      </c>
      <c r="D43" s="35">
        <f>D42</f>
        <v/>
      </c>
    </row>
    <row r="44">
      <c r="B44" s="34" t="inlineStr">
        <is>
          <t>Soil cohesion</t>
        </is>
      </c>
      <c r="C44" s="42" t="inlineStr">
        <is>
          <t>c</t>
        </is>
      </c>
      <c r="D44" s="35">
        <f>'Input&amp;Summary'!F4</f>
        <v/>
      </c>
      <c r="E44" t="inlineStr">
        <is>
          <t>psf</t>
        </is>
      </c>
    </row>
    <row r="45">
      <c r="B45" s="34" t="inlineStr">
        <is>
          <t>Internal friction angle for soil</t>
        </is>
      </c>
      <c r="C45" s="44" t="inlineStr">
        <is>
          <t>φ</t>
        </is>
      </c>
      <c r="D45" s="35">
        <f>'Input&amp;Summary'!F3</f>
        <v/>
      </c>
      <c r="E45" t="inlineStr">
        <is>
          <t>degrees</t>
        </is>
      </c>
    </row>
    <row r="46">
      <c r="B46" s="2" t="n"/>
      <c r="C46" s="54" t="n"/>
      <c r="D46" s="13" t="n"/>
    </row>
    <row r="47">
      <c r="B47" s="34" t="inlineStr">
        <is>
          <t xml:space="preserve">Vertical bearing capacity factor </t>
        </is>
      </c>
      <c r="C47" s="53" t="inlineStr">
        <is>
          <t>Nc</t>
        </is>
      </c>
      <c r="D47" s="31">
        <f>_xlfn.COT(RADIANS(D45+0.001))*(EXP(PI()*TAN(RADIANS(D45+0.001)))*TAN(RADIANS(45+(D45+0.001)/2))^2-1)</f>
        <v/>
      </c>
    </row>
    <row r="48">
      <c r="B48" s="34" t="inlineStr">
        <is>
          <t xml:space="preserve">Vertical bearing capacity factor </t>
        </is>
      </c>
      <c r="C48" s="53" t="inlineStr">
        <is>
          <t>Nq</t>
        </is>
      </c>
      <c r="D48" s="31">
        <f>EXP(PI()*TAN(RADIANS(D45)))*TAN(RADIANS(45+D45/2))^2</f>
        <v/>
      </c>
    </row>
    <row r="49">
      <c r="B49" s="34" t="inlineStr">
        <is>
          <t xml:space="preserve">Vertical bearing capacity factor </t>
        </is>
      </c>
      <c r="C49" s="53" t="inlineStr">
        <is>
          <t>Nγ</t>
        </is>
      </c>
      <c r="D49" s="31">
        <f>EXP(0.18*D45-2.5)</f>
        <v/>
      </c>
    </row>
    <row r="51" ht="19.5" customHeight="1">
      <c r="B51" s="36" t="inlineStr">
        <is>
          <t>Vertical Bearing Soil Force</t>
        </is>
      </c>
      <c r="C51" s="47" t="inlineStr">
        <is>
          <t>Qd</t>
        </is>
      </c>
      <c r="D51" s="75">
        <f>D47*D44*D39/12+D48*D42*D41*D39/12+D49*D43*0.5*(D39/12)^2</f>
        <v/>
      </c>
      <c r="E51" t="inlineStr">
        <is>
          <t>lbs/ft</t>
        </is>
      </c>
    </row>
    <row r="52">
      <c r="D52" s="14">
        <f>D51/1000</f>
        <v/>
      </c>
      <c r="E52" t="inlineStr">
        <is>
          <t>kips/ft</t>
        </is>
      </c>
    </row>
    <row r="54">
      <c r="B54" s="33" t="inlineStr">
        <is>
          <t xml:space="preserve">Vertical bearing capacity factor </t>
        </is>
      </c>
      <c r="C54" s="55" t="inlineStr">
        <is>
          <t>Ncv</t>
        </is>
      </c>
      <c r="D54" s="30">
        <f>IF(2*(D41/D39/12)&gt;10,10,2*(D41/D39/12))</f>
        <v/>
      </c>
      <c r="E54">
        <f>IF(D54&lt;10,"&lt;10 ok","error")</f>
        <v/>
      </c>
    </row>
    <row r="55">
      <c r="B55" s="33" t="inlineStr">
        <is>
          <t xml:space="preserve">Vertical bearing capacity factor </t>
        </is>
      </c>
      <c r="C55" s="55" t="inlineStr">
        <is>
          <t>Nqv</t>
        </is>
      </c>
      <c r="D55" s="27">
        <f>IF(D45*D41/(44*(D39/12))&gt;D48,D48,D45*D41/(44*(D39/12)))</f>
        <v/>
      </c>
      <c r="E55">
        <f>IF(D55&lt;D48,"&lt;Nq ok","error")</f>
        <v/>
      </c>
    </row>
    <row r="57" ht="19.5" customHeight="1">
      <c r="B57" s="36" t="inlineStr">
        <is>
          <t>Vertical Uplift Soil Force</t>
        </is>
      </c>
      <c r="C57" s="47" t="inlineStr">
        <is>
          <t>Qu</t>
        </is>
      </c>
      <c r="D57" s="5">
        <f>D54*D44*D39/12+D55*D42*D41*D39/12</f>
        <v/>
      </c>
      <c r="E57" t="inlineStr">
        <is>
          <t>lbs/ft</t>
        </is>
      </c>
    </row>
    <row r="58">
      <c r="D58" s="14">
        <f>D57/1000</f>
        <v/>
      </c>
      <c r="E58" t="inlineStr">
        <is>
          <t>kips/ft</t>
        </is>
      </c>
    </row>
    <row r="61">
      <c r="A61" s="46" t="inlineStr">
        <is>
          <t>Longitudinal PGD Stress</t>
        </is>
      </c>
    </row>
    <row r="62">
      <c r="B62" s="34" t="inlineStr">
        <is>
          <t>Pipe outside diameter</t>
        </is>
      </c>
      <c r="C62" s="42" t="inlineStr">
        <is>
          <t>OD</t>
        </is>
      </c>
      <c r="D62" s="35">
        <f>'Input&amp;Summary'!C3</f>
        <v/>
      </c>
      <c r="E62" t="inlineStr">
        <is>
          <t>inches</t>
        </is>
      </c>
      <c r="G62" s="69" t="inlineStr">
        <is>
          <t>Pipeline crossing permanent ground deformation zone in the direction of ground movement.</t>
        </is>
      </c>
      <c r="L62" s="12" t="n"/>
      <c r="M62" s="8" t="inlineStr">
        <is>
          <t>Pipe Grade</t>
        </is>
      </c>
      <c r="N62" s="9" t="inlineStr">
        <is>
          <t>Yield stress (psi)</t>
        </is>
      </c>
      <c r="O62" s="9" t="inlineStr">
        <is>
          <t>n</t>
        </is>
      </c>
      <c r="P62" s="9" t="inlineStr">
        <is>
          <t>r</t>
        </is>
      </c>
    </row>
    <row r="63">
      <c r="B63" s="34" t="inlineStr">
        <is>
          <t>Wall thickness of pipe</t>
        </is>
      </c>
      <c r="C63" s="42" t="inlineStr">
        <is>
          <t>t</t>
        </is>
      </c>
      <c r="D63" s="35">
        <f>'Input&amp;Summary'!C4</f>
        <v/>
      </c>
      <c r="E63" t="inlineStr">
        <is>
          <t>inches</t>
        </is>
      </c>
      <c r="M63" s="15" t="inlineStr">
        <is>
          <t>Grade B</t>
        </is>
      </c>
      <c r="N63" s="16" t="n">
        <v>35000</v>
      </c>
      <c r="O63" s="16" t="n">
        <v>10</v>
      </c>
      <c r="P63" s="16" t="n">
        <v>100</v>
      </c>
    </row>
    <row r="64">
      <c r="B64" s="34" t="inlineStr">
        <is>
          <t>Pipe Grade / SMYS</t>
        </is>
      </c>
      <c r="C64" s="42">
        <f>'Input&amp;Summary'!C5</f>
        <v/>
      </c>
      <c r="D64" s="35">
        <f>VLOOKUP(C64,M63:N67,2)</f>
        <v/>
      </c>
      <c r="E64" t="inlineStr">
        <is>
          <t>psi</t>
        </is>
      </c>
      <c r="F64" s="62">
        <f>1.76*D63/D62</f>
        <v/>
      </c>
      <c r="G64" s="69" t="n"/>
      <c r="H64" s="69" t="n"/>
      <c r="I64" s="69" t="n"/>
      <c r="J64" s="69" t="n"/>
      <c r="K64" s="69" t="n"/>
      <c r="M64" s="15" t="inlineStr">
        <is>
          <t>X-42</t>
        </is>
      </c>
      <c r="N64" s="16" t="n">
        <v>42000</v>
      </c>
      <c r="O64" s="16" t="n">
        <v>15</v>
      </c>
      <c r="P64" s="16" t="n">
        <v>32</v>
      </c>
    </row>
    <row r="65">
      <c r="B65" s="34" t="inlineStr">
        <is>
          <t>Modulus of elasticity</t>
        </is>
      </c>
      <c r="C65" s="44" t="inlineStr">
        <is>
          <t>E</t>
        </is>
      </c>
      <c r="D65" s="40" t="n">
        <v>29000000</v>
      </c>
      <c r="E65" t="inlineStr">
        <is>
          <t>psi</t>
        </is>
      </c>
      <c r="F65" s="62" t="n"/>
      <c r="M65" s="15" t="inlineStr">
        <is>
          <t>X-52</t>
        </is>
      </c>
      <c r="N65" s="16" t="n">
        <v>52000</v>
      </c>
      <c r="O65" s="16" t="n">
        <v>9</v>
      </c>
      <c r="P65" s="16" t="n">
        <v>10</v>
      </c>
    </row>
    <row r="66">
      <c r="B66" s="34" t="inlineStr">
        <is>
          <t>Length of PGD zone/Length of pipe in slide</t>
        </is>
      </c>
      <c r="C66" s="44" t="inlineStr">
        <is>
          <t>L</t>
        </is>
      </c>
      <c r="D66" s="35">
        <f>'Input&amp;Summary'!C7</f>
        <v/>
      </c>
      <c r="E66" t="inlineStr">
        <is>
          <t>ft</t>
        </is>
      </c>
      <c r="M66" s="15" t="inlineStr">
        <is>
          <t>X-60</t>
        </is>
      </c>
      <c r="N66" s="16" t="n">
        <v>60000</v>
      </c>
      <c r="O66" s="16" t="n">
        <v>10</v>
      </c>
      <c r="P66" s="16" t="n">
        <v>12</v>
      </c>
    </row>
    <row r="67">
      <c r="B67" s="34" t="inlineStr">
        <is>
          <t>Axial soil force</t>
        </is>
      </c>
      <c r="C67" s="44" t="inlineStr">
        <is>
          <t>Tu</t>
        </is>
      </c>
      <c r="D67" s="31">
        <f>Calcs!D15</f>
        <v/>
      </c>
      <c r="E67" t="inlineStr">
        <is>
          <t>lbs/ft</t>
        </is>
      </c>
      <c r="M67" s="15" t="inlineStr">
        <is>
          <t>X-70</t>
        </is>
      </c>
      <c r="N67" s="16" t="n">
        <v>70000</v>
      </c>
      <c r="O67" s="16" t="n">
        <v>5.5</v>
      </c>
      <c r="P67" s="16" t="n">
        <v>16.6</v>
      </c>
    </row>
    <row r="68">
      <c r="B68" s="2" t="n"/>
      <c r="C68" s="54" t="n"/>
      <c r="D68" s="13" t="n"/>
    </row>
    <row r="69">
      <c r="B69" s="34" t="inlineStr">
        <is>
          <t>Elastic strain</t>
        </is>
      </c>
      <c r="C69" s="56" t="inlineStr">
        <is>
          <t>εel</t>
        </is>
      </c>
      <c r="D69" s="78">
        <f>D67*D66/(2*PI()*D62*D63*D65)</f>
        <v/>
      </c>
      <c r="F69" s="79" t="n"/>
      <c r="O69" s="1">
        <f>LOOKUP(C64,M63:M67,O63:O67)</f>
        <v/>
      </c>
      <c r="P69" s="1">
        <f>LOOKUP(C64,M63:M67,P63:P67)</f>
        <v/>
      </c>
    </row>
    <row r="70">
      <c r="B70" s="34" t="inlineStr">
        <is>
          <t>Plastic strain</t>
        </is>
      </c>
      <c r="C70" s="56" t="inlineStr">
        <is>
          <t>εpl</t>
        </is>
      </c>
      <c r="D70" s="80">
        <f>D67*D66/(2*PI()*D62*D63)/D65*(O69/(1+P69))*(D67*D66/(2*PI()*D62*D63)/D64)^P69</f>
        <v/>
      </c>
    </row>
    <row r="71">
      <c r="B71" s="34" t="inlineStr">
        <is>
          <t>Total strain</t>
        </is>
      </c>
      <c r="C71" s="56" t="inlineStr">
        <is>
          <t>ε tot</t>
        </is>
      </c>
      <c r="D71" s="80">
        <f>D69+D70</f>
        <v/>
      </c>
    </row>
    <row r="73" ht="19.5" customHeight="1">
      <c r="B73" s="4" t="inlineStr">
        <is>
          <t>Bending Stress on pipe</t>
        </is>
      </c>
      <c r="C73" s="57" t="inlineStr">
        <is>
          <t>σaxial</t>
        </is>
      </c>
      <c r="D73" s="59">
        <f>D69*D65</f>
        <v/>
      </c>
      <c r="E73" t="inlineStr">
        <is>
          <t>psi</t>
        </is>
      </c>
      <c r="F73">
        <f>IF(D73&gt;D80, "FAIL","PASS")</f>
        <v/>
      </c>
    </row>
    <row r="75">
      <c r="B75" s="17" t="inlineStr">
        <is>
          <t>Design Factor</t>
        </is>
      </c>
      <c r="C75" s="58" t="n"/>
      <c r="D75" s="35" t="n">
        <v>0.54</v>
      </c>
    </row>
    <row r="76">
      <c r="B76" s="17" t="inlineStr">
        <is>
          <t>Pipe Internal Diameter</t>
        </is>
      </c>
      <c r="C76" s="58" t="inlineStr">
        <is>
          <t>ID</t>
        </is>
      </c>
      <c r="D76" s="35">
        <f>D62-2*D63</f>
        <v/>
      </c>
      <c r="E76" t="inlineStr">
        <is>
          <t>in.</t>
        </is>
      </c>
    </row>
    <row r="77">
      <c r="B77" s="17" t="inlineStr">
        <is>
          <t>Maximum Operating Pressure</t>
        </is>
      </c>
      <c r="C77" s="58" t="inlineStr">
        <is>
          <t>MOP</t>
        </is>
      </c>
      <c r="D77" s="35">
        <f>'Input&amp;Summary'!C9</f>
        <v/>
      </c>
      <c r="E77" t="inlineStr">
        <is>
          <t>psi</t>
        </is>
      </c>
    </row>
    <row r="78">
      <c r="B78" s="17" t="inlineStr">
        <is>
          <t xml:space="preserve">Allowable Stress </t>
        </is>
      </c>
      <c r="C78" s="58" t="n"/>
      <c r="D78" s="27">
        <f>D75*D64</f>
        <v/>
      </c>
      <c r="E78" t="inlineStr">
        <is>
          <t>psi</t>
        </is>
      </c>
      <c r="H78" s="22" t="n"/>
    </row>
    <row r="79">
      <c r="B79" s="17" t="inlineStr">
        <is>
          <t>Internal pressure stress</t>
        </is>
      </c>
      <c r="C79" s="58" t="n"/>
      <c r="D79" s="31">
        <f>D77*D62/(4*D63)</f>
        <v/>
      </c>
      <c r="E79" t="inlineStr">
        <is>
          <t>psi</t>
        </is>
      </c>
      <c r="H79" s="22" t="n"/>
    </row>
    <row r="80">
      <c r="B80" s="17" t="inlineStr">
        <is>
          <t>Remaining Stress Available</t>
        </is>
      </c>
      <c r="C80" s="58" t="n"/>
      <c r="D80" s="31">
        <f>D78-D79</f>
        <v/>
      </c>
      <c r="E80" t="inlineStr">
        <is>
          <t>psi</t>
        </is>
      </c>
      <c r="F80" s="81" t="n"/>
    </row>
    <row r="82">
      <c r="B82" s="17" t="inlineStr">
        <is>
          <t>Allowable length of Longitudinal PGD</t>
        </is>
      </c>
      <c r="C82" s="58" t="n"/>
      <c r="D82" s="31">
        <f>(D80/D65)*(2*PI()*D62*D63*D65)/D67</f>
        <v/>
      </c>
      <c r="E82" t="inlineStr">
        <is>
          <t>ft</t>
        </is>
      </c>
    </row>
    <row r="84">
      <c r="A84" s="46" t="inlineStr">
        <is>
          <t>Transverse PGD Stress</t>
        </is>
      </c>
    </row>
    <row r="85">
      <c r="B85" s="34" t="inlineStr">
        <is>
          <t>Pipe outside diameter</t>
        </is>
      </c>
      <c r="C85" s="42" t="inlineStr">
        <is>
          <t>OD</t>
        </is>
      </c>
      <c r="D85" s="29">
        <f>'Input&amp;Summary'!C3</f>
        <v/>
      </c>
      <c r="E85" t="inlineStr">
        <is>
          <t>inches</t>
        </is>
      </c>
      <c r="G85" s="69" t="inlineStr">
        <is>
          <t>Pipeline crossing permanent ground deformation zone transverse to the direction of ground movement.</t>
        </is>
      </c>
      <c r="L85" s="12" t="n"/>
      <c r="M85" s="12" t="n"/>
    </row>
    <row r="86">
      <c r="B86" s="34" t="inlineStr">
        <is>
          <t>Wall thickness of pipe</t>
        </is>
      </c>
      <c r="C86" s="42" t="inlineStr">
        <is>
          <t>t</t>
        </is>
      </c>
      <c r="D86" s="35">
        <f>'Input&amp;Summary'!C4</f>
        <v/>
      </c>
      <c r="E86" t="inlineStr">
        <is>
          <t>inches</t>
        </is>
      </c>
    </row>
    <row r="87">
      <c r="B87" s="34" t="inlineStr">
        <is>
          <t>Pipe Grade</t>
        </is>
      </c>
      <c r="C87" s="42">
        <f>'Input&amp;Summary'!C5</f>
        <v/>
      </c>
      <c r="D87" s="43">
        <f>VLOOKUP(C87,M63:N67,2)</f>
        <v/>
      </c>
      <c r="E87" t="inlineStr">
        <is>
          <t>psi</t>
        </is>
      </c>
      <c r="G87" s="69" t="n"/>
      <c r="H87" s="69" t="n"/>
      <c r="I87" s="69" t="n"/>
      <c r="J87" s="69" t="n"/>
      <c r="K87" s="69" t="n"/>
    </row>
    <row r="88">
      <c r="B88" s="34" t="inlineStr">
        <is>
          <t>Modulus of elasticity</t>
        </is>
      </c>
      <c r="C88" s="44" t="inlineStr">
        <is>
          <t>E</t>
        </is>
      </c>
      <c r="D88" s="40" t="n">
        <v>29000000</v>
      </c>
      <c r="E88" t="inlineStr">
        <is>
          <t>psi</t>
        </is>
      </c>
    </row>
    <row r="89">
      <c r="B89" s="34" t="inlineStr">
        <is>
          <t>Width of PGD zone/Length of pipe in slide</t>
        </is>
      </c>
      <c r="C89" s="44" t="inlineStr">
        <is>
          <t>L</t>
        </is>
      </c>
      <c r="D89" s="35">
        <f>'Input&amp;Summary'!C7</f>
        <v/>
      </c>
      <c r="E89" t="inlineStr">
        <is>
          <t>ft</t>
        </is>
      </c>
    </row>
    <row r="90">
      <c r="B90" s="34" t="inlineStr">
        <is>
          <t>Lateral soil force</t>
        </is>
      </c>
      <c r="C90" s="44" t="inlineStr">
        <is>
          <t>Pu</t>
        </is>
      </c>
      <c r="D90" s="31">
        <f>D34</f>
        <v/>
      </c>
      <c r="E90" t="inlineStr">
        <is>
          <t>lbs/ft</t>
        </is>
      </c>
    </row>
    <row r="91">
      <c r="B91" s="2" t="n"/>
      <c r="C91" s="54" t="n"/>
      <c r="D91" s="13" t="n"/>
    </row>
    <row r="92">
      <c r="B92" s="34" t="inlineStr">
        <is>
          <t>Elastic strain</t>
        </is>
      </c>
      <c r="C92" s="56" t="inlineStr">
        <is>
          <t>εel</t>
        </is>
      </c>
      <c r="D92" s="80">
        <f>D90*D89^2/(3*PI()*D88*144*D86/12*(D85/12)^2)</f>
        <v/>
      </c>
    </row>
    <row r="94" ht="19.5" customHeight="1">
      <c r="B94" s="36" t="inlineStr">
        <is>
          <t>Bending stress on pipe</t>
        </is>
      </c>
      <c r="C94" s="49" t="inlineStr">
        <is>
          <t>σaxial</t>
        </is>
      </c>
      <c r="D94" s="59">
        <f>D92*D88</f>
        <v/>
      </c>
      <c r="E94" t="inlineStr">
        <is>
          <t>psi</t>
        </is>
      </c>
      <c r="F94">
        <f>IF(D94&gt;D101, "FAIL","PASS")</f>
        <v/>
      </c>
    </row>
    <row r="96">
      <c r="B96" s="17" t="inlineStr">
        <is>
          <t>Design Factor</t>
        </is>
      </c>
      <c r="C96" s="58" t="n"/>
      <c r="D96" s="35" t="n">
        <v>0.54</v>
      </c>
    </row>
    <row r="97">
      <c r="B97" s="17" t="inlineStr">
        <is>
          <t>Pipe Internal Diameter</t>
        </is>
      </c>
      <c r="C97" s="58" t="inlineStr">
        <is>
          <t>ID</t>
        </is>
      </c>
      <c r="D97" s="35">
        <f>D85-2*D86</f>
        <v/>
      </c>
      <c r="E97" t="inlineStr">
        <is>
          <t>in.</t>
        </is>
      </c>
    </row>
    <row r="98">
      <c r="B98" s="17" t="inlineStr">
        <is>
          <t>Maximum Operating Pressure</t>
        </is>
      </c>
      <c r="C98" s="58" t="inlineStr">
        <is>
          <t>MOP</t>
        </is>
      </c>
      <c r="D98" s="35" t="n">
        <v>711</v>
      </c>
      <c r="E98" t="inlineStr">
        <is>
          <t>psi</t>
        </is>
      </c>
    </row>
    <row r="99">
      <c r="B99" s="17" t="inlineStr">
        <is>
          <t xml:space="preserve">Allowable Stress </t>
        </is>
      </c>
      <c r="C99" s="58" t="n"/>
      <c r="D99" s="27">
        <f>D96*D87</f>
        <v/>
      </c>
      <c r="E99" t="inlineStr">
        <is>
          <t>psi</t>
        </is>
      </c>
    </row>
    <row r="100">
      <c r="B100" s="17" t="inlineStr">
        <is>
          <t>Internal pressure stress</t>
        </is>
      </c>
      <c r="C100" s="58" t="n"/>
      <c r="D100" s="31">
        <f>D98*D85/(4*D86)</f>
        <v/>
      </c>
      <c r="E100" t="inlineStr">
        <is>
          <t>psi</t>
        </is>
      </c>
    </row>
    <row r="101">
      <c r="B101" s="17" t="inlineStr">
        <is>
          <t>Remaining Stress Available</t>
        </is>
      </c>
      <c r="C101" s="58" t="n"/>
      <c r="D101" s="31">
        <f>D99-D100</f>
        <v/>
      </c>
      <c r="E101" t="inlineStr">
        <is>
          <t>psi</t>
        </is>
      </c>
    </row>
    <row r="103">
      <c r="B103" s="17" t="inlineStr">
        <is>
          <t>Allowable length of Longitudinal PGD</t>
        </is>
      </c>
      <c r="C103" s="58" t="n"/>
      <c r="D103" s="31">
        <f>SQRT((D101/D88)*(3*PI()*D88*144*D86/12*(D85/12)^2)/D90)</f>
        <v/>
      </c>
      <c r="E103" t="inlineStr">
        <is>
          <t>ft</t>
        </is>
      </c>
    </row>
  </sheetData>
  <mergeCells count="6">
    <mergeCell ref="G85:K86"/>
    <mergeCell ref="G20:M20"/>
    <mergeCell ref="G24:G29"/>
    <mergeCell ref="G39:K39"/>
    <mergeCell ref="G3:H3"/>
    <mergeCell ref="G62:K63"/>
  </mergeCells>
  <conditionalFormatting sqref="E54">
    <cfRule type="containsText" priority="7" operator="containsText" dxfId="1" text="&lt;10 ok">
      <formula>NOT(ISERROR(SEARCH("&lt;10 ok",E54)))</formula>
    </cfRule>
    <cfRule type="containsText" priority="9" operator="containsText" dxfId="0" text="error">
      <formula>NOT(ISERROR(SEARCH("error",E54)))</formula>
    </cfRule>
  </conditionalFormatting>
  <conditionalFormatting sqref="E55">
    <cfRule type="containsText" priority="5" operator="containsText" dxfId="1" text="&lt;Nq ok">
      <formula>NOT(ISERROR(SEARCH("&lt;Nq ok",E55)))</formula>
    </cfRule>
    <cfRule type="containsText" priority="6" operator="containsText" dxfId="0" text="error">
      <formula>NOT(ISERROR(SEARCH("error",E55)))</formula>
    </cfRule>
  </conditionalFormatting>
  <conditionalFormatting sqref="F73">
    <cfRule type="containsText" priority="4" operator="containsText" dxfId="1" text="PASS">
      <formula>NOT(ISERROR(SEARCH("PASS",F73)))</formula>
    </cfRule>
    <cfRule type="containsText" priority="3" operator="containsText" dxfId="0" text="FAIL">
      <formula>NOT(ISERROR(SEARCH("FAIL",F73)))</formula>
    </cfRule>
  </conditionalFormatting>
  <conditionalFormatting sqref="F94">
    <cfRule type="containsText" priority="2" operator="containsText" dxfId="1" text="PASS">
      <formula>NOT(ISERROR(SEARCH("PASS",F94)))</formula>
    </cfRule>
    <cfRule type="containsText" priority="1" operator="containsText" dxfId="0" text="FAIL">
      <formula>NOT(ISERROR(SEARCH("FAIL",F94)))</formula>
    </cfRule>
  </conditionalFormatting>
  <pageMargins left="0.7" right="0.7" top="0.75" bottom="0.75" header="0.3" footer="0.3"/>
  <pageSetup orientation="landscape" scale="82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Spari, Markella K /C</dc:creator>
  <dcterms:created xsi:type="dcterms:W3CDTF">2018-08-14T17:38:27Z</dcterms:created>
  <dcterms:modified xsi:type="dcterms:W3CDTF">2025-08-18T19:46:17Z</dcterms:modified>
  <cp:lastModifiedBy>Arias-Robles, Brian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0x010100A32B5C8B71CB584AA08FA64CBC6EB5CD</vt:lpwstr>
  </property>
  <property name="MediaServiceImageTags" fmtid="{D5CDD505-2E9C-101B-9397-08002B2CF9AE}" pid="3">
    <vt:lpwstr/>
  </property>
</Properties>
</file>