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rcadiso365.sharepoint.com/teams/project-30208174/Shared Documents/Project/08 Discipline Files/03 Geotechnical/Working Files/60%/SP3 WW/bearing/"/>
    </mc:Choice>
  </mc:AlternateContent>
  <xr:revisionPtr revIDLastSave="5" documentId="8_{BA012EF9-238E-4B7B-92AC-BFE3834862BB}" xr6:coauthVersionLast="47" xr6:coauthVersionMax="47" xr10:uidLastSave="{AAAAE489-2CB6-4B05-B06B-470F49EC3249}"/>
  <bookViews>
    <workbookView xWindow="28680" yWindow="-120" windowWidth="29040" windowHeight="15720" firstSheet="1" activeTab="1" xr2:uid="{EBB4C9AE-76B1-47DD-957E-27135F75B2D1}"/>
  </bookViews>
  <sheets>
    <sheet name="Inputs and Assumptions" sheetId="6" r:id="rId1"/>
    <sheet name="Bearing" sheetId="1" r:id="rId2"/>
    <sheet name="Correction Factors" sheetId="9" r:id="rId3"/>
  </sheets>
  <definedNames>
    <definedName name="_xlnm.Print_Area" localSheetId="1">Bearing!$A$1:$J$64</definedName>
    <definedName name="_xlnm.Print_Area" localSheetId="0">'Inputs and Assumptions'!$A$1:$J$36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3" i="1"/>
  <c r="F20" i="1" l="1"/>
  <c r="F55" i="1"/>
  <c r="F27" i="1"/>
  <c r="F13" i="1"/>
  <c r="F45" i="1"/>
  <c r="F47" i="1"/>
  <c r="F24" i="1" l="1"/>
  <c r="F37" i="1" s="1"/>
  <c r="F23" i="1"/>
  <c r="F33" i="1" l="1"/>
  <c r="F34" i="1" s="1"/>
  <c r="F38" i="1" l="1"/>
  <c r="C43" i="1" s="1"/>
  <c r="F35" i="1"/>
  <c r="F36" i="1" s="1"/>
  <c r="C42" i="1" l="1"/>
  <c r="C41" i="1"/>
  <c r="H46" i="1"/>
  <c r="H47" i="1"/>
  <c r="C47" i="1"/>
  <c r="H45" i="1"/>
  <c r="C45" i="1"/>
  <c r="C46" i="1"/>
  <c r="G42" i="1" l="1"/>
  <c r="G43" i="1"/>
  <c r="G41" i="1"/>
  <c r="F51" i="1" l="1"/>
  <c r="F52" i="1" s="1"/>
  <c r="F65" i="1" s="1"/>
  <c r="F53" i="1" l="1"/>
  <c r="H55" i="1" s="1"/>
  <c r="F58" i="1"/>
  <c r="F57" i="1"/>
  <c r="F59" i="1" l="1"/>
</calcChain>
</file>

<file path=xl/sharedStrings.xml><?xml version="1.0" encoding="utf-8"?>
<sst xmlns="http://schemas.openxmlformats.org/spreadsheetml/2006/main" count="128" uniqueCount="99">
  <si>
    <t xml:space="preserve">Client:  </t>
  </si>
  <si>
    <t>Calculations by:</t>
  </si>
  <si>
    <t>Date:</t>
  </si>
  <si>
    <t xml:space="preserve">Project: </t>
  </si>
  <si>
    <t>Checked by:</t>
  </si>
  <si>
    <t xml:space="preserve">Subject: </t>
  </si>
  <si>
    <t xml:space="preserve">Bearing Capacity Calculation </t>
  </si>
  <si>
    <t>Assumptions:</t>
  </si>
  <si>
    <t>Minimum acceptable FS = 3.0</t>
  </si>
  <si>
    <t>Failure mechanism is general shear failure</t>
  </si>
  <si>
    <t>Soil below foundation level is homogenous</t>
  </si>
  <si>
    <t>Short-term, undrained soil properties</t>
  </si>
  <si>
    <t>Existing surrounding ground surface is relatively flat and level and relatively matches final ground surface</t>
  </si>
  <si>
    <t>The ground surface elevation is equal to the top-of-lid elevation</t>
  </si>
  <si>
    <t>Groundwater is at Elevationx feet</t>
  </si>
  <si>
    <t>Pressure applied at foundation is from the dead load of the structure</t>
  </si>
  <si>
    <t>Inside of box is dry</t>
  </si>
  <si>
    <t>Buoyant uplift pressures were not considered in the bearing capacity analysis.</t>
  </si>
  <si>
    <t>Soil Properties:</t>
  </si>
  <si>
    <t>Geometry:</t>
  </si>
  <si>
    <t>City of Virginia Beach</t>
  </si>
  <si>
    <t>Princess Anne Drainage Project PDB</t>
  </si>
  <si>
    <t>Shallow Foundation General Bearing Capacity - Meyerhof Method</t>
  </si>
  <si>
    <t>Governing Equation:</t>
  </si>
  <si>
    <t>Inputs/Assumptions:</t>
  </si>
  <si>
    <t>Factor of Safety (FS)</t>
  </si>
  <si>
    <t>Foundation load (excluding buoyant uplift)</t>
  </si>
  <si>
    <t>lbs</t>
  </si>
  <si>
    <t>@EL  ft</t>
  </si>
  <si>
    <t>Foundation uniform applied pressure*</t>
  </si>
  <si>
    <t>psf</t>
  </si>
  <si>
    <t>Cohesion (c)</t>
  </si>
  <si>
    <r>
      <rPr>
        <sz val="12"/>
        <color theme="1"/>
        <rFont val="Arial"/>
        <family val="2"/>
      </rPr>
      <t>Soil friction angle (</t>
    </r>
    <r>
      <rPr>
        <i/>
        <sz val="12"/>
        <color indexed="8"/>
        <rFont val="Arial"/>
        <family val="2"/>
      </rPr>
      <t>ɸ'</t>
    </r>
    <r>
      <rPr>
        <sz val="12"/>
        <color theme="1"/>
        <rFont val="Arial"/>
        <family val="2"/>
      </rPr>
      <t>)</t>
    </r>
  </si>
  <si>
    <t>°</t>
  </si>
  <si>
    <t>Elevation of top slab</t>
  </si>
  <si>
    <t>ft</t>
  </si>
  <si>
    <t>Elevation of base slab</t>
  </si>
  <si>
    <t>Elevation of groundwater</t>
  </si>
  <si>
    <t>Embedment Depth of Foundation (D)</t>
  </si>
  <si>
    <r>
      <t>Unit weight of soil below foundation (</t>
    </r>
    <r>
      <rPr>
        <i/>
        <sz val="12"/>
        <color indexed="8"/>
        <rFont val="Arial"/>
        <family val="2"/>
      </rPr>
      <t>Ɣ</t>
    </r>
    <r>
      <rPr>
        <i/>
        <vertAlign val="subscript"/>
        <sz val="12"/>
        <color indexed="8"/>
        <rFont val="Arial"/>
        <family val="2"/>
      </rPr>
      <t>H</t>
    </r>
    <r>
      <rPr>
        <sz val="12"/>
        <color theme="1"/>
        <rFont val="Arial"/>
        <family val="2"/>
      </rPr>
      <t>)</t>
    </r>
  </si>
  <si>
    <t>pcf</t>
  </si>
  <si>
    <r>
      <t>Unit weight of soil above foundation (</t>
    </r>
    <r>
      <rPr>
        <i/>
        <sz val="12"/>
        <color indexed="8"/>
        <rFont val="Arial"/>
        <family val="2"/>
      </rPr>
      <t>Ɣ</t>
    </r>
    <r>
      <rPr>
        <i/>
        <vertAlign val="subscript"/>
        <sz val="12"/>
        <color indexed="8"/>
        <rFont val="Arial"/>
        <family val="2"/>
      </rPr>
      <t>D</t>
    </r>
    <r>
      <rPr>
        <sz val="12"/>
        <color theme="1"/>
        <rFont val="Arial"/>
        <family val="2"/>
      </rPr>
      <t>)</t>
    </r>
  </si>
  <si>
    <r>
      <t>Effective unit weight of soil above foundation (</t>
    </r>
    <r>
      <rPr>
        <i/>
        <sz val="12"/>
        <color indexed="8"/>
        <rFont val="Arial"/>
        <family val="2"/>
      </rPr>
      <t>Ɣ'</t>
    </r>
    <r>
      <rPr>
        <i/>
        <vertAlign val="subscript"/>
        <sz val="12"/>
        <color indexed="8"/>
        <rFont val="Arial"/>
        <family val="2"/>
      </rPr>
      <t>D</t>
    </r>
    <r>
      <rPr>
        <sz val="12"/>
        <color theme="1"/>
        <rFont val="Arial"/>
        <family val="2"/>
      </rPr>
      <t>)</t>
    </r>
  </si>
  <si>
    <r>
      <t>Effective Unit weight of soil below foundation (</t>
    </r>
    <r>
      <rPr>
        <i/>
        <sz val="12"/>
        <color indexed="8"/>
        <rFont val="Arial"/>
        <family val="2"/>
      </rPr>
      <t>Ɣ'</t>
    </r>
    <r>
      <rPr>
        <i/>
        <vertAlign val="subscript"/>
        <sz val="12"/>
        <color indexed="8"/>
        <rFont val="Arial"/>
        <family val="2"/>
      </rPr>
      <t>H</t>
    </r>
    <r>
      <rPr>
        <sz val="12"/>
        <color theme="1"/>
        <rFont val="Arial"/>
        <family val="2"/>
      </rPr>
      <t>)</t>
    </r>
  </si>
  <si>
    <t>Width of foundation (B)</t>
  </si>
  <si>
    <t>Length of foundation (W)</t>
  </si>
  <si>
    <t>Vertical Load (Q)*</t>
  </si>
  <si>
    <t>kips</t>
  </si>
  <si>
    <r>
      <t>Bending Moment Parallel to Width (M</t>
    </r>
    <r>
      <rPr>
        <vertAlign val="subscript"/>
        <sz val="12"/>
        <color indexed="8"/>
        <rFont val="Arial"/>
        <family val="2"/>
      </rPr>
      <t>B</t>
    </r>
    <r>
      <rPr>
        <sz val="12"/>
        <color theme="1"/>
        <rFont val="Arial"/>
        <family val="2"/>
      </rPr>
      <t>)*</t>
    </r>
  </si>
  <si>
    <t>kip-ft</t>
  </si>
  <si>
    <r>
      <t>Bending moment parallel to length (M</t>
    </r>
    <r>
      <rPr>
        <vertAlign val="subscript"/>
        <sz val="12"/>
        <color indexed="8"/>
        <rFont val="Arial"/>
        <family val="2"/>
      </rPr>
      <t>W</t>
    </r>
    <r>
      <rPr>
        <sz val="12"/>
        <color theme="1"/>
        <rFont val="Arial"/>
        <family val="2"/>
      </rPr>
      <t>)*</t>
    </r>
  </si>
  <si>
    <t>Load inclination to the vertical (θ)*</t>
  </si>
  <si>
    <t>Intermediate Calculated Values:</t>
  </si>
  <si>
    <r>
      <t>Eccentricity (e</t>
    </r>
    <r>
      <rPr>
        <vertAlign val="subscript"/>
        <sz val="12"/>
        <color indexed="8"/>
        <rFont val="Arial"/>
        <family val="2"/>
      </rPr>
      <t>B</t>
    </r>
    <r>
      <rPr>
        <sz val="12"/>
        <color theme="1"/>
        <rFont val="Arial"/>
        <family val="2"/>
      </rPr>
      <t>)</t>
    </r>
  </si>
  <si>
    <t>Min Effective Foundation Width (B')</t>
  </si>
  <si>
    <r>
      <t>Eccentricity (e</t>
    </r>
    <r>
      <rPr>
        <vertAlign val="subscript"/>
        <sz val="12"/>
        <color indexed="8"/>
        <rFont val="Arial"/>
        <family val="2"/>
      </rPr>
      <t>W</t>
    </r>
    <r>
      <rPr>
        <sz val="12"/>
        <color theme="1"/>
        <rFont val="Arial"/>
        <family val="2"/>
      </rPr>
      <t>)</t>
    </r>
  </si>
  <si>
    <t>Min effective foundation length (W')</t>
  </si>
  <si>
    <r>
      <t>Soil surcharge at foundation depth (σ'</t>
    </r>
    <r>
      <rPr>
        <vertAlign val="subscript"/>
        <sz val="12"/>
        <color indexed="8"/>
        <rFont val="Arial"/>
        <family val="2"/>
      </rPr>
      <t>D</t>
    </r>
    <r>
      <rPr>
        <sz val="12"/>
        <color theme="1"/>
        <rFont val="Arial"/>
        <family val="2"/>
      </rPr>
      <t>)</t>
    </r>
  </si>
  <si>
    <r>
      <t>N</t>
    </r>
    <r>
      <rPr>
        <i/>
        <vertAlign val="subscript"/>
        <sz val="12"/>
        <color indexed="8"/>
        <rFont val="Arial"/>
        <family val="2"/>
      </rPr>
      <t>ɸ</t>
    </r>
  </si>
  <si>
    <t>Bearing capacity factors:</t>
  </si>
  <si>
    <t>Correction factors:</t>
  </si>
  <si>
    <r>
      <t>N</t>
    </r>
    <r>
      <rPr>
        <vertAlign val="subscript"/>
        <sz val="12"/>
        <color indexed="8"/>
        <rFont val="Arial"/>
        <family val="2"/>
      </rPr>
      <t>c</t>
    </r>
  </si>
  <si>
    <r>
      <t>ζ</t>
    </r>
    <r>
      <rPr>
        <vertAlign val="subscript"/>
        <sz val="12"/>
        <rFont val="Arial"/>
        <family val="2"/>
      </rPr>
      <t>c</t>
    </r>
  </si>
  <si>
    <t>Cohesion</t>
  </si>
  <si>
    <r>
      <t>N</t>
    </r>
    <r>
      <rPr>
        <vertAlign val="subscript"/>
        <sz val="12"/>
        <color indexed="8"/>
        <rFont val="Arial"/>
        <family val="2"/>
      </rPr>
      <t>Ɣ</t>
    </r>
  </si>
  <si>
    <r>
      <t>ζ</t>
    </r>
    <r>
      <rPr>
        <vertAlign val="subscript"/>
        <sz val="12"/>
        <rFont val="Arial"/>
        <family val="2"/>
      </rPr>
      <t>Ɣ</t>
    </r>
  </si>
  <si>
    <t>Wedge</t>
  </si>
  <si>
    <r>
      <t>N</t>
    </r>
    <r>
      <rPr>
        <vertAlign val="subscript"/>
        <sz val="12"/>
        <color indexed="8"/>
        <rFont val="Arial"/>
        <family val="2"/>
      </rPr>
      <t>q</t>
    </r>
  </si>
  <si>
    <r>
      <t>ζ</t>
    </r>
    <r>
      <rPr>
        <vertAlign val="subscript"/>
        <sz val="12"/>
        <rFont val="Arial"/>
        <family val="2"/>
      </rPr>
      <t>q</t>
    </r>
  </si>
  <si>
    <t>Surcharge</t>
  </si>
  <si>
    <t xml:space="preserve">&lt;--do not use these formulas for c factors for 0&lt;phi&lt;10 deg </t>
  </si>
  <si>
    <r>
      <t>ζ</t>
    </r>
    <r>
      <rPr>
        <vertAlign val="subscript"/>
        <sz val="12"/>
        <color indexed="8"/>
        <rFont val="Arial"/>
        <family val="2"/>
      </rPr>
      <t>c</t>
    </r>
    <r>
      <rPr>
        <vertAlign val="subscript"/>
        <sz val="12"/>
        <color indexed="8"/>
        <rFont val="Arial"/>
        <family val="2"/>
      </rPr>
      <t>s</t>
    </r>
  </si>
  <si>
    <r>
      <t>ζ</t>
    </r>
    <r>
      <rPr>
        <vertAlign val="subscript"/>
        <sz val="12"/>
        <rFont val="Arial"/>
        <family val="2"/>
      </rPr>
      <t>ci</t>
    </r>
  </si>
  <si>
    <r>
      <t>ζ</t>
    </r>
    <r>
      <rPr>
        <vertAlign val="subscript"/>
        <sz val="12"/>
        <rFont val="Arial"/>
        <family val="2"/>
      </rPr>
      <t>cd</t>
    </r>
  </si>
  <si>
    <t>see formulas on Correction Factors Sheet</t>
  </si>
  <si>
    <r>
      <t>ζ</t>
    </r>
    <r>
      <rPr>
        <vertAlign val="subscript"/>
        <sz val="12"/>
        <color indexed="8"/>
        <rFont val="Arial"/>
        <family val="2"/>
      </rPr>
      <t>Ɣ</t>
    </r>
    <r>
      <rPr>
        <vertAlign val="subscript"/>
        <sz val="12"/>
        <color indexed="8"/>
        <rFont val="Arial"/>
        <family val="2"/>
      </rPr>
      <t>s</t>
    </r>
  </si>
  <si>
    <r>
      <t>ζ</t>
    </r>
    <r>
      <rPr>
        <vertAlign val="subscript"/>
        <sz val="12"/>
        <rFont val="Arial"/>
        <family val="2"/>
      </rPr>
      <t>Ɣi</t>
    </r>
  </si>
  <si>
    <r>
      <t>ζ</t>
    </r>
    <r>
      <rPr>
        <vertAlign val="subscript"/>
        <sz val="12"/>
        <rFont val="Arial"/>
        <family val="2"/>
      </rPr>
      <t>Ɣd</t>
    </r>
  </si>
  <si>
    <r>
      <t>ζ</t>
    </r>
    <r>
      <rPr>
        <vertAlign val="subscript"/>
        <sz val="12"/>
        <color indexed="8"/>
        <rFont val="Arial"/>
        <family val="2"/>
      </rPr>
      <t>q</t>
    </r>
    <r>
      <rPr>
        <vertAlign val="subscript"/>
        <sz val="12"/>
        <color indexed="8"/>
        <rFont val="Arial"/>
        <family val="2"/>
      </rPr>
      <t>s</t>
    </r>
  </si>
  <si>
    <r>
      <t>ζ</t>
    </r>
    <r>
      <rPr>
        <vertAlign val="subscript"/>
        <sz val="12"/>
        <rFont val="Arial"/>
        <family val="2"/>
      </rPr>
      <t>qi</t>
    </r>
  </si>
  <si>
    <r>
      <t>ζ</t>
    </r>
    <r>
      <rPr>
        <vertAlign val="subscript"/>
        <sz val="12"/>
        <rFont val="Arial"/>
        <family val="2"/>
      </rPr>
      <t>qd</t>
    </r>
  </si>
  <si>
    <t>*note: eccentricity and inclination factors should not be used simultaneously*</t>
  </si>
  <si>
    <t>Output:</t>
  </si>
  <si>
    <r>
      <t>Ultimate Bearing Capacity (q</t>
    </r>
    <r>
      <rPr>
        <vertAlign val="subscript"/>
        <sz val="12"/>
        <color indexed="8"/>
        <rFont val="Arial"/>
        <family val="2"/>
      </rPr>
      <t>u</t>
    </r>
    <r>
      <rPr>
        <sz val="12"/>
        <color indexed="8"/>
        <rFont val="Arial"/>
        <family val="2"/>
      </rPr>
      <t>)</t>
    </r>
  </si>
  <si>
    <r>
      <t>Net Ultimate Bearing Capacity (q'</t>
    </r>
    <r>
      <rPr>
        <vertAlign val="subscript"/>
        <sz val="12"/>
        <color indexed="8"/>
        <rFont val="Arial"/>
        <family val="2"/>
      </rPr>
      <t xml:space="preserve">u </t>
    </r>
    <r>
      <rPr>
        <sz val="12"/>
        <color rgb="FF000000"/>
        <rFont val="Arial"/>
        <family val="2"/>
      </rPr>
      <t>= q</t>
    </r>
    <r>
      <rPr>
        <vertAlign val="subscript"/>
        <sz val="12"/>
        <color rgb="FF000000"/>
        <rFont val="Arial"/>
        <family val="2"/>
      </rPr>
      <t>u</t>
    </r>
    <r>
      <rPr>
        <sz val="12"/>
        <color rgb="FF000000"/>
        <rFont val="Arial"/>
        <family val="2"/>
      </rPr>
      <t xml:space="preserve"> - </t>
    </r>
    <r>
      <rPr>
        <sz val="12"/>
        <color rgb="FF000000"/>
        <rFont val="Calibri"/>
        <family val="2"/>
      </rPr>
      <t>Υ</t>
    </r>
    <r>
      <rPr>
        <sz val="12"/>
        <color rgb="FF000000"/>
        <rFont val="Arial"/>
        <family val="2"/>
      </rPr>
      <t xml:space="preserve">D </t>
    </r>
    <r>
      <rPr>
        <sz val="12"/>
        <color indexed="8"/>
        <rFont val="Arial"/>
        <family val="2"/>
      </rPr>
      <t>)</t>
    </r>
  </si>
  <si>
    <r>
      <t>Net Allowable Bearing Capacity (q</t>
    </r>
    <r>
      <rPr>
        <vertAlign val="subscript"/>
        <sz val="12"/>
        <color indexed="8"/>
        <rFont val="Arial"/>
        <family val="2"/>
      </rPr>
      <t>a'</t>
    </r>
    <r>
      <rPr>
        <sz val="12"/>
        <color indexed="8"/>
        <rFont val="Arial"/>
        <family val="2"/>
      </rPr>
      <t>) FoS = 3.0</t>
    </r>
  </si>
  <si>
    <t>Applied foundation pressure</t>
  </si>
  <si>
    <r>
      <t>Allowable Bearing Pressure (q</t>
    </r>
    <r>
      <rPr>
        <vertAlign val="subscript"/>
        <sz val="12"/>
        <color indexed="8"/>
        <rFont val="Arial"/>
        <family val="2"/>
      </rPr>
      <t>a</t>
    </r>
    <r>
      <rPr>
        <sz val="12"/>
        <color indexed="8"/>
        <rFont val="Arial"/>
        <family val="2"/>
      </rPr>
      <t>)</t>
    </r>
  </si>
  <si>
    <t>ksf</t>
  </si>
  <si>
    <t>tsf</t>
  </si>
  <si>
    <t>References and Notes:</t>
  </si>
  <si>
    <t>* = Calculations assume vertical uniform applied pressure</t>
  </si>
  <si>
    <t>USACE EM 1110-1-1905 Bearing Capacity of Soils. 1992.</t>
  </si>
  <si>
    <t xml:space="preserve">USACE ECB 2017-2 Revision and Clarification of EM 1110-2-2100 and EM 1110-2-2502. </t>
  </si>
  <si>
    <t>Valid for friction angles &gt;10°</t>
  </si>
  <si>
    <t>if 0&lt;phi&lt;=10</t>
  </si>
  <si>
    <t>NRM</t>
  </si>
  <si>
    <t>Flood Barrier 101+50 to 106+00</t>
  </si>
  <si>
    <t>Drawing S31-102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</si>
</sst>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General&quot;*&quot;"/>
    <numFmt numFmtId="167" formatCode="0.0"/>
    <numFmt numFmtId="168" formatCode="_(* #,##0.0000_);_(* \(#,##0.0000\);_(* &quot;-&quot;??_);_(@_)"/>
  </numFmts>
  <fonts count="2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indexed="8"/>
      <name val="Arial"/>
      <family val="2"/>
    </font>
    <font>
      <i/>
      <vertAlign val="subscript"/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12"/>
      <color rgb="FF000000"/>
      <name val="Calibri"/>
      <family val="2"/>
    </font>
    <font>
      <i/>
      <sz val="12"/>
      <color rgb="FFFF000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i/>
      <sz val="12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2" borderId="0" xfId="0" applyFill="1"/>
    <xf numFmtId="164" fontId="2" fillId="0" borderId="0" xfId="1" applyNumberFormat="1"/>
    <xf numFmtId="43" fontId="2" fillId="0" borderId="0" xfId="1"/>
    <xf numFmtId="165" fontId="2" fillId="0" borderId="0" xfId="1" applyNumberFormat="1"/>
    <xf numFmtId="0" fontId="0" fillId="0" borderId="0" xfId="0" applyAlignment="1">
      <alignment horizontal="right"/>
    </xf>
    <xf numFmtId="43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right"/>
    </xf>
    <xf numFmtId="164" fontId="2" fillId="0" borderId="0" xfId="1" applyNumberFormat="1" applyFill="1"/>
    <xf numFmtId="0" fontId="0" fillId="0" borderId="0" xfId="0" applyAlignment="1">
      <alignment horizontal="left" indent="1"/>
    </xf>
    <xf numFmtId="0" fontId="9" fillId="0" borderId="0" xfId="0" applyFont="1"/>
    <xf numFmtId="164" fontId="0" fillId="2" borderId="0" xfId="1" applyNumberFormat="1" applyFont="1" applyFill="1"/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0" fontId="4" fillId="0" borderId="0" xfId="0" quotePrefix="1" applyFont="1"/>
    <xf numFmtId="14" fontId="0" fillId="3" borderId="0" xfId="0" applyNumberFormat="1" applyFill="1" applyAlignment="1">
      <alignment horizontal="center"/>
    </xf>
    <xf numFmtId="0" fontId="13" fillId="0" borderId="0" xfId="0" applyFont="1"/>
    <xf numFmtId="164" fontId="9" fillId="0" borderId="0" xfId="1" applyNumberFormat="1" applyFont="1" applyFill="1"/>
    <xf numFmtId="0" fontId="14" fillId="0" borderId="0" xfId="0" applyFont="1"/>
    <xf numFmtId="167" fontId="15" fillId="0" borderId="0" xfId="1" applyNumberFormat="1" applyFont="1" applyAlignment="1">
      <alignment horizontal="center"/>
    </xf>
    <xf numFmtId="0" fontId="15" fillId="0" borderId="0" xfId="0" applyFont="1"/>
    <xf numFmtId="43" fontId="15" fillId="0" borderId="0" xfId="1" applyFont="1"/>
    <xf numFmtId="0" fontId="17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43" fontId="15" fillId="0" borderId="0" xfId="1" applyFont="1" applyFill="1"/>
    <xf numFmtId="43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/>
    <xf numFmtId="168" fontId="2" fillId="2" borderId="0" xfId="1" applyNumberFormat="1" applyFill="1"/>
    <xf numFmtId="3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5" fontId="2" fillId="4" borderId="0" xfId="1" applyNumberFormat="1" applyFill="1"/>
    <xf numFmtId="164" fontId="2" fillId="4" borderId="0" xfId="1" applyNumberFormat="1" applyFill="1"/>
    <xf numFmtId="167" fontId="0" fillId="0" borderId="0" xfId="0" applyNumberFormat="1"/>
    <xf numFmtId="14" fontId="0" fillId="0" borderId="0" xfId="0" applyNumberFormat="1"/>
    <xf numFmtId="0" fontId="20" fillId="0" borderId="0" xfId="0" applyFont="1"/>
  </cellXfs>
  <cellStyles count="4">
    <cellStyle name="Comma" xfId="1" builtinId="3"/>
    <cellStyle name="Comma 2" xfId="3" xr:uid="{2D33E99E-5F0E-46F2-B2B2-950C91BD2DE7}"/>
    <cellStyle name="Normal" xfId="0" builtinId="0"/>
    <cellStyle name="Normal 2" xfId="2" xr:uid="{6046AA44-E9EA-4CE6-BCED-7843EC4ED8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</xdr:row>
          <xdr:rowOff>28575</xdr:rowOff>
        </xdr:from>
        <xdr:to>
          <xdr:col>4</xdr:col>
          <xdr:colOff>714375</xdr:colOff>
          <xdr:row>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385482</xdr:colOff>
      <xdr:row>0</xdr:row>
      <xdr:rowOff>119492</xdr:rowOff>
    </xdr:from>
    <xdr:to>
      <xdr:col>19</xdr:col>
      <xdr:colOff>19722</xdr:colOff>
      <xdr:row>17</xdr:row>
      <xdr:rowOff>116802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217" y="119492"/>
          <a:ext cx="6484620" cy="2989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568362</xdr:colOff>
      <xdr:row>26</xdr:row>
      <xdr:rowOff>97676</xdr:rowOff>
    </xdr:from>
    <xdr:to>
      <xdr:col>25</xdr:col>
      <xdr:colOff>363892</xdr:colOff>
      <xdr:row>67</xdr:row>
      <xdr:rowOff>670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5097" y="4949823"/>
          <a:ext cx="7425055" cy="7240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456266</xdr:colOff>
      <xdr:row>18</xdr:row>
      <xdr:rowOff>2014</xdr:rowOff>
    </xdr:from>
    <xdr:to>
      <xdr:col>21</xdr:col>
      <xdr:colOff>684221</xdr:colOff>
      <xdr:row>26</xdr:row>
      <xdr:rowOff>21553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001" y="3195690"/>
          <a:ext cx="8609955" cy="169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9</xdr:col>
      <xdr:colOff>610094</xdr:colOff>
      <xdr:row>42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7468094" cy="849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758826</xdr:colOff>
      <xdr:row>2</xdr:row>
      <xdr:rowOff>15877</xdr:rowOff>
    </xdr:from>
    <xdr:to>
      <xdr:col>17</xdr:col>
      <xdr:colOff>161925</xdr:colOff>
      <xdr:row>8</xdr:row>
      <xdr:rowOff>171931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8826" y="415927"/>
          <a:ext cx="4737099" cy="1356204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8</xdr:row>
      <xdr:rowOff>161926</xdr:rowOff>
    </xdr:from>
    <xdr:to>
      <xdr:col>17</xdr:col>
      <xdr:colOff>123825</xdr:colOff>
      <xdr:row>15</xdr:row>
      <xdr:rowOff>57543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10575" y="1762126"/>
          <a:ext cx="4667250" cy="1295792"/>
        </a:xfrm>
        <a:prstGeom prst="rect">
          <a:avLst/>
        </a:prstGeom>
      </xdr:spPr>
    </xdr:pic>
    <xdr:clientData/>
  </xdr:twoCellAnchor>
  <xdr:twoCellAnchor editAs="oneCell">
    <xdr:from>
      <xdr:col>10</xdr:col>
      <xdr:colOff>676276</xdr:colOff>
      <xdr:row>15</xdr:row>
      <xdr:rowOff>66675</xdr:rowOff>
    </xdr:from>
    <xdr:to>
      <xdr:col>17</xdr:col>
      <xdr:colOff>371476</xdr:colOff>
      <xdr:row>22</xdr:row>
      <xdr:rowOff>97757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6276" y="3067050"/>
          <a:ext cx="5029200" cy="1431257"/>
        </a:xfrm>
        <a:prstGeom prst="rect">
          <a:avLst/>
        </a:prstGeom>
      </xdr:spPr>
    </xdr:pic>
    <xdr:clientData/>
  </xdr:twoCellAnchor>
  <xdr:twoCellAnchor editAs="oneCell">
    <xdr:from>
      <xdr:col>10</xdr:col>
      <xdr:colOff>701676</xdr:colOff>
      <xdr:row>22</xdr:row>
      <xdr:rowOff>85725</xdr:rowOff>
    </xdr:from>
    <xdr:to>
      <xdr:col>17</xdr:col>
      <xdr:colOff>339726</xdr:colOff>
      <xdr:row>29</xdr:row>
      <xdr:rowOff>141331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1676" y="4486275"/>
          <a:ext cx="4972050" cy="1455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0FDF-2AA6-4345-A98D-5E0C515C94D4}">
  <sheetPr codeName="Sheet1">
    <pageSetUpPr fitToPage="1"/>
  </sheetPr>
  <dimension ref="A1:J34"/>
  <sheetViews>
    <sheetView view="pageBreakPreview" zoomScaleNormal="100" zoomScaleSheetLayoutView="100" workbookViewId="0">
      <selection activeCell="F19" sqref="F19"/>
    </sheetView>
  </sheetViews>
  <sheetFormatPr defaultRowHeight="15" x14ac:dyDescent="0.2"/>
  <cols>
    <col min="1" max="1" width="3" customWidth="1"/>
    <col min="3" max="3" width="10" customWidth="1"/>
    <col min="4" max="4" width="6.109375" customWidth="1"/>
    <col min="5" max="5" width="8.6640625" customWidth="1"/>
    <col min="6" max="6" width="19.6640625" customWidth="1"/>
    <col min="7" max="7" width="10" customWidth="1"/>
    <col min="8" max="8" width="6.77734375" customWidth="1"/>
    <col min="9" max="9" width="6.109375" customWidth="1"/>
    <col min="10" max="10" width="11.77734375" customWidth="1"/>
    <col min="259" max="259" width="12.44140625" bestFit="1" customWidth="1"/>
    <col min="260" max="260" width="7" customWidth="1"/>
    <col min="265" max="265" width="3.88671875" customWidth="1"/>
    <col min="266" max="266" width="5.33203125" customWidth="1"/>
    <col min="515" max="515" width="12.44140625" bestFit="1" customWidth="1"/>
    <col min="516" max="516" width="7" customWidth="1"/>
    <col min="521" max="521" width="3.88671875" customWidth="1"/>
    <col min="522" max="522" width="5.33203125" customWidth="1"/>
    <col min="771" max="771" width="12.44140625" bestFit="1" customWidth="1"/>
    <col min="772" max="772" width="7" customWidth="1"/>
    <col min="777" max="777" width="3.88671875" customWidth="1"/>
    <col min="778" max="778" width="5.33203125" customWidth="1"/>
    <col min="1027" max="1027" width="12.44140625" bestFit="1" customWidth="1"/>
    <col min="1028" max="1028" width="7" customWidth="1"/>
    <col min="1033" max="1033" width="3.88671875" customWidth="1"/>
    <col min="1034" max="1034" width="5.33203125" customWidth="1"/>
    <col min="1283" max="1283" width="12.44140625" bestFit="1" customWidth="1"/>
    <col min="1284" max="1284" width="7" customWidth="1"/>
    <col min="1289" max="1289" width="3.88671875" customWidth="1"/>
    <col min="1290" max="1290" width="5.33203125" customWidth="1"/>
    <col min="1539" max="1539" width="12.44140625" bestFit="1" customWidth="1"/>
    <col min="1540" max="1540" width="7" customWidth="1"/>
    <col min="1545" max="1545" width="3.88671875" customWidth="1"/>
    <col min="1546" max="1546" width="5.33203125" customWidth="1"/>
    <col min="1795" max="1795" width="12.44140625" bestFit="1" customWidth="1"/>
    <col min="1796" max="1796" width="7" customWidth="1"/>
    <col min="1801" max="1801" width="3.88671875" customWidth="1"/>
    <col min="1802" max="1802" width="5.33203125" customWidth="1"/>
    <col min="2051" max="2051" width="12.44140625" bestFit="1" customWidth="1"/>
    <col min="2052" max="2052" width="7" customWidth="1"/>
    <col min="2057" max="2057" width="3.88671875" customWidth="1"/>
    <col min="2058" max="2058" width="5.33203125" customWidth="1"/>
    <col min="2307" max="2307" width="12.44140625" bestFit="1" customWidth="1"/>
    <col min="2308" max="2308" width="7" customWidth="1"/>
    <col min="2313" max="2313" width="3.88671875" customWidth="1"/>
    <col min="2314" max="2314" width="5.33203125" customWidth="1"/>
    <col min="2563" max="2563" width="12.44140625" bestFit="1" customWidth="1"/>
    <col min="2564" max="2564" width="7" customWidth="1"/>
    <col min="2569" max="2569" width="3.88671875" customWidth="1"/>
    <col min="2570" max="2570" width="5.33203125" customWidth="1"/>
    <col min="2819" max="2819" width="12.44140625" bestFit="1" customWidth="1"/>
    <col min="2820" max="2820" width="7" customWidth="1"/>
    <col min="2825" max="2825" width="3.88671875" customWidth="1"/>
    <col min="2826" max="2826" width="5.33203125" customWidth="1"/>
    <col min="3075" max="3075" width="12.44140625" bestFit="1" customWidth="1"/>
    <col min="3076" max="3076" width="7" customWidth="1"/>
    <col min="3081" max="3081" width="3.88671875" customWidth="1"/>
    <col min="3082" max="3082" width="5.33203125" customWidth="1"/>
    <col min="3331" max="3331" width="12.44140625" bestFit="1" customWidth="1"/>
    <col min="3332" max="3332" width="7" customWidth="1"/>
    <col min="3337" max="3337" width="3.88671875" customWidth="1"/>
    <col min="3338" max="3338" width="5.33203125" customWidth="1"/>
    <col min="3587" max="3587" width="12.44140625" bestFit="1" customWidth="1"/>
    <col min="3588" max="3588" width="7" customWidth="1"/>
    <col min="3593" max="3593" width="3.88671875" customWidth="1"/>
    <col min="3594" max="3594" width="5.33203125" customWidth="1"/>
    <col min="3843" max="3843" width="12.44140625" bestFit="1" customWidth="1"/>
    <col min="3844" max="3844" width="7" customWidth="1"/>
    <col min="3849" max="3849" width="3.88671875" customWidth="1"/>
    <col min="3850" max="3850" width="5.33203125" customWidth="1"/>
    <col min="4099" max="4099" width="12.44140625" bestFit="1" customWidth="1"/>
    <col min="4100" max="4100" width="7" customWidth="1"/>
    <col min="4105" max="4105" width="3.88671875" customWidth="1"/>
    <col min="4106" max="4106" width="5.33203125" customWidth="1"/>
    <col min="4355" max="4355" width="12.44140625" bestFit="1" customWidth="1"/>
    <col min="4356" max="4356" width="7" customWidth="1"/>
    <col min="4361" max="4361" width="3.88671875" customWidth="1"/>
    <col min="4362" max="4362" width="5.33203125" customWidth="1"/>
    <col min="4611" max="4611" width="12.44140625" bestFit="1" customWidth="1"/>
    <col min="4612" max="4612" width="7" customWidth="1"/>
    <col min="4617" max="4617" width="3.88671875" customWidth="1"/>
    <col min="4618" max="4618" width="5.33203125" customWidth="1"/>
    <col min="4867" max="4867" width="12.44140625" bestFit="1" customWidth="1"/>
    <col min="4868" max="4868" width="7" customWidth="1"/>
    <col min="4873" max="4873" width="3.88671875" customWidth="1"/>
    <col min="4874" max="4874" width="5.33203125" customWidth="1"/>
    <col min="5123" max="5123" width="12.44140625" bestFit="1" customWidth="1"/>
    <col min="5124" max="5124" width="7" customWidth="1"/>
    <col min="5129" max="5129" width="3.88671875" customWidth="1"/>
    <col min="5130" max="5130" width="5.33203125" customWidth="1"/>
    <col min="5379" max="5379" width="12.44140625" bestFit="1" customWidth="1"/>
    <col min="5380" max="5380" width="7" customWidth="1"/>
    <col min="5385" max="5385" width="3.88671875" customWidth="1"/>
    <col min="5386" max="5386" width="5.33203125" customWidth="1"/>
    <col min="5635" max="5635" width="12.44140625" bestFit="1" customWidth="1"/>
    <col min="5636" max="5636" width="7" customWidth="1"/>
    <col min="5641" max="5641" width="3.88671875" customWidth="1"/>
    <col min="5642" max="5642" width="5.33203125" customWidth="1"/>
    <col min="5891" max="5891" width="12.44140625" bestFit="1" customWidth="1"/>
    <col min="5892" max="5892" width="7" customWidth="1"/>
    <col min="5897" max="5897" width="3.88671875" customWidth="1"/>
    <col min="5898" max="5898" width="5.33203125" customWidth="1"/>
    <col min="6147" max="6147" width="12.44140625" bestFit="1" customWidth="1"/>
    <col min="6148" max="6148" width="7" customWidth="1"/>
    <col min="6153" max="6153" width="3.88671875" customWidth="1"/>
    <col min="6154" max="6154" width="5.33203125" customWidth="1"/>
    <col min="6403" max="6403" width="12.44140625" bestFit="1" customWidth="1"/>
    <col min="6404" max="6404" width="7" customWidth="1"/>
    <col min="6409" max="6409" width="3.88671875" customWidth="1"/>
    <col min="6410" max="6410" width="5.33203125" customWidth="1"/>
    <col min="6659" max="6659" width="12.44140625" bestFit="1" customWidth="1"/>
    <col min="6660" max="6660" width="7" customWidth="1"/>
    <col min="6665" max="6665" width="3.88671875" customWidth="1"/>
    <col min="6666" max="6666" width="5.33203125" customWidth="1"/>
    <col min="6915" max="6915" width="12.44140625" bestFit="1" customWidth="1"/>
    <col min="6916" max="6916" width="7" customWidth="1"/>
    <col min="6921" max="6921" width="3.88671875" customWidth="1"/>
    <col min="6922" max="6922" width="5.33203125" customWidth="1"/>
    <col min="7171" max="7171" width="12.44140625" bestFit="1" customWidth="1"/>
    <col min="7172" max="7172" width="7" customWidth="1"/>
    <col min="7177" max="7177" width="3.88671875" customWidth="1"/>
    <col min="7178" max="7178" width="5.33203125" customWidth="1"/>
    <col min="7427" max="7427" width="12.44140625" bestFit="1" customWidth="1"/>
    <col min="7428" max="7428" width="7" customWidth="1"/>
    <col min="7433" max="7433" width="3.88671875" customWidth="1"/>
    <col min="7434" max="7434" width="5.33203125" customWidth="1"/>
    <col min="7683" max="7683" width="12.44140625" bestFit="1" customWidth="1"/>
    <col min="7684" max="7684" width="7" customWidth="1"/>
    <col min="7689" max="7689" width="3.88671875" customWidth="1"/>
    <col min="7690" max="7690" width="5.33203125" customWidth="1"/>
    <col min="7939" max="7939" width="12.44140625" bestFit="1" customWidth="1"/>
    <col min="7940" max="7940" width="7" customWidth="1"/>
    <col min="7945" max="7945" width="3.88671875" customWidth="1"/>
    <col min="7946" max="7946" width="5.33203125" customWidth="1"/>
    <col min="8195" max="8195" width="12.44140625" bestFit="1" customWidth="1"/>
    <col min="8196" max="8196" width="7" customWidth="1"/>
    <col min="8201" max="8201" width="3.88671875" customWidth="1"/>
    <col min="8202" max="8202" width="5.33203125" customWidth="1"/>
    <col min="8451" max="8451" width="12.44140625" bestFit="1" customWidth="1"/>
    <col min="8452" max="8452" width="7" customWidth="1"/>
    <col min="8457" max="8457" width="3.88671875" customWidth="1"/>
    <col min="8458" max="8458" width="5.33203125" customWidth="1"/>
    <col min="8707" max="8707" width="12.44140625" bestFit="1" customWidth="1"/>
    <col min="8708" max="8708" width="7" customWidth="1"/>
    <col min="8713" max="8713" width="3.88671875" customWidth="1"/>
    <col min="8714" max="8714" width="5.33203125" customWidth="1"/>
    <col min="8963" max="8963" width="12.44140625" bestFit="1" customWidth="1"/>
    <col min="8964" max="8964" width="7" customWidth="1"/>
    <col min="8969" max="8969" width="3.88671875" customWidth="1"/>
    <col min="8970" max="8970" width="5.33203125" customWidth="1"/>
    <col min="9219" max="9219" width="12.44140625" bestFit="1" customWidth="1"/>
    <col min="9220" max="9220" width="7" customWidth="1"/>
    <col min="9225" max="9225" width="3.88671875" customWidth="1"/>
    <col min="9226" max="9226" width="5.33203125" customWidth="1"/>
    <col min="9475" max="9475" width="12.44140625" bestFit="1" customWidth="1"/>
    <col min="9476" max="9476" width="7" customWidth="1"/>
    <col min="9481" max="9481" width="3.88671875" customWidth="1"/>
    <col min="9482" max="9482" width="5.33203125" customWidth="1"/>
    <col min="9731" max="9731" width="12.44140625" bestFit="1" customWidth="1"/>
    <col min="9732" max="9732" width="7" customWidth="1"/>
    <col min="9737" max="9737" width="3.88671875" customWidth="1"/>
    <col min="9738" max="9738" width="5.33203125" customWidth="1"/>
    <col min="9987" max="9987" width="12.44140625" bestFit="1" customWidth="1"/>
    <col min="9988" max="9988" width="7" customWidth="1"/>
    <col min="9993" max="9993" width="3.88671875" customWidth="1"/>
    <col min="9994" max="9994" width="5.33203125" customWidth="1"/>
    <col min="10243" max="10243" width="12.44140625" bestFit="1" customWidth="1"/>
    <col min="10244" max="10244" width="7" customWidth="1"/>
    <col min="10249" max="10249" width="3.88671875" customWidth="1"/>
    <col min="10250" max="10250" width="5.33203125" customWidth="1"/>
    <col min="10499" max="10499" width="12.44140625" bestFit="1" customWidth="1"/>
    <col min="10500" max="10500" width="7" customWidth="1"/>
    <col min="10505" max="10505" width="3.88671875" customWidth="1"/>
    <col min="10506" max="10506" width="5.33203125" customWidth="1"/>
    <col min="10755" max="10755" width="12.44140625" bestFit="1" customWidth="1"/>
    <col min="10756" max="10756" width="7" customWidth="1"/>
    <col min="10761" max="10761" width="3.88671875" customWidth="1"/>
    <col min="10762" max="10762" width="5.33203125" customWidth="1"/>
    <col min="11011" max="11011" width="12.44140625" bestFit="1" customWidth="1"/>
    <col min="11012" max="11012" width="7" customWidth="1"/>
    <col min="11017" max="11017" width="3.88671875" customWidth="1"/>
    <col min="11018" max="11018" width="5.33203125" customWidth="1"/>
    <col min="11267" max="11267" width="12.44140625" bestFit="1" customWidth="1"/>
    <col min="11268" max="11268" width="7" customWidth="1"/>
    <col min="11273" max="11273" width="3.88671875" customWidth="1"/>
    <col min="11274" max="11274" width="5.33203125" customWidth="1"/>
    <col min="11523" max="11523" width="12.44140625" bestFit="1" customWidth="1"/>
    <col min="11524" max="11524" width="7" customWidth="1"/>
    <col min="11529" max="11529" width="3.88671875" customWidth="1"/>
    <col min="11530" max="11530" width="5.33203125" customWidth="1"/>
    <col min="11779" max="11779" width="12.44140625" bestFit="1" customWidth="1"/>
    <col min="11780" max="11780" width="7" customWidth="1"/>
    <col min="11785" max="11785" width="3.88671875" customWidth="1"/>
    <col min="11786" max="11786" width="5.33203125" customWidth="1"/>
    <col min="12035" max="12035" width="12.44140625" bestFit="1" customWidth="1"/>
    <col min="12036" max="12036" width="7" customWidth="1"/>
    <col min="12041" max="12041" width="3.88671875" customWidth="1"/>
    <col min="12042" max="12042" width="5.33203125" customWidth="1"/>
    <col min="12291" max="12291" width="12.44140625" bestFit="1" customWidth="1"/>
    <col min="12292" max="12292" width="7" customWidth="1"/>
    <col min="12297" max="12297" width="3.88671875" customWidth="1"/>
    <col min="12298" max="12298" width="5.33203125" customWidth="1"/>
    <col min="12547" max="12547" width="12.44140625" bestFit="1" customWidth="1"/>
    <col min="12548" max="12548" width="7" customWidth="1"/>
    <col min="12553" max="12553" width="3.88671875" customWidth="1"/>
    <col min="12554" max="12554" width="5.33203125" customWidth="1"/>
    <col min="12803" max="12803" width="12.44140625" bestFit="1" customWidth="1"/>
    <col min="12804" max="12804" width="7" customWidth="1"/>
    <col min="12809" max="12809" width="3.88671875" customWidth="1"/>
    <col min="12810" max="12810" width="5.33203125" customWidth="1"/>
    <col min="13059" max="13059" width="12.44140625" bestFit="1" customWidth="1"/>
    <col min="13060" max="13060" width="7" customWidth="1"/>
    <col min="13065" max="13065" width="3.88671875" customWidth="1"/>
    <col min="13066" max="13066" width="5.33203125" customWidth="1"/>
    <col min="13315" max="13315" width="12.44140625" bestFit="1" customWidth="1"/>
    <col min="13316" max="13316" width="7" customWidth="1"/>
    <col min="13321" max="13321" width="3.88671875" customWidth="1"/>
    <col min="13322" max="13322" width="5.33203125" customWidth="1"/>
    <col min="13571" max="13571" width="12.44140625" bestFit="1" customWidth="1"/>
    <col min="13572" max="13572" width="7" customWidth="1"/>
    <col min="13577" max="13577" width="3.88671875" customWidth="1"/>
    <col min="13578" max="13578" width="5.33203125" customWidth="1"/>
    <col min="13827" max="13827" width="12.44140625" bestFit="1" customWidth="1"/>
    <col min="13828" max="13828" width="7" customWidth="1"/>
    <col min="13833" max="13833" width="3.88671875" customWidth="1"/>
    <col min="13834" max="13834" width="5.33203125" customWidth="1"/>
    <col min="14083" max="14083" width="12.44140625" bestFit="1" customWidth="1"/>
    <col min="14084" max="14084" width="7" customWidth="1"/>
    <col min="14089" max="14089" width="3.88671875" customWidth="1"/>
    <col min="14090" max="14090" width="5.33203125" customWidth="1"/>
    <col min="14339" max="14339" width="12.44140625" bestFit="1" customWidth="1"/>
    <col min="14340" max="14340" width="7" customWidth="1"/>
    <col min="14345" max="14345" width="3.88671875" customWidth="1"/>
    <col min="14346" max="14346" width="5.33203125" customWidth="1"/>
    <col min="14595" max="14595" width="12.44140625" bestFit="1" customWidth="1"/>
    <col min="14596" max="14596" width="7" customWidth="1"/>
    <col min="14601" max="14601" width="3.88671875" customWidth="1"/>
    <col min="14602" max="14602" width="5.33203125" customWidth="1"/>
    <col min="14851" max="14851" width="12.44140625" bestFit="1" customWidth="1"/>
    <col min="14852" max="14852" width="7" customWidth="1"/>
    <col min="14857" max="14857" width="3.88671875" customWidth="1"/>
    <col min="14858" max="14858" width="5.33203125" customWidth="1"/>
    <col min="15107" max="15107" width="12.44140625" bestFit="1" customWidth="1"/>
    <col min="15108" max="15108" width="7" customWidth="1"/>
    <col min="15113" max="15113" width="3.88671875" customWidth="1"/>
    <col min="15114" max="15114" width="5.33203125" customWidth="1"/>
    <col min="15363" max="15363" width="12.44140625" bestFit="1" customWidth="1"/>
    <col min="15364" max="15364" width="7" customWidth="1"/>
    <col min="15369" max="15369" width="3.88671875" customWidth="1"/>
    <col min="15370" max="15370" width="5.33203125" customWidth="1"/>
    <col min="15619" max="15619" width="12.44140625" bestFit="1" customWidth="1"/>
    <col min="15620" max="15620" width="7" customWidth="1"/>
    <col min="15625" max="15625" width="3.88671875" customWidth="1"/>
    <col min="15626" max="15626" width="5.33203125" customWidth="1"/>
    <col min="15875" max="15875" width="12.44140625" bestFit="1" customWidth="1"/>
    <col min="15876" max="15876" width="7" customWidth="1"/>
    <col min="15881" max="15881" width="3.88671875" customWidth="1"/>
    <col min="15882" max="15882" width="5.33203125" customWidth="1"/>
    <col min="16131" max="16131" width="12.44140625" bestFit="1" customWidth="1"/>
    <col min="16132" max="16132" width="7" customWidth="1"/>
    <col min="16137" max="16137" width="3.88671875" customWidth="1"/>
    <col min="16138" max="16138" width="5.33203125" customWidth="1"/>
  </cols>
  <sheetData>
    <row r="1" spans="1:10" x14ac:dyDescent="0.2">
      <c r="A1" t="s">
        <v>0</v>
      </c>
      <c r="G1" s="8" t="s">
        <v>1</v>
      </c>
      <c r="I1" t="s">
        <v>2</v>
      </c>
      <c r="J1" s="16"/>
    </row>
    <row r="2" spans="1:10" x14ac:dyDescent="0.2">
      <c r="A2" t="s">
        <v>3</v>
      </c>
      <c r="G2" s="8" t="s">
        <v>4</v>
      </c>
      <c r="I2" t="s">
        <v>2</v>
      </c>
      <c r="J2" s="19"/>
    </row>
    <row r="3" spans="1:10" x14ac:dyDescent="0.2">
      <c r="A3" t="s">
        <v>5</v>
      </c>
    </row>
    <row r="5" spans="1:10" ht="5.45" customHeight="1" x14ac:dyDescent="0.2"/>
    <row r="6" spans="1:10" ht="15.75" x14ac:dyDescent="0.25">
      <c r="A6" s="1" t="s">
        <v>6</v>
      </c>
    </row>
    <row r="7" spans="1:10" ht="7.7" customHeight="1" x14ac:dyDescent="0.2"/>
    <row r="8" spans="1:10" ht="15.75" x14ac:dyDescent="0.25">
      <c r="A8" s="1" t="s">
        <v>7</v>
      </c>
    </row>
    <row r="9" spans="1:10" hidden="1" x14ac:dyDescent="0.2">
      <c r="B9" t="s">
        <v>8</v>
      </c>
      <c r="H9" s="2"/>
    </row>
    <row r="10" spans="1:10" x14ac:dyDescent="0.2">
      <c r="B10" t="s">
        <v>9</v>
      </c>
      <c r="H10" s="2"/>
    </row>
    <row r="11" spans="1:10" x14ac:dyDescent="0.2">
      <c r="B11" t="s">
        <v>10</v>
      </c>
      <c r="H11" s="2"/>
    </row>
    <row r="12" spans="1:10" x14ac:dyDescent="0.2">
      <c r="B12" t="s">
        <v>11</v>
      </c>
      <c r="H12" s="2"/>
    </row>
    <row r="13" spans="1:10" x14ac:dyDescent="0.2">
      <c r="B13" t="s">
        <v>12</v>
      </c>
      <c r="H13" s="2"/>
    </row>
    <row r="14" spans="1:10" x14ac:dyDescent="0.2">
      <c r="B14" t="s">
        <v>13</v>
      </c>
      <c r="H14" s="2"/>
    </row>
    <row r="15" spans="1:10" x14ac:dyDescent="0.2">
      <c r="B15" t="s">
        <v>14</v>
      </c>
      <c r="H15" s="2"/>
    </row>
    <row r="16" spans="1:10" x14ac:dyDescent="0.2">
      <c r="B16" t="s">
        <v>15</v>
      </c>
      <c r="H16" s="2"/>
    </row>
    <row r="17" spans="1:9" x14ac:dyDescent="0.2">
      <c r="B17" t="s">
        <v>16</v>
      </c>
      <c r="H17" s="2"/>
    </row>
    <row r="18" spans="1:9" x14ac:dyDescent="0.2">
      <c r="H18" s="2"/>
    </row>
    <row r="19" spans="1:9" x14ac:dyDescent="0.2">
      <c r="H19" s="2"/>
    </row>
    <row r="20" spans="1:9" x14ac:dyDescent="0.2">
      <c r="B20" t="s">
        <v>17</v>
      </c>
      <c r="H20" s="2"/>
    </row>
    <row r="21" spans="1:9" x14ac:dyDescent="0.2">
      <c r="B21" s="13"/>
      <c r="H21" s="2"/>
    </row>
    <row r="22" spans="1:9" ht="15.75" x14ac:dyDescent="0.25">
      <c r="A22" s="1" t="s">
        <v>18</v>
      </c>
      <c r="H22" s="2"/>
    </row>
    <row r="23" spans="1:9" x14ac:dyDescent="0.2">
      <c r="A23" s="14"/>
      <c r="B23" s="14"/>
      <c r="C23" s="14"/>
      <c r="D23" s="14"/>
      <c r="E23" s="14"/>
      <c r="F23" s="14"/>
      <c r="G23" s="14"/>
      <c r="H23" s="20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20"/>
      <c r="I24" s="14"/>
    </row>
    <row r="25" spans="1:9" x14ac:dyDescent="0.2">
      <c r="A25" s="14"/>
      <c r="B25" s="14"/>
      <c r="C25" s="14"/>
      <c r="D25" s="14"/>
      <c r="E25" s="14"/>
      <c r="F25" s="21"/>
      <c r="G25" s="14"/>
      <c r="H25" s="20"/>
      <c r="I25" s="14"/>
    </row>
    <row r="26" spans="1:9" x14ac:dyDescent="0.2">
      <c r="A26" s="14"/>
      <c r="B26" s="14"/>
      <c r="C26" s="14"/>
      <c r="D26" s="14"/>
      <c r="E26" s="14"/>
      <c r="F26" s="21"/>
      <c r="G26" s="14"/>
      <c r="H26" s="20"/>
      <c r="I26" s="14"/>
    </row>
    <row r="27" spans="1:9" x14ac:dyDescent="0.2">
      <c r="F27" s="12"/>
      <c r="H27" s="2"/>
    </row>
    <row r="29" spans="1:9" ht="15.75" x14ac:dyDescent="0.25">
      <c r="A29" s="32" t="s">
        <v>19</v>
      </c>
      <c r="B29" s="14"/>
      <c r="C29" s="14"/>
      <c r="D29" s="14"/>
      <c r="E29" s="14"/>
      <c r="H29" s="2"/>
    </row>
    <row r="30" spans="1:9" x14ac:dyDescent="0.2">
      <c r="A30" s="14"/>
      <c r="B30" s="14"/>
      <c r="C30" s="14"/>
      <c r="D30" s="14"/>
      <c r="E30" s="14"/>
      <c r="H30" s="2"/>
    </row>
    <row r="31" spans="1:9" x14ac:dyDescent="0.2">
      <c r="A31" s="14"/>
      <c r="B31" s="14"/>
      <c r="C31" s="14"/>
      <c r="D31" s="14"/>
      <c r="E31" s="14"/>
      <c r="I31" s="14"/>
    </row>
    <row r="32" spans="1:9" x14ac:dyDescent="0.2">
      <c r="A32" s="14"/>
      <c r="B32" s="14"/>
      <c r="C32" s="14"/>
      <c r="D32" s="14"/>
      <c r="E32" s="14"/>
    </row>
    <row r="34" spans="6:8" x14ac:dyDescent="0.2">
      <c r="F34" s="6"/>
      <c r="H34" s="2"/>
    </row>
  </sheetData>
  <pageMargins left="0.7" right="0.7" top="0.75" bottom="0.75" header="0.3" footer="0.3"/>
  <pageSetup scale="84" orientation="portrait" verticalDpi="1200" r:id="rId1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1991-B201-410B-8D14-C10271D24A5C}">
  <sheetPr codeName="Sheet2">
    <pageSetUpPr fitToPage="1"/>
  </sheetPr>
  <dimension ref="A1:K65"/>
  <sheetViews>
    <sheetView tabSelected="1" view="pageBreakPreview" zoomScale="115" zoomScaleNormal="100" zoomScaleSheetLayoutView="115" workbookViewId="0">
      <selection activeCell="H18" sqref="H18"/>
    </sheetView>
  </sheetViews>
  <sheetFormatPr defaultRowHeight="15" x14ac:dyDescent="0.2"/>
  <cols>
    <col min="1" max="1" width="3" customWidth="1"/>
    <col min="3" max="3" width="10" customWidth="1"/>
    <col min="4" max="4" width="6.109375" customWidth="1"/>
    <col min="5" max="5" width="18.33203125" customWidth="1"/>
    <col min="6" max="6" width="11.33203125" bestFit="1" customWidth="1"/>
    <col min="7" max="7" width="8.6640625" customWidth="1"/>
    <col min="8" max="8" width="6.77734375" customWidth="1"/>
    <col min="9" max="9" width="6.6640625" customWidth="1"/>
    <col min="10" max="10" width="10.6640625" customWidth="1"/>
    <col min="259" max="259" width="12.44140625" bestFit="1" customWidth="1"/>
    <col min="260" max="260" width="7" customWidth="1"/>
    <col min="265" max="265" width="3.88671875" customWidth="1"/>
    <col min="266" max="266" width="5.33203125" customWidth="1"/>
    <col min="515" max="515" width="12.44140625" bestFit="1" customWidth="1"/>
    <col min="516" max="516" width="7" customWidth="1"/>
    <col min="521" max="521" width="3.88671875" customWidth="1"/>
    <col min="522" max="522" width="5.33203125" customWidth="1"/>
    <col min="771" max="771" width="12.44140625" bestFit="1" customWidth="1"/>
    <col min="772" max="772" width="7" customWidth="1"/>
    <col min="777" max="777" width="3.88671875" customWidth="1"/>
    <col min="778" max="778" width="5.33203125" customWidth="1"/>
    <col min="1027" max="1027" width="12.44140625" bestFit="1" customWidth="1"/>
    <col min="1028" max="1028" width="7" customWidth="1"/>
    <col min="1033" max="1033" width="3.88671875" customWidth="1"/>
    <col min="1034" max="1034" width="5.33203125" customWidth="1"/>
    <col min="1283" max="1283" width="12.44140625" bestFit="1" customWidth="1"/>
    <col min="1284" max="1284" width="7" customWidth="1"/>
    <col min="1289" max="1289" width="3.88671875" customWidth="1"/>
    <col min="1290" max="1290" width="5.33203125" customWidth="1"/>
    <col min="1539" max="1539" width="12.44140625" bestFit="1" customWidth="1"/>
    <col min="1540" max="1540" width="7" customWidth="1"/>
    <col min="1545" max="1545" width="3.88671875" customWidth="1"/>
    <col min="1546" max="1546" width="5.33203125" customWidth="1"/>
    <col min="1795" max="1795" width="12.44140625" bestFit="1" customWidth="1"/>
    <col min="1796" max="1796" width="7" customWidth="1"/>
    <col min="1801" max="1801" width="3.88671875" customWidth="1"/>
    <col min="1802" max="1802" width="5.33203125" customWidth="1"/>
    <col min="2051" max="2051" width="12.44140625" bestFit="1" customWidth="1"/>
    <col min="2052" max="2052" width="7" customWidth="1"/>
    <col min="2057" max="2057" width="3.88671875" customWidth="1"/>
    <col min="2058" max="2058" width="5.33203125" customWidth="1"/>
    <col min="2307" max="2307" width="12.44140625" bestFit="1" customWidth="1"/>
    <col min="2308" max="2308" width="7" customWidth="1"/>
    <col min="2313" max="2313" width="3.88671875" customWidth="1"/>
    <col min="2314" max="2314" width="5.33203125" customWidth="1"/>
    <col min="2563" max="2563" width="12.44140625" bestFit="1" customWidth="1"/>
    <col min="2564" max="2564" width="7" customWidth="1"/>
    <col min="2569" max="2569" width="3.88671875" customWidth="1"/>
    <col min="2570" max="2570" width="5.33203125" customWidth="1"/>
    <col min="2819" max="2819" width="12.44140625" bestFit="1" customWidth="1"/>
    <col min="2820" max="2820" width="7" customWidth="1"/>
    <col min="2825" max="2825" width="3.88671875" customWidth="1"/>
    <col min="2826" max="2826" width="5.33203125" customWidth="1"/>
    <col min="3075" max="3075" width="12.44140625" bestFit="1" customWidth="1"/>
    <col min="3076" max="3076" width="7" customWidth="1"/>
    <col min="3081" max="3081" width="3.88671875" customWidth="1"/>
    <col min="3082" max="3082" width="5.33203125" customWidth="1"/>
    <col min="3331" max="3331" width="12.44140625" bestFit="1" customWidth="1"/>
    <col min="3332" max="3332" width="7" customWidth="1"/>
    <col min="3337" max="3337" width="3.88671875" customWidth="1"/>
    <col min="3338" max="3338" width="5.33203125" customWidth="1"/>
    <col min="3587" max="3587" width="12.44140625" bestFit="1" customWidth="1"/>
    <col min="3588" max="3588" width="7" customWidth="1"/>
    <col min="3593" max="3593" width="3.88671875" customWidth="1"/>
    <col min="3594" max="3594" width="5.33203125" customWidth="1"/>
    <col min="3843" max="3843" width="12.44140625" bestFit="1" customWidth="1"/>
    <col min="3844" max="3844" width="7" customWidth="1"/>
    <col min="3849" max="3849" width="3.88671875" customWidth="1"/>
    <col min="3850" max="3850" width="5.33203125" customWidth="1"/>
    <col min="4099" max="4099" width="12.44140625" bestFit="1" customWidth="1"/>
    <col min="4100" max="4100" width="7" customWidth="1"/>
    <col min="4105" max="4105" width="3.88671875" customWidth="1"/>
    <col min="4106" max="4106" width="5.33203125" customWidth="1"/>
    <col min="4355" max="4355" width="12.44140625" bestFit="1" customWidth="1"/>
    <col min="4356" max="4356" width="7" customWidth="1"/>
    <col min="4361" max="4361" width="3.88671875" customWidth="1"/>
    <col min="4362" max="4362" width="5.33203125" customWidth="1"/>
    <col min="4611" max="4611" width="12.44140625" bestFit="1" customWidth="1"/>
    <col min="4612" max="4612" width="7" customWidth="1"/>
    <col min="4617" max="4617" width="3.88671875" customWidth="1"/>
    <col min="4618" max="4618" width="5.33203125" customWidth="1"/>
    <col min="4867" max="4867" width="12.44140625" bestFit="1" customWidth="1"/>
    <col min="4868" max="4868" width="7" customWidth="1"/>
    <col min="4873" max="4873" width="3.88671875" customWidth="1"/>
    <col min="4874" max="4874" width="5.33203125" customWidth="1"/>
    <col min="5123" max="5123" width="12.44140625" bestFit="1" customWidth="1"/>
    <col min="5124" max="5124" width="7" customWidth="1"/>
    <col min="5129" max="5129" width="3.88671875" customWidth="1"/>
    <col min="5130" max="5130" width="5.33203125" customWidth="1"/>
    <col min="5379" max="5379" width="12.44140625" bestFit="1" customWidth="1"/>
    <col min="5380" max="5380" width="7" customWidth="1"/>
    <col min="5385" max="5385" width="3.88671875" customWidth="1"/>
    <col min="5386" max="5386" width="5.33203125" customWidth="1"/>
    <col min="5635" max="5635" width="12.44140625" bestFit="1" customWidth="1"/>
    <col min="5636" max="5636" width="7" customWidth="1"/>
    <col min="5641" max="5641" width="3.88671875" customWidth="1"/>
    <col min="5642" max="5642" width="5.33203125" customWidth="1"/>
    <col min="5891" max="5891" width="12.44140625" bestFit="1" customWidth="1"/>
    <col min="5892" max="5892" width="7" customWidth="1"/>
    <col min="5897" max="5897" width="3.88671875" customWidth="1"/>
    <col min="5898" max="5898" width="5.33203125" customWidth="1"/>
    <col min="6147" max="6147" width="12.44140625" bestFit="1" customWidth="1"/>
    <col min="6148" max="6148" width="7" customWidth="1"/>
    <col min="6153" max="6153" width="3.88671875" customWidth="1"/>
    <col min="6154" max="6154" width="5.33203125" customWidth="1"/>
    <col min="6403" max="6403" width="12.44140625" bestFit="1" customWidth="1"/>
    <col min="6404" max="6404" width="7" customWidth="1"/>
    <col min="6409" max="6409" width="3.88671875" customWidth="1"/>
    <col min="6410" max="6410" width="5.33203125" customWidth="1"/>
    <col min="6659" max="6659" width="12.44140625" bestFit="1" customWidth="1"/>
    <col min="6660" max="6660" width="7" customWidth="1"/>
    <col min="6665" max="6665" width="3.88671875" customWidth="1"/>
    <col min="6666" max="6666" width="5.33203125" customWidth="1"/>
    <col min="6915" max="6915" width="12.44140625" bestFit="1" customWidth="1"/>
    <col min="6916" max="6916" width="7" customWidth="1"/>
    <col min="6921" max="6921" width="3.88671875" customWidth="1"/>
    <col min="6922" max="6922" width="5.33203125" customWidth="1"/>
    <col min="7171" max="7171" width="12.44140625" bestFit="1" customWidth="1"/>
    <col min="7172" max="7172" width="7" customWidth="1"/>
    <col min="7177" max="7177" width="3.88671875" customWidth="1"/>
    <col min="7178" max="7178" width="5.33203125" customWidth="1"/>
    <col min="7427" max="7427" width="12.44140625" bestFit="1" customWidth="1"/>
    <col min="7428" max="7428" width="7" customWidth="1"/>
    <col min="7433" max="7433" width="3.88671875" customWidth="1"/>
    <col min="7434" max="7434" width="5.33203125" customWidth="1"/>
    <col min="7683" max="7683" width="12.44140625" bestFit="1" customWidth="1"/>
    <col min="7684" max="7684" width="7" customWidth="1"/>
    <col min="7689" max="7689" width="3.88671875" customWidth="1"/>
    <col min="7690" max="7690" width="5.33203125" customWidth="1"/>
    <col min="7939" max="7939" width="12.44140625" bestFit="1" customWidth="1"/>
    <col min="7940" max="7940" width="7" customWidth="1"/>
    <col min="7945" max="7945" width="3.88671875" customWidth="1"/>
    <col min="7946" max="7946" width="5.33203125" customWidth="1"/>
    <col min="8195" max="8195" width="12.44140625" bestFit="1" customWidth="1"/>
    <col min="8196" max="8196" width="7" customWidth="1"/>
    <col min="8201" max="8201" width="3.88671875" customWidth="1"/>
    <col min="8202" max="8202" width="5.33203125" customWidth="1"/>
    <col min="8451" max="8451" width="12.44140625" bestFit="1" customWidth="1"/>
    <col min="8452" max="8452" width="7" customWidth="1"/>
    <col min="8457" max="8457" width="3.88671875" customWidth="1"/>
    <col min="8458" max="8458" width="5.33203125" customWidth="1"/>
    <col min="8707" max="8707" width="12.44140625" bestFit="1" customWidth="1"/>
    <col min="8708" max="8708" width="7" customWidth="1"/>
    <col min="8713" max="8713" width="3.88671875" customWidth="1"/>
    <col min="8714" max="8714" width="5.33203125" customWidth="1"/>
    <col min="8963" max="8963" width="12.44140625" bestFit="1" customWidth="1"/>
    <col min="8964" max="8964" width="7" customWidth="1"/>
    <col min="8969" max="8969" width="3.88671875" customWidth="1"/>
    <col min="8970" max="8970" width="5.33203125" customWidth="1"/>
    <col min="9219" max="9219" width="12.44140625" bestFit="1" customWidth="1"/>
    <col min="9220" max="9220" width="7" customWidth="1"/>
    <col min="9225" max="9225" width="3.88671875" customWidth="1"/>
    <col min="9226" max="9226" width="5.33203125" customWidth="1"/>
    <col min="9475" max="9475" width="12.44140625" bestFit="1" customWidth="1"/>
    <col min="9476" max="9476" width="7" customWidth="1"/>
    <col min="9481" max="9481" width="3.88671875" customWidth="1"/>
    <col min="9482" max="9482" width="5.33203125" customWidth="1"/>
    <col min="9731" max="9731" width="12.44140625" bestFit="1" customWidth="1"/>
    <col min="9732" max="9732" width="7" customWidth="1"/>
    <col min="9737" max="9737" width="3.88671875" customWidth="1"/>
    <col min="9738" max="9738" width="5.33203125" customWidth="1"/>
    <col min="9987" max="9987" width="12.44140625" bestFit="1" customWidth="1"/>
    <col min="9988" max="9988" width="7" customWidth="1"/>
    <col min="9993" max="9993" width="3.88671875" customWidth="1"/>
    <col min="9994" max="9994" width="5.33203125" customWidth="1"/>
    <col min="10243" max="10243" width="12.44140625" bestFit="1" customWidth="1"/>
    <col min="10244" max="10244" width="7" customWidth="1"/>
    <col min="10249" max="10249" width="3.88671875" customWidth="1"/>
    <col min="10250" max="10250" width="5.33203125" customWidth="1"/>
    <col min="10499" max="10499" width="12.44140625" bestFit="1" customWidth="1"/>
    <col min="10500" max="10500" width="7" customWidth="1"/>
    <col min="10505" max="10505" width="3.88671875" customWidth="1"/>
    <col min="10506" max="10506" width="5.33203125" customWidth="1"/>
    <col min="10755" max="10755" width="12.44140625" bestFit="1" customWidth="1"/>
    <col min="10756" max="10756" width="7" customWidth="1"/>
    <col min="10761" max="10761" width="3.88671875" customWidth="1"/>
    <col min="10762" max="10762" width="5.33203125" customWidth="1"/>
    <col min="11011" max="11011" width="12.44140625" bestFit="1" customWidth="1"/>
    <col min="11012" max="11012" width="7" customWidth="1"/>
    <col min="11017" max="11017" width="3.88671875" customWidth="1"/>
    <col min="11018" max="11018" width="5.33203125" customWidth="1"/>
    <col min="11267" max="11267" width="12.44140625" bestFit="1" customWidth="1"/>
    <col min="11268" max="11268" width="7" customWidth="1"/>
    <col min="11273" max="11273" width="3.88671875" customWidth="1"/>
    <col min="11274" max="11274" width="5.33203125" customWidth="1"/>
    <col min="11523" max="11523" width="12.44140625" bestFit="1" customWidth="1"/>
    <col min="11524" max="11524" width="7" customWidth="1"/>
    <col min="11529" max="11529" width="3.88671875" customWidth="1"/>
    <col min="11530" max="11530" width="5.33203125" customWidth="1"/>
    <col min="11779" max="11779" width="12.44140625" bestFit="1" customWidth="1"/>
    <col min="11780" max="11780" width="7" customWidth="1"/>
    <col min="11785" max="11785" width="3.88671875" customWidth="1"/>
    <col min="11786" max="11786" width="5.33203125" customWidth="1"/>
    <col min="12035" max="12035" width="12.44140625" bestFit="1" customWidth="1"/>
    <col min="12036" max="12036" width="7" customWidth="1"/>
    <col min="12041" max="12041" width="3.88671875" customWidth="1"/>
    <col min="12042" max="12042" width="5.33203125" customWidth="1"/>
    <col min="12291" max="12291" width="12.44140625" bestFit="1" customWidth="1"/>
    <col min="12292" max="12292" width="7" customWidth="1"/>
    <col min="12297" max="12297" width="3.88671875" customWidth="1"/>
    <col min="12298" max="12298" width="5.33203125" customWidth="1"/>
    <col min="12547" max="12547" width="12.44140625" bestFit="1" customWidth="1"/>
    <col min="12548" max="12548" width="7" customWidth="1"/>
    <col min="12553" max="12553" width="3.88671875" customWidth="1"/>
    <col min="12554" max="12554" width="5.33203125" customWidth="1"/>
    <col min="12803" max="12803" width="12.44140625" bestFit="1" customWidth="1"/>
    <col min="12804" max="12804" width="7" customWidth="1"/>
    <col min="12809" max="12809" width="3.88671875" customWidth="1"/>
    <col min="12810" max="12810" width="5.33203125" customWidth="1"/>
    <col min="13059" max="13059" width="12.44140625" bestFit="1" customWidth="1"/>
    <col min="13060" max="13060" width="7" customWidth="1"/>
    <col min="13065" max="13065" width="3.88671875" customWidth="1"/>
    <col min="13066" max="13066" width="5.33203125" customWidth="1"/>
    <col min="13315" max="13315" width="12.44140625" bestFit="1" customWidth="1"/>
    <col min="13316" max="13316" width="7" customWidth="1"/>
    <col min="13321" max="13321" width="3.88671875" customWidth="1"/>
    <col min="13322" max="13322" width="5.33203125" customWidth="1"/>
    <col min="13571" max="13571" width="12.44140625" bestFit="1" customWidth="1"/>
    <col min="13572" max="13572" width="7" customWidth="1"/>
    <col min="13577" max="13577" width="3.88671875" customWidth="1"/>
    <col min="13578" max="13578" width="5.33203125" customWidth="1"/>
    <col min="13827" max="13827" width="12.44140625" bestFit="1" customWidth="1"/>
    <col min="13828" max="13828" width="7" customWidth="1"/>
    <col min="13833" max="13833" width="3.88671875" customWidth="1"/>
    <col min="13834" max="13834" width="5.33203125" customWidth="1"/>
    <col min="14083" max="14083" width="12.44140625" bestFit="1" customWidth="1"/>
    <col min="14084" max="14084" width="7" customWidth="1"/>
    <col min="14089" max="14089" width="3.88671875" customWidth="1"/>
    <col min="14090" max="14090" width="5.33203125" customWidth="1"/>
    <col min="14339" max="14339" width="12.44140625" bestFit="1" customWidth="1"/>
    <col min="14340" max="14340" width="7" customWidth="1"/>
    <col min="14345" max="14345" width="3.88671875" customWidth="1"/>
    <col min="14346" max="14346" width="5.33203125" customWidth="1"/>
    <col min="14595" max="14595" width="12.44140625" bestFit="1" customWidth="1"/>
    <col min="14596" max="14596" width="7" customWidth="1"/>
    <col min="14601" max="14601" width="3.88671875" customWidth="1"/>
    <col min="14602" max="14602" width="5.33203125" customWidth="1"/>
    <col min="14851" max="14851" width="12.44140625" bestFit="1" customWidth="1"/>
    <col min="14852" max="14852" width="7" customWidth="1"/>
    <col min="14857" max="14857" width="3.88671875" customWidth="1"/>
    <col min="14858" max="14858" width="5.33203125" customWidth="1"/>
    <col min="15107" max="15107" width="12.44140625" bestFit="1" customWidth="1"/>
    <col min="15108" max="15108" width="7" customWidth="1"/>
    <col min="15113" max="15113" width="3.88671875" customWidth="1"/>
    <col min="15114" max="15114" width="5.33203125" customWidth="1"/>
    <col min="15363" max="15363" width="12.44140625" bestFit="1" customWidth="1"/>
    <col min="15364" max="15364" width="7" customWidth="1"/>
    <col min="15369" max="15369" width="3.88671875" customWidth="1"/>
    <col min="15370" max="15370" width="5.33203125" customWidth="1"/>
    <col min="15619" max="15619" width="12.44140625" bestFit="1" customWidth="1"/>
    <col min="15620" max="15620" width="7" customWidth="1"/>
    <col min="15625" max="15625" width="3.88671875" customWidth="1"/>
    <col min="15626" max="15626" width="5.33203125" customWidth="1"/>
    <col min="15875" max="15875" width="12.44140625" bestFit="1" customWidth="1"/>
    <col min="15876" max="15876" width="7" customWidth="1"/>
    <col min="15881" max="15881" width="3.88671875" customWidth="1"/>
    <col min="15882" max="15882" width="5.33203125" customWidth="1"/>
    <col min="16131" max="16131" width="12.44140625" bestFit="1" customWidth="1"/>
    <col min="16132" max="16132" width="7" customWidth="1"/>
    <col min="16137" max="16137" width="3.88671875" customWidth="1"/>
    <col min="16138" max="16138" width="5.33203125" customWidth="1"/>
  </cols>
  <sheetData>
    <row r="1" spans="1:10" x14ac:dyDescent="0.2">
      <c r="A1" t="s">
        <v>0</v>
      </c>
      <c r="C1" t="s">
        <v>20</v>
      </c>
      <c r="G1" s="8" t="s">
        <v>1</v>
      </c>
      <c r="H1" t="s">
        <v>96</v>
      </c>
      <c r="I1" t="s">
        <v>2</v>
      </c>
      <c r="J1" s="40">
        <v>45813</v>
      </c>
    </row>
    <row r="2" spans="1:10" x14ac:dyDescent="0.2">
      <c r="A2" t="s">
        <v>3</v>
      </c>
      <c r="C2" t="s">
        <v>21</v>
      </c>
      <c r="G2" s="8" t="s">
        <v>4</v>
      </c>
      <c r="I2" t="s">
        <v>2</v>
      </c>
    </row>
    <row r="3" spans="1:10" x14ac:dyDescent="0.2">
      <c r="A3" t="s">
        <v>5</v>
      </c>
      <c r="C3" t="s">
        <v>97</v>
      </c>
    </row>
    <row r="5" spans="1:10" ht="5.45" customHeight="1" x14ac:dyDescent="0.2"/>
    <row r="6" spans="1:10" ht="15.75" x14ac:dyDescent="0.25">
      <c r="A6" s="1" t="s">
        <v>22</v>
      </c>
    </row>
    <row r="7" spans="1:10" ht="7.7" customHeight="1" x14ac:dyDescent="0.2"/>
    <row r="8" spans="1:10" ht="15.75" x14ac:dyDescent="0.25">
      <c r="A8" s="1" t="s">
        <v>23</v>
      </c>
    </row>
    <row r="9" spans="1:10" x14ac:dyDescent="0.2">
      <c r="H9" s="2"/>
    </row>
    <row r="10" spans="1:10" x14ac:dyDescent="0.2">
      <c r="C10" s="3"/>
    </row>
    <row r="11" spans="1:10" ht="15.75" x14ac:dyDescent="0.25">
      <c r="A11" s="1" t="s">
        <v>24</v>
      </c>
    </row>
    <row r="12" spans="1:10" hidden="1" x14ac:dyDescent="0.2">
      <c r="B12" t="s">
        <v>25</v>
      </c>
      <c r="F12" s="4">
        <v>3</v>
      </c>
      <c r="H12" s="2"/>
    </row>
    <row r="13" spans="1:10" x14ac:dyDescent="0.2">
      <c r="B13" t="s">
        <v>26</v>
      </c>
      <c r="F13" s="15">
        <f>F14*F25*F26</f>
        <v>226000</v>
      </c>
      <c r="G13" t="s">
        <v>27</v>
      </c>
      <c r="H13" s="18" t="s">
        <v>28</v>
      </c>
      <c r="I13">
        <f>F18</f>
        <v>4.75</v>
      </c>
    </row>
    <row r="14" spans="1:10" ht="15.75" x14ac:dyDescent="0.25">
      <c r="A14" s="1"/>
      <c r="B14" t="s">
        <v>29</v>
      </c>
      <c r="F14" s="34">
        <v>2260</v>
      </c>
      <c r="G14" t="s">
        <v>30</v>
      </c>
      <c r="H14" s="2"/>
    </row>
    <row r="15" spans="1:10" x14ac:dyDescent="0.2">
      <c r="B15" t="s">
        <v>31</v>
      </c>
      <c r="F15" s="35">
        <v>2140</v>
      </c>
      <c r="G15" t="s">
        <v>30</v>
      </c>
      <c r="H15" s="2"/>
    </row>
    <row r="16" spans="1:10" x14ac:dyDescent="0.2">
      <c r="B16" s="2" t="s">
        <v>32</v>
      </c>
      <c r="F16" s="36">
        <v>0</v>
      </c>
      <c r="G16" t="s">
        <v>33</v>
      </c>
      <c r="H16" s="2"/>
    </row>
    <row r="17" spans="1:10" x14ac:dyDescent="0.2">
      <c r="B17" t="s">
        <v>34</v>
      </c>
      <c r="F17" s="35">
        <v>6.75</v>
      </c>
      <c r="G17" t="s">
        <v>35</v>
      </c>
      <c r="H17" s="41" t="s">
        <v>98</v>
      </c>
    </row>
    <row r="18" spans="1:10" x14ac:dyDescent="0.2">
      <c r="B18" t="s">
        <v>36</v>
      </c>
      <c r="F18" s="35">
        <v>4.75</v>
      </c>
      <c r="G18" t="s">
        <v>35</v>
      </c>
      <c r="H18" s="41" t="str">
        <f>H17</f>
        <v>Drawing S31-102</v>
      </c>
    </row>
    <row r="19" spans="1:10" x14ac:dyDescent="0.2">
      <c r="B19" t="s">
        <v>37</v>
      </c>
      <c r="F19" s="35">
        <v>0</v>
      </c>
      <c r="G19" t="s">
        <v>35</v>
      </c>
      <c r="H19" s="2"/>
    </row>
    <row r="20" spans="1:10" x14ac:dyDescent="0.2">
      <c r="B20" t="s">
        <v>38</v>
      </c>
      <c r="F20" s="4">
        <f>F17-F18</f>
        <v>2</v>
      </c>
      <c r="G20" t="s">
        <v>35</v>
      </c>
      <c r="H20" s="2"/>
    </row>
    <row r="21" spans="1:10" ht="19.5" x14ac:dyDescent="0.35">
      <c r="B21" t="s">
        <v>39</v>
      </c>
      <c r="F21" s="35">
        <v>125</v>
      </c>
      <c r="G21" t="s">
        <v>40</v>
      </c>
      <c r="H21" s="2"/>
    </row>
    <row r="22" spans="1:10" ht="19.5" x14ac:dyDescent="0.35">
      <c r="B22" t="s">
        <v>41</v>
      </c>
      <c r="F22" s="35">
        <v>125</v>
      </c>
      <c r="G22" t="s">
        <v>40</v>
      </c>
      <c r="H22" s="2"/>
    </row>
    <row r="23" spans="1:10" ht="19.5" x14ac:dyDescent="0.35">
      <c r="B23" t="s">
        <v>42</v>
      </c>
      <c r="F23" s="4">
        <f>F21-62.4</f>
        <v>62.6</v>
      </c>
      <c r="G23" t="s">
        <v>40</v>
      </c>
      <c r="H23" s="2"/>
    </row>
    <row r="24" spans="1:10" ht="19.5" x14ac:dyDescent="0.35">
      <c r="B24" t="s">
        <v>43</v>
      </c>
      <c r="F24" s="4">
        <f>F22-62.4</f>
        <v>62.6</v>
      </c>
      <c r="G24" t="s">
        <v>40</v>
      </c>
      <c r="H24" s="2"/>
    </row>
    <row r="25" spans="1:10" x14ac:dyDescent="0.2">
      <c r="B25" t="s">
        <v>44</v>
      </c>
      <c r="F25" s="37">
        <v>5</v>
      </c>
      <c r="G25" t="s">
        <v>35</v>
      </c>
      <c r="H25" s="2"/>
    </row>
    <row r="26" spans="1:10" x14ac:dyDescent="0.2">
      <c r="B26" t="s">
        <v>45</v>
      </c>
      <c r="F26" s="37">
        <v>20</v>
      </c>
      <c r="G26" t="s">
        <v>35</v>
      </c>
      <c r="H26" s="2"/>
    </row>
    <row r="27" spans="1:10" x14ac:dyDescent="0.2">
      <c r="B27" t="s">
        <v>46</v>
      </c>
      <c r="F27" s="33">
        <f>F14*F25*F26/1000</f>
        <v>226</v>
      </c>
      <c r="G27" t="s">
        <v>47</v>
      </c>
      <c r="H27" s="2"/>
      <c r="J27" s="9"/>
    </row>
    <row r="28" spans="1:10" ht="19.5" x14ac:dyDescent="0.35">
      <c r="B28" t="s">
        <v>48</v>
      </c>
      <c r="F28" s="38">
        <v>0</v>
      </c>
      <c r="G28" t="s">
        <v>49</v>
      </c>
      <c r="H28" s="2"/>
    </row>
    <row r="29" spans="1:10" ht="19.5" x14ac:dyDescent="0.35">
      <c r="B29" t="s">
        <v>50</v>
      </c>
      <c r="F29" s="38">
        <v>0</v>
      </c>
      <c r="G29" t="s">
        <v>49</v>
      </c>
      <c r="H29" s="2"/>
    </row>
    <row r="30" spans="1:10" x14ac:dyDescent="0.2">
      <c r="B30" t="s">
        <v>51</v>
      </c>
      <c r="F30" s="38">
        <v>0</v>
      </c>
      <c r="G30" t="s">
        <v>33</v>
      </c>
      <c r="H30" s="2"/>
    </row>
    <row r="31" spans="1:10" x14ac:dyDescent="0.2">
      <c r="F31" s="6"/>
      <c r="H31" s="2"/>
    </row>
    <row r="32" spans="1:10" ht="15.75" x14ac:dyDescent="0.25">
      <c r="A32" s="1" t="s">
        <v>52</v>
      </c>
      <c r="F32" s="6"/>
      <c r="H32" s="2"/>
    </row>
    <row r="33" spans="2:11" ht="19.5" x14ac:dyDescent="0.35">
      <c r="B33" t="s">
        <v>53</v>
      </c>
      <c r="F33" s="7">
        <f>F28/F27</f>
        <v>0</v>
      </c>
      <c r="G33" t="s">
        <v>35</v>
      </c>
      <c r="H33" s="2"/>
    </row>
    <row r="34" spans="2:11" x14ac:dyDescent="0.2">
      <c r="B34" t="s">
        <v>54</v>
      </c>
      <c r="F34" s="7">
        <f>F25-2*F33</f>
        <v>5</v>
      </c>
      <c r="G34" t="s">
        <v>35</v>
      </c>
      <c r="H34" s="2"/>
    </row>
    <row r="35" spans="2:11" ht="19.5" x14ac:dyDescent="0.35">
      <c r="B35" t="s">
        <v>55</v>
      </c>
      <c r="F35" s="7">
        <f>F29/F27</f>
        <v>0</v>
      </c>
      <c r="G35" t="s">
        <v>35</v>
      </c>
      <c r="H35" s="2"/>
    </row>
    <row r="36" spans="2:11" x14ac:dyDescent="0.2">
      <c r="B36" t="s">
        <v>56</v>
      </c>
      <c r="F36" s="7">
        <f>F26-2*F35</f>
        <v>20</v>
      </c>
      <c r="G36" t="s">
        <v>35</v>
      </c>
      <c r="H36" s="2"/>
    </row>
    <row r="37" spans="2:11" ht="19.5" x14ac:dyDescent="0.35">
      <c r="B37" t="s">
        <v>57</v>
      </c>
      <c r="F37" s="5">
        <f>(F21*(F17-F19))+(F24*(F19-F18))</f>
        <v>546.4</v>
      </c>
      <c r="G37" t="s">
        <v>30</v>
      </c>
      <c r="H37" s="2"/>
    </row>
    <row r="38" spans="2:11" ht="19.5" x14ac:dyDescent="0.35">
      <c r="B38" t="s">
        <v>58</v>
      </c>
      <c r="F38" s="7">
        <f>(TAN((45+(F16/2))*PI()/180))^2</f>
        <v>0.99999999999999978</v>
      </c>
      <c r="H38" s="2"/>
    </row>
    <row r="39" spans="2:11" x14ac:dyDescent="0.2">
      <c r="F39" s="6"/>
      <c r="H39" s="2"/>
    </row>
    <row r="40" spans="2:11" x14ac:dyDescent="0.2">
      <c r="B40" t="s">
        <v>59</v>
      </c>
      <c r="F40" t="s">
        <v>60</v>
      </c>
      <c r="H40" s="2"/>
    </row>
    <row r="41" spans="2:11" ht="19.5" x14ac:dyDescent="0.35">
      <c r="B41" t="s">
        <v>61</v>
      </c>
      <c r="C41" s="23">
        <f>IF(F16=0,5.14,(C43-1)*_xlfn.COT(F16*PI()/180))</f>
        <v>5.14</v>
      </c>
      <c r="D41" s="24"/>
      <c r="E41" s="24"/>
      <c r="F41" s="24" t="s">
        <v>62</v>
      </c>
      <c r="G41" s="25">
        <f>C45*F45*H45</f>
        <v>1.1340000000000001</v>
      </c>
      <c r="H41" s="2" t="s">
        <v>63</v>
      </c>
      <c r="I41" s="2"/>
    </row>
    <row r="42" spans="2:11" ht="19.5" x14ac:dyDescent="0.35">
      <c r="B42" t="s">
        <v>64</v>
      </c>
      <c r="C42" s="23">
        <f>IF(F16=0,0,(C43-1)*TAN((1.4*F16)*PI()/180))</f>
        <v>0</v>
      </c>
      <c r="D42" s="24"/>
      <c r="E42" s="24"/>
      <c r="F42" s="24" t="s">
        <v>65</v>
      </c>
      <c r="G42" s="25">
        <f>C46*F46*H46</f>
        <v>1</v>
      </c>
      <c r="H42" s="2" t="s">
        <v>66</v>
      </c>
      <c r="I42" s="2"/>
    </row>
    <row r="43" spans="2:11" ht="19.5" x14ac:dyDescent="0.35">
      <c r="B43" t="s">
        <v>67</v>
      </c>
      <c r="C43" s="23">
        <f>IF(F16=0,1,F38*EXP(PI()*TAN(F16*PI()/180)))</f>
        <v>1</v>
      </c>
      <c r="D43" s="24"/>
      <c r="E43" s="24"/>
      <c r="F43" s="24" t="s">
        <v>68</v>
      </c>
      <c r="G43" s="25">
        <f>C47*F47*H47</f>
        <v>1</v>
      </c>
      <c r="H43" s="2" t="s">
        <v>69</v>
      </c>
      <c r="I43" s="2"/>
    </row>
    <row r="44" spans="2:11" x14ac:dyDescent="0.2">
      <c r="C44" s="24"/>
      <c r="D44" s="24"/>
      <c r="E44" s="24"/>
      <c r="F44" s="25"/>
      <c r="G44" s="24"/>
      <c r="H44" s="26"/>
      <c r="K44" s="22" t="s">
        <v>70</v>
      </c>
    </row>
    <row r="45" spans="2:11" ht="19.5" x14ac:dyDescent="0.35">
      <c r="B45" s="11" t="s">
        <v>71</v>
      </c>
      <c r="C45" s="25">
        <f>IF(F16=0,1+0.2*F38*(F34/F36),1)</f>
        <v>1.05</v>
      </c>
      <c r="D45" s="27"/>
      <c r="E45" s="28" t="s">
        <v>72</v>
      </c>
      <c r="F45" s="25">
        <f>IF(F16=0,(1-(F30/90)),1-(F30/90))^2</f>
        <v>1</v>
      </c>
      <c r="G45" s="28" t="s">
        <v>73</v>
      </c>
      <c r="H45" s="29">
        <f>IF(F16=0,1+0.2*SQRT(F38)*(F20/F25),1)</f>
        <v>1.08</v>
      </c>
      <c r="I45" s="2"/>
      <c r="K45" s="22" t="s">
        <v>74</v>
      </c>
    </row>
    <row r="46" spans="2:11" ht="19.5" x14ac:dyDescent="0.35">
      <c r="B46" s="11" t="s">
        <v>75</v>
      </c>
      <c r="C46" s="25">
        <f>IF(F16=0,1,1+0.1*F38*(F34/F36))</f>
        <v>1</v>
      </c>
      <c r="D46" s="24"/>
      <c r="E46" s="28" t="s">
        <v>76</v>
      </c>
      <c r="F46" s="25">
        <v>1</v>
      </c>
      <c r="G46" s="28" t="s">
        <v>77</v>
      </c>
      <c r="H46" s="29">
        <f>IF(F16&gt;0,1+0.1*SQRT(F38)*(F20/F25),1)</f>
        <v>1</v>
      </c>
    </row>
    <row r="47" spans="2:11" ht="19.5" x14ac:dyDescent="0.35">
      <c r="B47" s="11" t="s">
        <v>78</v>
      </c>
      <c r="C47" s="30">
        <f>IF(F16=0,1,1+0.1*F38*(F34/F36))</f>
        <v>1</v>
      </c>
      <c r="D47" s="24"/>
      <c r="E47" s="28" t="s">
        <v>79</v>
      </c>
      <c r="F47" s="30">
        <f>IF(F16=0,(1-(F30/90)),1-(F30/90))^2</f>
        <v>1</v>
      </c>
      <c r="G47" s="28" t="s">
        <v>80</v>
      </c>
      <c r="H47" s="29">
        <f>IF(F16=0,1,1+0.1*SQRT(F38)*(F20/F25))</f>
        <v>1</v>
      </c>
    </row>
    <row r="48" spans="2:11" x14ac:dyDescent="0.2">
      <c r="C48" s="24"/>
      <c r="D48" s="24"/>
      <c r="E48" s="24"/>
      <c r="F48" s="24"/>
      <c r="G48" s="24"/>
      <c r="H48" s="24"/>
      <c r="K48" s="31" t="s">
        <v>81</v>
      </c>
    </row>
    <row r="49" spans="1:11" ht="15.75" x14ac:dyDescent="0.25">
      <c r="A49" s="1" t="s">
        <v>82</v>
      </c>
    </row>
    <row r="50" spans="1:11" ht="4.7" customHeight="1" x14ac:dyDescent="0.2"/>
    <row r="51" spans="1:11" ht="19.5" x14ac:dyDescent="0.35">
      <c r="B51" t="s">
        <v>83</v>
      </c>
      <c r="F51" s="10">
        <f>(F15*C41*G41)+(0.5*F34*F24*C42*G42)+(F37*C43*G43)</f>
        <v>13019.946399999999</v>
      </c>
      <c r="G51" t="s">
        <v>30</v>
      </c>
    </row>
    <row r="52" spans="1:11" ht="19.5" x14ac:dyDescent="0.35">
      <c r="B52" t="s">
        <v>84</v>
      </c>
      <c r="F52" s="10">
        <f>F51-F37</f>
        <v>12473.546399999999</v>
      </c>
      <c r="G52" t="s">
        <v>30</v>
      </c>
    </row>
    <row r="53" spans="1:11" ht="19.5" x14ac:dyDescent="0.35">
      <c r="B53" t="s">
        <v>85</v>
      </c>
      <c r="F53" s="10">
        <f>F52/3</f>
        <v>4157.8487999999998</v>
      </c>
      <c r="G53" t="s">
        <v>30</v>
      </c>
    </row>
    <row r="54" spans="1:11" x14ac:dyDescent="0.2">
      <c r="F54" s="9"/>
      <c r="K54" s="8"/>
    </row>
    <row r="55" spans="1:11" x14ac:dyDescent="0.2">
      <c r="B55" t="s">
        <v>86</v>
      </c>
      <c r="F55" s="10">
        <f>F14</f>
        <v>2260</v>
      </c>
      <c r="G55" t="s">
        <v>30</v>
      </c>
      <c r="H55" s="14" t="str">
        <f>IF(F55&lt;=F53,"OK","No Good")</f>
        <v>OK</v>
      </c>
      <c r="K55" s="17"/>
    </row>
    <row r="56" spans="1:11" ht="5.45" customHeight="1" x14ac:dyDescent="0.2"/>
    <row r="57" spans="1:11" ht="19.5" hidden="1" x14ac:dyDescent="0.35">
      <c r="B57" t="s">
        <v>87</v>
      </c>
      <c r="F57" s="10">
        <f>F51/$F$12</f>
        <v>4339.982133333333</v>
      </c>
      <c r="G57" t="s">
        <v>30</v>
      </c>
    </row>
    <row r="58" spans="1:11" hidden="1" x14ac:dyDescent="0.2">
      <c r="F58" s="9">
        <f>F52/$F$12</f>
        <v>4157.8487999999998</v>
      </c>
      <c r="G58" t="s">
        <v>88</v>
      </c>
    </row>
    <row r="59" spans="1:11" hidden="1" x14ac:dyDescent="0.2">
      <c r="F59" s="9">
        <f>F53/$F$12</f>
        <v>1385.9495999999999</v>
      </c>
      <c r="G59" t="s">
        <v>89</v>
      </c>
    </row>
    <row r="60" spans="1:11" hidden="1" x14ac:dyDescent="0.2"/>
    <row r="61" spans="1:11" ht="15.75" x14ac:dyDescent="0.25">
      <c r="A61" s="1" t="s">
        <v>90</v>
      </c>
    </row>
    <row r="62" spans="1:11" x14ac:dyDescent="0.2">
      <c r="A62" t="s">
        <v>91</v>
      </c>
    </row>
    <row r="63" spans="1:11" x14ac:dyDescent="0.2">
      <c r="A63" t="s">
        <v>92</v>
      </c>
    </row>
    <row r="64" spans="1:11" x14ac:dyDescent="0.2">
      <c r="A64" t="s">
        <v>93</v>
      </c>
    </row>
    <row r="65" spans="1:6" x14ac:dyDescent="0.2">
      <c r="A65" t="s">
        <v>94</v>
      </c>
      <c r="F65" s="39">
        <f>F52/F55</f>
        <v>5.5192683185840705</v>
      </c>
    </row>
  </sheetData>
  <pageMargins left="0.7" right="0.7" top="0.75" bottom="0.75" header="0.3" footer="0.3"/>
  <pageSetup scale="74" orientation="portrait" verticalDpi="1200" r:id="rId1"/>
  <headerFooter>
    <oddFooter>&amp;R&amp;P of &amp;N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0</xdr:col>
                <xdr:colOff>171450</xdr:colOff>
                <xdr:row>8</xdr:row>
                <xdr:rowOff>28575</xdr:rowOff>
              </from>
              <to>
                <xdr:col>4</xdr:col>
                <xdr:colOff>714375</xdr:colOff>
                <xdr:row>9</xdr:row>
                <xdr:rowOff>133350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C625-65E6-4849-A920-A7F409BF666E}">
  <sheetPr codeName="Sheet3"/>
  <dimension ref="L2"/>
  <sheetViews>
    <sheetView workbookViewId="0">
      <selection activeCell="L18" sqref="L18"/>
    </sheetView>
  </sheetViews>
  <sheetFormatPr defaultRowHeight="15" x14ac:dyDescent="0.2"/>
  <sheetData>
    <row r="2" spans="12:12" x14ac:dyDescent="0.2">
      <c r="L2" t="s">
        <v>95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rcadis Document" ma:contentTypeID="0x010100B461F6A611BD4B3683134864140FA546007684D9E0D90C2B4BAB1318A96C4A4C91" ma:contentTypeVersion="16" ma:contentTypeDescription=" " ma:contentTypeScope="" ma:versionID="f8ada3bc28e8bc6e926f8dc661995579">
  <xsd:schema xmlns:xsd="http://www.w3.org/2001/XMLSchema" xmlns:xs="http://www.w3.org/2001/XMLSchema" xmlns:p="http://schemas.microsoft.com/office/2006/metadata/properties" xmlns:ns2="4993f51f-0c64-4cd2-8952-8897c762580a" xmlns:ns3="63b2e0ee-fa2d-40d2-b877-7d0eb0e01645" targetNamespace="http://schemas.microsoft.com/office/2006/metadata/properties" ma:root="true" ma:fieldsID="50273b8807f9d40232c236708fab29f1" ns2:_="" ns3:_="">
    <xsd:import namespace="4993f51f-0c64-4cd2-8952-8897c762580a"/>
    <xsd:import namespace="63b2e0ee-fa2d-40d2-b877-7d0eb0e0164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m9ab48ff457747d2978187f0c89531d3" minOccurs="0"/>
                <xsd:element ref="ns2:TaxCatchAll" minOccurs="0"/>
                <xsd:element ref="ns2:TaxCatchAllLabel" minOccurs="0"/>
                <xsd:element ref="ns2:PH_ApprovalStatus" minOccurs="0"/>
                <xsd:element ref="ns2:PH_ApprovalComment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3f51f-0c64-4cd2-8952-8897c762580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ab48ff457747d2978187f0c89531d3" ma:index="11" nillable="true" ma:taxonomy="true" ma:internalName="m9ab48ff457747d2978187f0c89531d3" ma:taxonomyFieldName="PH_DocumentType" ma:displayName="Document type" ma:fieldId="{69ab48ff-4577-47d2-9781-87f0c89531d3}" ma:taxonomyMulti="true" ma:sspId="f35aeea7-e848-442f-a6c3-04e7a31ee3df" ma:termSetId="2be59371-a910-4df7-9b6b-b17e82a11a61" ma:anchorId="28994cf3-64a1-4126-b095-a2cd248fe19f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73dea311-ede3-4cc8-bf09-16b3b548fcf1}" ma:internalName="TaxCatchAll" ma:showField="CatchAllData" ma:web="4993f51f-0c64-4cd2-8952-8897c7625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73dea311-ede3-4cc8-bf09-16b3b548fcf1}" ma:internalName="TaxCatchAllLabel" ma:readOnly="true" ma:showField="CatchAllDataLabel" ma:web="4993f51f-0c64-4cd2-8952-8897c7625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H_ApprovalStatus" ma:index="15" nillable="true" ma:displayName="Approval Status" ma:default="Draft" ma:format="Dropdown" ma:hidden="true" ma:internalName="PH_ApprovalStatus" ma:readOnly="false">
      <xsd:simpleType>
        <xsd:restriction base="dms:Choice">
          <xsd:enumeration value="Draft"/>
          <xsd:enumeration value="Initializing"/>
          <xsd:enumeration value="Pending"/>
          <xsd:enumeration value="Pending Approval"/>
          <xsd:enumeration value="Pending Review"/>
          <xsd:enumeration value="Approved"/>
          <xsd:enumeration value="Rejected"/>
          <xsd:enumeration value="Review Approved"/>
          <xsd:enumeration value="Review Rejected"/>
          <xsd:enumeration value="Cancelled"/>
        </xsd:restriction>
      </xsd:simpleType>
    </xsd:element>
    <xsd:element name="PH_ApprovalComments" ma:index="17" nillable="true" ma:displayName="Approval Comments" ma:description="Approval Comments" ma:internalName="PH_ApprovalComments">
      <xsd:simpleType>
        <xsd:restriction base="dms:Note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2e0ee-fa2d-40d2-b877-7d0eb0e016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3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93f51f-0c64-4cd2-8952-8897c762580a" xsi:nil="true"/>
    <lcf76f155ced4ddcb4097134ff3c332f xmlns="63b2e0ee-fa2d-40d2-b877-7d0eb0e01645">
      <Terms xmlns="http://schemas.microsoft.com/office/infopath/2007/PartnerControls"/>
    </lcf76f155ced4ddcb4097134ff3c332f>
    <PH_ApprovalStatus xmlns="4993f51f-0c64-4cd2-8952-8897c762580a">Draft</PH_ApprovalStatus>
    <PH_ApprovalComments xmlns="4993f51f-0c64-4cd2-8952-8897c762580a" xsi:nil="true"/>
    <m9ab48ff457747d2978187f0c89531d3 xmlns="4993f51f-0c64-4cd2-8952-8897c762580a">
      <Terms xmlns="http://schemas.microsoft.com/office/infopath/2007/PartnerControls"/>
    </m9ab48ff457747d2978187f0c89531d3>
    <_dlc_DocId xmlns="4993f51f-0c64-4cd2-8952-8897c762580a">7V7NRN3XV2EU-1574366230-40503</_dlc_DocId>
    <_dlc_DocIdUrl xmlns="4993f51f-0c64-4cd2-8952-8897c762580a">
      <Url>https://arcadiso365.sharepoint.com/teams/project-30208174/_layouts/15/DocIdRedir.aspx?ID=7V7NRN3XV2EU-1574366230-40503</Url>
      <Description>7V7NRN3XV2EU-1574366230-40503</Description>
    </_dlc_DocIdUrl>
  </documentManagement>
</p:properties>
</file>

<file path=customXml/itemProps1.xml><?xml version="1.0" encoding="utf-8"?>
<ds:datastoreItem xmlns:ds="http://schemas.openxmlformats.org/officeDocument/2006/customXml" ds:itemID="{2F9296F6-6B05-424F-A65B-4F5E2FB30A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7851B8-4046-41A4-AB10-785EAD977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93f51f-0c64-4cd2-8952-8897c762580a"/>
    <ds:schemaRef ds:uri="63b2e0ee-fa2d-40d2-b877-7d0eb0e01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BE4D60-9707-4735-BA3E-73031EFBCB5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882E28B-8715-4977-9456-ADB4DE53485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3b2e0ee-fa2d-40d2-b877-7d0eb0e01645"/>
    <ds:schemaRef ds:uri="4993f51f-0c64-4cd2-8952-8897c762580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Inputs and Assumptions</vt:lpstr>
      <vt:lpstr>Bearing</vt:lpstr>
      <vt:lpstr>Correction Factors</vt:lpstr>
      <vt:lpstr>Bearing!Print_Area</vt:lpstr>
      <vt:lpstr>'Inputs and Assumptions'!Print_Area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nrtrimbl</dc:creator>
  <cp:keywords/>
  <dc:description/>
  <cp:lastModifiedBy>Miller, Nicholas</cp:lastModifiedBy>
  <cp:revision/>
  <cp:lastPrinted>2025-06-06T13:55:21Z</cp:lastPrinted>
  <dcterms:created xsi:type="dcterms:W3CDTF">2019-06-10T19:26:36Z</dcterms:created>
  <dcterms:modified xsi:type="dcterms:W3CDTF">2025-06-06T13:55:30Z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0x010100B461F6A611BD4B3683134864140FA546007684D9E0D90C2B4BAB1318A96C4A4C91</vt:lpwstr>
  </property>
  <property fmtid="{D5CDD505-2E9C-101B-9397-08002B2CF9AE}" pid="3" name="MediaServiceImageTags">
    <vt:lpwstr/>
  </property>
  <property fmtid="{D5CDD505-2E9C-101B-9397-08002B2CF9AE}" pid="4" name="_dlc_DocIdItemGuid">
    <vt:lpwstr>ad5a00cb-a389-42dd-8009-5cf645a166ca</vt:lpwstr>
  </property>
  <property fmtid="{D5CDD505-2E9C-101B-9397-08002B2CF9AE}" pid="5" name="PH_DocumentType">
    <vt:lpwstr/>
  </property>
</Properties>
</file>