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7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xr:revisionPtr revIDLastSave="36" documentId="11_4F27CD5C32653D4C7C9B4B43B543734F2E87D7A3" xr6:coauthVersionLast="47" xr6:coauthVersionMax="47" xr10:uidLastSave="{0F4DAFAD-10CC-2E40-853E-D74D4FD69FC1}"/>
  <bookViews>
    <workbookView xWindow="16080" yWindow="10905" windowWidth="20730" windowHeight="11160" activeTab="2" xr2:uid="{00000000-000D-0000-FFFF-FFFF00000000}"/>
  </bookViews>
  <sheets>
    <sheet name="Regras" sheetId="7" r:id="rId1"/>
    <sheet name="Palpites" sheetId="26" r:id="rId2"/>
    <sheet name="Copa2022" sheetId="4" r:id="rId3"/>
    <sheet name="Placar" sheetId="29" r:id="rId4"/>
    <sheet name="George" sheetId="9" r:id="rId5"/>
    <sheet name="Laurindo" sheetId="20" r:id="rId6"/>
    <sheet name="Priscilla" sheetId="15" r:id="rId7"/>
    <sheet name="Aurea" sheetId="16" r:id="rId8"/>
    <sheet name="Rubiane" sheetId="10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stats" sheetId="31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1" hidden="1">Palpites!$A$1:$H$137</definedName>
    <definedName name="_xlnm._FilterDatabase" localSheetId="3" hidden="1">Placar!$C$1:$C$41</definedName>
    <definedName name="_xlnm.Extract" localSheetId="3">Placar!#REF!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3" i="29" l="1"/>
  <c r="L73" i="29"/>
  <c r="M71" i="29"/>
  <c r="L71" i="29"/>
  <c r="M69" i="29"/>
  <c r="L69" i="29"/>
  <c r="M68" i="29"/>
  <c r="L68" i="29"/>
  <c r="L64" i="29"/>
  <c r="M64" i="29"/>
  <c r="L65" i="29"/>
  <c r="M65" i="29"/>
  <c r="L66" i="29"/>
  <c r="M66" i="29"/>
  <c r="M63" i="29"/>
  <c r="L63" i="29"/>
  <c r="L55" i="29"/>
  <c r="M55" i="29"/>
  <c r="L56" i="29"/>
  <c r="M56" i="29"/>
  <c r="L57" i="29"/>
  <c r="M57" i="29"/>
  <c r="L58" i="29"/>
  <c r="M58" i="29"/>
  <c r="L59" i="29"/>
  <c r="M59" i="29"/>
  <c r="L60" i="29"/>
  <c r="M60" i="29"/>
  <c r="L61" i="29"/>
  <c r="M61" i="29"/>
  <c r="I55" i="29"/>
  <c r="G55" i="29"/>
  <c r="E88" i="7"/>
  <c r="E86" i="7"/>
  <c r="E87" i="7"/>
  <c r="E82" i="7"/>
  <c r="E83" i="7"/>
  <c r="E84" i="7"/>
  <c r="E81" i="7"/>
  <c r="E75" i="7"/>
  <c r="E76" i="7"/>
  <c r="E77" i="7"/>
  <c r="E78" i="7"/>
  <c r="E79" i="7"/>
  <c r="E80" i="7"/>
  <c r="E85" i="7"/>
  <c r="F86" i="7"/>
  <c r="F85" i="7"/>
  <c r="F88" i="7"/>
  <c r="F87" i="7"/>
  <c r="F82" i="7"/>
  <c r="F83" i="7"/>
  <c r="F84" i="7"/>
  <c r="F81" i="7"/>
  <c r="N55" i="20"/>
  <c r="N56" i="20"/>
  <c r="N57" i="20"/>
  <c r="N58" i="20"/>
  <c r="N59" i="20"/>
  <c r="N60" i="20"/>
  <c r="N61" i="20"/>
  <c r="N55" i="15"/>
  <c r="N56" i="15"/>
  <c r="N57" i="15"/>
  <c r="N58" i="15"/>
  <c r="N59" i="15"/>
  <c r="N60" i="15"/>
  <c r="N61" i="15"/>
  <c r="N55" i="10"/>
  <c r="N56" i="10"/>
  <c r="N57" i="10"/>
  <c r="N58" i="10"/>
  <c r="N59" i="10"/>
  <c r="N60" i="10"/>
  <c r="N61" i="10"/>
  <c r="N55" i="16"/>
  <c r="N56" i="16"/>
  <c r="N57" i="16"/>
  <c r="N58" i="16"/>
  <c r="N59" i="16"/>
  <c r="N60" i="16"/>
  <c r="N61" i="16"/>
  <c r="N55" i="14"/>
  <c r="N56" i="14"/>
  <c r="N57" i="14"/>
  <c r="N58" i="14"/>
  <c r="N59" i="14"/>
  <c r="N60" i="14"/>
  <c r="N61" i="14"/>
  <c r="N55" i="23"/>
  <c r="N56" i="23"/>
  <c r="N57" i="23"/>
  <c r="N58" i="23"/>
  <c r="N59" i="23"/>
  <c r="N60" i="23"/>
  <c r="N61" i="23"/>
  <c r="N55" i="25"/>
  <c r="N56" i="25"/>
  <c r="N57" i="25"/>
  <c r="N58" i="25"/>
  <c r="N59" i="25"/>
  <c r="N60" i="25"/>
  <c r="N61" i="25"/>
  <c r="N55" i="24"/>
  <c r="N56" i="24"/>
  <c r="N57" i="24"/>
  <c r="N58" i="24"/>
  <c r="N59" i="24"/>
  <c r="N60" i="24"/>
  <c r="N61" i="24"/>
  <c r="N55" i="13"/>
  <c r="N56" i="13"/>
  <c r="N57" i="13"/>
  <c r="N58" i="13"/>
  <c r="N59" i="13"/>
  <c r="N60" i="13"/>
  <c r="N61" i="13"/>
  <c r="N55" i="21"/>
  <c r="N56" i="21"/>
  <c r="N57" i="21"/>
  <c r="N58" i="21"/>
  <c r="N59" i="21"/>
  <c r="N60" i="21"/>
  <c r="N61" i="21"/>
  <c r="N55" i="22"/>
  <c r="N56" i="22"/>
  <c r="N57" i="22"/>
  <c r="N58" i="22"/>
  <c r="N59" i="22"/>
  <c r="N60" i="22"/>
  <c r="N61" i="22"/>
  <c r="N55" i="11"/>
  <c r="N56" i="11"/>
  <c r="N57" i="11"/>
  <c r="N58" i="11"/>
  <c r="N59" i="11"/>
  <c r="N60" i="11"/>
  <c r="N61" i="11"/>
  <c r="N55" i="18"/>
  <c r="N56" i="18"/>
  <c r="N57" i="18"/>
  <c r="N58" i="18"/>
  <c r="N59" i="18"/>
  <c r="N60" i="18"/>
  <c r="N61" i="18"/>
  <c r="N55" i="17"/>
  <c r="N56" i="17"/>
  <c r="N57" i="17"/>
  <c r="N58" i="17"/>
  <c r="N59" i="17"/>
  <c r="N60" i="17"/>
  <c r="N61" i="17"/>
  <c r="N55" i="19"/>
  <c r="N56" i="19"/>
  <c r="N57" i="19"/>
  <c r="N58" i="19"/>
  <c r="N59" i="19"/>
  <c r="N60" i="19"/>
  <c r="N61" i="19"/>
  <c r="N55" i="12"/>
  <c r="N56" i="12"/>
  <c r="N57" i="12"/>
  <c r="N58" i="12"/>
  <c r="N59" i="12"/>
  <c r="N60" i="12"/>
  <c r="N61" i="12"/>
  <c r="N56" i="9"/>
  <c r="N57" i="9"/>
  <c r="N58" i="9"/>
  <c r="N59" i="9"/>
  <c r="N60" i="9"/>
  <c r="N61" i="9"/>
  <c r="N54" i="20"/>
  <c r="N54" i="15"/>
  <c r="N54" i="10"/>
  <c r="N54" i="16"/>
  <c r="N54" i="14"/>
  <c r="N54" i="23"/>
  <c r="N54" i="25"/>
  <c r="N54" i="24"/>
  <c r="N54" i="13"/>
  <c r="N54" i="21"/>
  <c r="N54" i="22"/>
  <c r="N54" i="11"/>
  <c r="N54" i="18"/>
  <c r="N54" i="17"/>
  <c r="N54" i="19"/>
  <c r="N54" i="12"/>
  <c r="N54" i="9"/>
  <c r="G56" i="29"/>
  <c r="N56" i="29"/>
  <c r="G57" i="29"/>
  <c r="N57" i="29"/>
  <c r="G58" i="29"/>
  <c r="N58" i="29"/>
  <c r="G59" i="29"/>
  <c r="N59" i="29"/>
  <c r="G60" i="29"/>
  <c r="N60" i="29"/>
  <c r="G61" i="29"/>
  <c r="N61" i="29"/>
  <c r="N62" i="29"/>
  <c r="G63" i="29"/>
  <c r="N63" i="29"/>
  <c r="G64" i="29"/>
  <c r="N64" i="29"/>
  <c r="G65" i="29"/>
  <c r="N65" i="29"/>
  <c r="G66" i="29"/>
  <c r="N66" i="29"/>
  <c r="G68" i="29"/>
  <c r="N68" i="29"/>
  <c r="G69" i="29"/>
  <c r="N69" i="29"/>
  <c r="G71" i="29"/>
  <c r="N71" i="29"/>
  <c r="G73" i="29"/>
  <c r="N73" i="29"/>
  <c r="E73" i="7"/>
  <c r="F74" i="7"/>
  <c r="F75" i="7"/>
  <c r="F76" i="7"/>
  <c r="F77" i="7"/>
  <c r="F78" i="7"/>
  <c r="F79" i="7"/>
  <c r="F80" i="7"/>
  <c r="Y55" i="29"/>
  <c r="N55" i="29"/>
  <c r="Y56" i="29"/>
  <c r="Y57" i="29"/>
  <c r="Y58" i="29"/>
  <c r="Y59" i="29"/>
  <c r="Y60" i="29"/>
  <c r="Y61" i="29"/>
  <c r="Y63" i="29"/>
  <c r="Y64" i="29"/>
  <c r="Y65" i="29"/>
  <c r="Y66" i="29"/>
  <c r="Y68" i="29"/>
  <c r="Y69" i="29"/>
  <c r="Y71" i="29"/>
  <c r="Y73" i="29"/>
  <c r="Y55" i="9"/>
  <c r="Y56" i="9"/>
  <c r="Y57" i="9"/>
  <c r="Y58" i="9"/>
  <c r="Y59" i="9"/>
  <c r="Y60" i="9"/>
  <c r="Y61" i="9"/>
  <c r="Y63" i="9"/>
  <c r="Y64" i="9"/>
  <c r="Y65" i="9"/>
  <c r="Y66" i="9"/>
  <c r="Y68" i="9"/>
  <c r="Y69" i="9"/>
  <c r="Y71" i="9"/>
  <c r="Y73" i="9"/>
  <c r="M54" i="29"/>
  <c r="L54" i="29"/>
  <c r="N55" i="9"/>
  <c r="I61" i="20"/>
  <c r="I60" i="20"/>
  <c r="I59" i="20"/>
  <c r="I58" i="20"/>
  <c r="I57" i="20"/>
  <c r="I56" i="20"/>
  <c r="I61" i="15"/>
  <c r="I60" i="15"/>
  <c r="I59" i="15"/>
  <c r="I58" i="15"/>
  <c r="I57" i="15"/>
  <c r="I56" i="15"/>
  <c r="I61" i="10"/>
  <c r="I60" i="10"/>
  <c r="I59" i="10"/>
  <c r="I58" i="10"/>
  <c r="I57" i="10"/>
  <c r="I56" i="10"/>
  <c r="I61" i="16"/>
  <c r="I60" i="16"/>
  <c r="I59" i="16"/>
  <c r="I58" i="16"/>
  <c r="I57" i="16"/>
  <c r="I56" i="16"/>
  <c r="I61" i="14"/>
  <c r="I60" i="14"/>
  <c r="I59" i="14"/>
  <c r="I58" i="14"/>
  <c r="I57" i="14"/>
  <c r="I56" i="14"/>
  <c r="I61" i="23"/>
  <c r="I60" i="23"/>
  <c r="I59" i="23"/>
  <c r="I58" i="23"/>
  <c r="I57" i="23"/>
  <c r="I56" i="23"/>
  <c r="I61" i="25"/>
  <c r="I60" i="25"/>
  <c r="I59" i="25"/>
  <c r="I58" i="25"/>
  <c r="I57" i="25"/>
  <c r="I56" i="25"/>
  <c r="I61" i="24"/>
  <c r="I60" i="24"/>
  <c r="I59" i="24"/>
  <c r="I58" i="24"/>
  <c r="I57" i="24"/>
  <c r="I56" i="24"/>
  <c r="I61" i="13"/>
  <c r="I60" i="13"/>
  <c r="I59" i="13"/>
  <c r="I58" i="13"/>
  <c r="I57" i="13"/>
  <c r="I56" i="13"/>
  <c r="I61" i="21"/>
  <c r="I60" i="21"/>
  <c r="I59" i="21"/>
  <c r="I58" i="21"/>
  <c r="I57" i="21"/>
  <c r="I56" i="21"/>
  <c r="I61" i="22"/>
  <c r="I60" i="22"/>
  <c r="I59" i="22"/>
  <c r="I58" i="22"/>
  <c r="I57" i="22"/>
  <c r="I56" i="22"/>
  <c r="I61" i="11"/>
  <c r="I60" i="11"/>
  <c r="I59" i="11"/>
  <c r="I58" i="11"/>
  <c r="I57" i="11"/>
  <c r="I56" i="11"/>
  <c r="I61" i="18"/>
  <c r="I60" i="18"/>
  <c r="I59" i="18"/>
  <c r="I58" i="18"/>
  <c r="I57" i="18"/>
  <c r="I56" i="18"/>
  <c r="I61" i="17"/>
  <c r="I60" i="17"/>
  <c r="I59" i="17"/>
  <c r="I58" i="17"/>
  <c r="I57" i="17"/>
  <c r="I56" i="17"/>
  <c r="I61" i="19"/>
  <c r="I60" i="19"/>
  <c r="I59" i="19"/>
  <c r="I58" i="19"/>
  <c r="I57" i="19"/>
  <c r="I56" i="19"/>
  <c r="I61" i="12"/>
  <c r="I60" i="12"/>
  <c r="I59" i="12"/>
  <c r="I58" i="12"/>
  <c r="I57" i="12"/>
  <c r="I56" i="12"/>
  <c r="I61" i="9"/>
  <c r="I60" i="9"/>
  <c r="I59" i="9"/>
  <c r="I58" i="9"/>
  <c r="I57" i="9"/>
  <c r="I56" i="9"/>
  <c r="G28" i="29"/>
  <c r="I28" i="29"/>
  <c r="N28" i="29"/>
  <c r="I73" i="29"/>
  <c r="I71" i="29"/>
  <c r="I69" i="29"/>
  <c r="I68" i="29"/>
  <c r="I63" i="29"/>
  <c r="I65" i="29"/>
  <c r="I64" i="29"/>
  <c r="I66" i="29"/>
  <c r="I56" i="29"/>
  <c r="I57" i="29"/>
  <c r="I58" i="29"/>
  <c r="I59" i="29"/>
  <c r="I60" i="29"/>
  <c r="I61" i="29"/>
  <c r="I54" i="29"/>
  <c r="G54" i="29"/>
  <c r="N54" i="29"/>
  <c r="I50" i="29"/>
  <c r="H50" i="29"/>
  <c r="G50" i="29"/>
  <c r="I49" i="29"/>
  <c r="H49" i="29"/>
  <c r="G49" i="29"/>
  <c r="N49" i="29"/>
  <c r="I48" i="29"/>
  <c r="H48" i="29"/>
  <c r="G48" i="29"/>
  <c r="I47" i="29"/>
  <c r="G47" i="29"/>
  <c r="N47" i="29"/>
  <c r="H47" i="29"/>
  <c r="I46" i="29"/>
  <c r="H46" i="29"/>
  <c r="G46" i="29"/>
  <c r="Y46" i="29"/>
  <c r="I45" i="29"/>
  <c r="H45" i="29"/>
  <c r="G45" i="29"/>
  <c r="Y45" i="29"/>
  <c r="N45" i="29"/>
  <c r="I44" i="29"/>
  <c r="H44" i="29"/>
  <c r="G44" i="29"/>
  <c r="Y44" i="29"/>
  <c r="I43" i="29"/>
  <c r="H43" i="29"/>
  <c r="G43" i="29"/>
  <c r="I42" i="29"/>
  <c r="G42" i="29"/>
  <c r="N42" i="29"/>
  <c r="Y42" i="29"/>
  <c r="H42" i="29"/>
  <c r="I41" i="29"/>
  <c r="H41" i="29"/>
  <c r="G41" i="29"/>
  <c r="Y41" i="29"/>
  <c r="I40" i="29"/>
  <c r="H40" i="29"/>
  <c r="G40" i="29"/>
  <c r="N40" i="29"/>
  <c r="I39" i="29"/>
  <c r="H39" i="29"/>
  <c r="G39" i="29"/>
  <c r="Y39" i="29"/>
  <c r="I38" i="29"/>
  <c r="H38" i="29"/>
  <c r="G38" i="29"/>
  <c r="I37" i="29"/>
  <c r="Y37" i="29"/>
  <c r="H37" i="29"/>
  <c r="G37" i="29"/>
  <c r="I36" i="29"/>
  <c r="G36" i="29"/>
  <c r="N36" i="29"/>
  <c r="H36" i="29"/>
  <c r="Y36" i="29"/>
  <c r="I35" i="29"/>
  <c r="G35" i="29"/>
  <c r="Y35" i="29"/>
  <c r="H35" i="29"/>
  <c r="N35" i="29"/>
  <c r="I34" i="29"/>
  <c r="G34" i="29"/>
  <c r="Y34" i="29"/>
  <c r="H34" i="29"/>
  <c r="I33" i="29"/>
  <c r="G33" i="29"/>
  <c r="N33" i="29"/>
  <c r="H33" i="29"/>
  <c r="I32" i="29"/>
  <c r="Y32" i="29"/>
  <c r="H32" i="29"/>
  <c r="G32" i="29"/>
  <c r="I31" i="29"/>
  <c r="Y31" i="29"/>
  <c r="H31" i="29"/>
  <c r="G31" i="29"/>
  <c r="N31" i="29"/>
  <c r="I30" i="29"/>
  <c r="G30" i="29"/>
  <c r="Y30" i="29"/>
  <c r="H30" i="29"/>
  <c r="I29" i="29"/>
  <c r="H29" i="29"/>
  <c r="G29" i="29"/>
  <c r="Y29" i="29"/>
  <c r="H28" i="29"/>
  <c r="G27" i="29"/>
  <c r="I27" i="29"/>
  <c r="Y27" i="29"/>
  <c r="H27" i="29"/>
  <c r="I26" i="29"/>
  <c r="H26" i="29"/>
  <c r="G26" i="29"/>
  <c r="I25" i="29"/>
  <c r="G25" i="29"/>
  <c r="Y25" i="29"/>
  <c r="H25" i="29"/>
  <c r="I24" i="29"/>
  <c r="H24" i="29"/>
  <c r="G24" i="29"/>
  <c r="N24" i="29"/>
  <c r="I23" i="29"/>
  <c r="H23" i="29"/>
  <c r="G23" i="29"/>
  <c r="N23" i="29"/>
  <c r="I22" i="29"/>
  <c r="G22" i="29"/>
  <c r="N22" i="29"/>
  <c r="H22" i="29"/>
  <c r="I21" i="29"/>
  <c r="G21" i="29"/>
  <c r="N21" i="29"/>
  <c r="H21" i="29"/>
  <c r="I20" i="29"/>
  <c r="H20" i="29"/>
  <c r="G20" i="29"/>
  <c r="I19" i="29"/>
  <c r="H19" i="29"/>
  <c r="G19" i="29"/>
  <c r="I18" i="29"/>
  <c r="H18" i="29"/>
  <c r="G18" i="29"/>
  <c r="Y18" i="29"/>
  <c r="I17" i="29"/>
  <c r="H17" i="29"/>
  <c r="G17" i="29"/>
  <c r="N17" i="29"/>
  <c r="I16" i="29"/>
  <c r="H16" i="29"/>
  <c r="G16" i="29"/>
  <c r="N16" i="29"/>
  <c r="I15" i="29"/>
  <c r="H15" i="29"/>
  <c r="G15" i="29"/>
  <c r="Y15" i="29"/>
  <c r="I14" i="29"/>
  <c r="H14" i="29"/>
  <c r="G14" i="29"/>
  <c r="I13" i="29"/>
  <c r="G13" i="29"/>
  <c r="Y13" i="29"/>
  <c r="H13" i="29"/>
  <c r="N13" i="29"/>
  <c r="I12" i="29"/>
  <c r="H12" i="29"/>
  <c r="G12" i="29"/>
  <c r="Y12" i="29"/>
  <c r="I11" i="29"/>
  <c r="H11" i="29"/>
  <c r="G11" i="29"/>
  <c r="Y11" i="29"/>
  <c r="I10" i="29"/>
  <c r="G10" i="29"/>
  <c r="N10" i="29"/>
  <c r="H10" i="29"/>
  <c r="I9" i="29"/>
  <c r="G9" i="29"/>
  <c r="Y9" i="29"/>
  <c r="H9" i="29"/>
  <c r="I8" i="29"/>
  <c r="H8" i="29"/>
  <c r="G8" i="29"/>
  <c r="I7" i="29"/>
  <c r="H7" i="29"/>
  <c r="G7" i="29"/>
  <c r="N7" i="29"/>
  <c r="I6" i="29"/>
  <c r="H6" i="29"/>
  <c r="G6" i="29"/>
  <c r="Y6" i="29"/>
  <c r="N6" i="29"/>
  <c r="I5" i="29"/>
  <c r="G5" i="29"/>
  <c r="N5" i="29"/>
  <c r="H5" i="29"/>
  <c r="I4" i="29"/>
  <c r="G4" i="29"/>
  <c r="N4" i="29"/>
  <c r="H4" i="29"/>
  <c r="I3" i="29"/>
  <c r="G3" i="29"/>
  <c r="Y3" i="29"/>
  <c r="H3" i="29"/>
  <c r="N39" i="29"/>
  <c r="Y22" i="29"/>
  <c r="N38" i="29"/>
  <c r="N43" i="29"/>
  <c r="N46" i="29"/>
  <c r="N12" i="29"/>
  <c r="N15" i="29"/>
  <c r="N32" i="29"/>
  <c r="N37" i="29"/>
  <c r="N29" i="29"/>
  <c r="N11" i="29"/>
  <c r="N50" i="29"/>
  <c r="N48" i="29"/>
  <c r="Y50" i="29"/>
  <c r="Y49" i="29"/>
  <c r="Y47" i="29"/>
  <c r="N44" i="29"/>
  <c r="Y43" i="29"/>
  <c r="N41" i="29"/>
  <c r="Y38" i="29"/>
  <c r="N14" i="29"/>
  <c r="Y10" i="29"/>
  <c r="Y17" i="29"/>
  <c r="Y24" i="29"/>
  <c r="Y16" i="29"/>
  <c r="Y23" i="29"/>
  <c r="Y40" i="29"/>
  <c r="N40" i="20"/>
  <c r="N18" i="11"/>
  <c r="N40" i="18"/>
  <c r="F46" i="7"/>
  <c r="N40" i="17"/>
  <c r="N18" i="15"/>
  <c r="N40" i="15"/>
  <c r="Y17" i="12"/>
  <c r="F39" i="7"/>
  <c r="N17" i="12"/>
  <c r="Y18" i="12"/>
  <c r="F40" i="7"/>
  <c r="N18" i="12"/>
  <c r="Y22" i="12"/>
  <c r="F44" i="7"/>
  <c r="N22" i="12"/>
  <c r="Y23" i="12"/>
  <c r="F45" i="7"/>
  <c r="N23" i="12"/>
  <c r="Y29" i="12"/>
  <c r="F51" i="7"/>
  <c r="N29" i="12"/>
  <c r="N33" i="12"/>
  <c r="N40" i="12"/>
  <c r="Y46" i="12"/>
  <c r="F68" i="7"/>
  <c r="N46" i="12"/>
  <c r="N18" i="19"/>
  <c r="Y4" i="25"/>
  <c r="F26" i="7"/>
  <c r="N4" i="25"/>
  <c r="Y4" i="15"/>
  <c r="N4" i="15"/>
  <c r="Y5" i="25"/>
  <c r="F27" i="7"/>
  <c r="N5" i="25"/>
  <c r="Y7" i="25"/>
  <c r="F29" i="7"/>
  <c r="Y8" i="25"/>
  <c r="F30" i="7"/>
  <c r="N8" i="25"/>
  <c r="N18" i="25"/>
  <c r="Y3" i="12"/>
  <c r="F25" i="7"/>
  <c r="N3" i="12"/>
  <c r="Y3" i="25"/>
  <c r="Y4" i="24"/>
  <c r="N4" i="24"/>
  <c r="Y5" i="24"/>
  <c r="N5" i="24"/>
  <c r="Y6" i="24"/>
  <c r="F28" i="7"/>
  <c r="Y6" i="14"/>
  <c r="N6" i="14"/>
  <c r="Y7" i="24"/>
  <c r="N7" i="24"/>
  <c r="Y8" i="24"/>
  <c r="Y46" i="24"/>
  <c r="N46" i="24"/>
  <c r="Y4" i="23"/>
  <c r="Y5" i="23"/>
  <c r="Y8" i="23"/>
  <c r="N17" i="23"/>
  <c r="Y3" i="24"/>
  <c r="Y3" i="23"/>
  <c r="Y4" i="14"/>
  <c r="Y5" i="14"/>
  <c r="Y8" i="14"/>
  <c r="N17" i="14"/>
  <c r="Y46" i="14"/>
  <c r="Y3" i="14"/>
  <c r="Y4" i="13"/>
  <c r="Y6" i="13"/>
  <c r="N6" i="13"/>
  <c r="Y7" i="13"/>
  <c r="N7" i="13"/>
  <c r="N18" i="13"/>
  <c r="N40" i="13"/>
  <c r="Y46" i="13"/>
  <c r="N46" i="13"/>
  <c r="Y3" i="13"/>
  <c r="Y4" i="9"/>
  <c r="N4" i="9"/>
  <c r="Y5" i="9"/>
  <c r="N5" i="9"/>
  <c r="Y8" i="9"/>
  <c r="Y3" i="9"/>
  <c r="Y4" i="16"/>
  <c r="Y5" i="16"/>
  <c r="Y6" i="16"/>
  <c r="Y7" i="16"/>
  <c r="Y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12" i="2"/>
  <c r="P13" i="2"/>
  <c r="P14" i="2"/>
  <c r="P15" i="2"/>
  <c r="P16" i="2"/>
  <c r="P17" i="2"/>
  <c r="P18" i="2"/>
  <c r="P19" i="2"/>
  <c r="R15" i="2"/>
  <c r="AJ15" i="2"/>
  <c r="R14" i="2"/>
  <c r="R16" i="2"/>
  <c r="P20" i="2"/>
  <c r="P21" i="2"/>
  <c r="P22" i="2"/>
  <c r="P23" i="2"/>
  <c r="P24" i="2"/>
  <c r="P25" i="2"/>
  <c r="R20" i="2"/>
  <c r="AJ18" i="2"/>
  <c r="P26" i="2"/>
  <c r="P27" i="2"/>
  <c r="P28" i="2"/>
  <c r="P29" i="2"/>
  <c r="P30" i="2"/>
  <c r="R27" i="2"/>
  <c r="R29" i="2"/>
  <c r="AJ23" i="2"/>
  <c r="P31" i="2"/>
  <c r="P32" i="2"/>
  <c r="P33" i="2"/>
  <c r="P34" i="2"/>
  <c r="P35" i="2"/>
  <c r="P36" i="2"/>
  <c r="R33" i="2"/>
  <c r="R34" i="2"/>
  <c r="AJ25" i="2"/>
  <c r="P37" i="2"/>
  <c r="P38" i="2"/>
  <c r="P39" i="2"/>
  <c r="R39" i="2"/>
  <c r="V39" i="2"/>
  <c r="Y39" i="2"/>
  <c r="P40" i="2"/>
  <c r="P42" i="2"/>
  <c r="R38" i="2"/>
  <c r="AI30" i="2"/>
  <c r="P41" i="2"/>
  <c r="R41" i="2"/>
  <c r="V41" i="2"/>
  <c r="W41" i="2"/>
  <c r="P43" i="2"/>
  <c r="R43" i="2"/>
  <c r="V43" i="2"/>
  <c r="P44" i="2"/>
  <c r="R47" i="2"/>
  <c r="R49" i="2"/>
  <c r="AI36" i="2"/>
  <c r="P45" i="2"/>
  <c r="P46" i="2"/>
  <c r="P47" i="2"/>
  <c r="R48" i="2"/>
  <c r="P48" i="2"/>
  <c r="P49" i="2"/>
  <c r="AJ9" i="2"/>
  <c r="R46" i="2"/>
  <c r="R3" i="2"/>
  <c r="AJ8" i="2"/>
  <c r="R4" i="2"/>
  <c r="AJ5" i="2"/>
  <c r="R5" i="2"/>
  <c r="AI6" i="2"/>
  <c r="R6" i="2"/>
  <c r="AJ7" i="2"/>
  <c r="R7" i="2"/>
  <c r="V7" i="2"/>
  <c r="R8" i="2"/>
  <c r="R10" i="2"/>
  <c r="R11" i="2"/>
  <c r="R12" i="2"/>
  <c r="V12" i="2"/>
  <c r="W12" i="2"/>
  <c r="R13" i="2"/>
  <c r="AI9" i="2"/>
  <c r="R17" i="2"/>
  <c r="R18" i="2"/>
  <c r="AJ16" i="2"/>
  <c r="R19" i="2"/>
  <c r="R21" i="2"/>
  <c r="R22" i="2"/>
  <c r="V22" i="2"/>
  <c r="R23" i="2"/>
  <c r="R24" i="2"/>
  <c r="AJ20" i="2"/>
  <c r="R25" i="2"/>
  <c r="R26" i="2"/>
  <c r="R28" i="2"/>
  <c r="R30" i="2"/>
  <c r="R31" i="2"/>
  <c r="AI21" i="2"/>
  <c r="R32" i="2"/>
  <c r="V32" i="2"/>
  <c r="X32" i="2"/>
  <c r="R35" i="2"/>
  <c r="R36" i="2"/>
  <c r="R37" i="2"/>
  <c r="V37" i="2"/>
  <c r="R40" i="2"/>
  <c r="R42" i="2"/>
  <c r="V42" i="2"/>
  <c r="Y42" i="2"/>
  <c r="R44" i="2"/>
  <c r="R45" i="2"/>
  <c r="V10" i="2"/>
  <c r="W10" i="2"/>
  <c r="W22" i="2"/>
  <c r="AI18" i="2"/>
  <c r="V26" i="2"/>
  <c r="X26" i="2"/>
  <c r="F72" i="7"/>
  <c r="F62" i="7"/>
  <c r="F63" i="7"/>
  <c r="F64" i="7"/>
  <c r="F65" i="7"/>
  <c r="F66" i="7"/>
  <c r="F67" i="7"/>
  <c r="Y45" i="25"/>
  <c r="N45" i="25"/>
  <c r="Y46" i="11"/>
  <c r="N46" i="11"/>
  <c r="F69" i="7"/>
  <c r="F70" i="7"/>
  <c r="F71" i="7"/>
  <c r="F31" i="7"/>
  <c r="F32" i="7"/>
  <c r="Y10" i="24"/>
  <c r="N10" i="24"/>
  <c r="F33" i="7"/>
  <c r="Y11" i="21"/>
  <c r="N11" i="21"/>
  <c r="F34" i="7"/>
  <c r="F35" i="7"/>
  <c r="Y13" i="24"/>
  <c r="N13" i="24"/>
  <c r="F36" i="7"/>
  <c r="Y14" i="21"/>
  <c r="N14" i="21"/>
  <c r="F37" i="7"/>
  <c r="Y15" i="13"/>
  <c r="N15" i="13"/>
  <c r="F38" i="7"/>
  <c r="N17" i="19"/>
  <c r="F41" i="7"/>
  <c r="F42" i="7"/>
  <c r="F43" i="7"/>
  <c r="Y21" i="17"/>
  <c r="N21" i="17"/>
  <c r="F47" i="7"/>
  <c r="Y25" i="25"/>
  <c r="N25" i="25"/>
  <c r="F48" i="7"/>
  <c r="Y26" i="22"/>
  <c r="N26" i="22"/>
  <c r="F49" i="7"/>
  <c r="Y27" i="22"/>
  <c r="N27" i="22"/>
  <c r="F50" i="7"/>
  <c r="Y28" i="16"/>
  <c r="N28" i="16"/>
  <c r="F52" i="7"/>
  <c r="Y30" i="19"/>
  <c r="N30" i="19"/>
  <c r="F53" i="7"/>
  <c r="F54" i="7"/>
  <c r="F55" i="7"/>
  <c r="Y33" i="23"/>
  <c r="N33" i="23"/>
  <c r="N33" i="21"/>
  <c r="F56" i="7"/>
  <c r="F57" i="7"/>
  <c r="Y35" i="23"/>
  <c r="N35" i="23"/>
  <c r="F58" i="7"/>
  <c r="F59" i="7"/>
  <c r="F60" i="7"/>
  <c r="F61" i="7"/>
  <c r="Y39" i="11"/>
  <c r="N39" i="11"/>
  <c r="N39" i="14"/>
  <c r="Y50" i="25"/>
  <c r="Y49" i="25"/>
  <c r="Y48" i="25"/>
  <c r="Y47" i="25"/>
  <c r="Y46" i="25"/>
  <c r="Y44" i="25"/>
  <c r="N44" i="25"/>
  <c r="Y43" i="25"/>
  <c r="Y42" i="25"/>
  <c r="N42" i="25"/>
  <c r="Y41" i="25"/>
  <c r="Y40" i="25"/>
  <c r="N40" i="25"/>
  <c r="Y39" i="25"/>
  <c r="Y38" i="25"/>
  <c r="Y37" i="25"/>
  <c r="Y36" i="25"/>
  <c r="Y35" i="25"/>
  <c r="Y34" i="25"/>
  <c r="Y33" i="25"/>
  <c r="N33" i="25"/>
  <c r="Y32" i="25"/>
  <c r="Y31" i="25"/>
  <c r="Y30" i="25"/>
  <c r="Y29" i="25"/>
  <c r="N29" i="25"/>
  <c r="Y28" i="25"/>
  <c r="Y27" i="25"/>
  <c r="Y26" i="25"/>
  <c r="Y24" i="25"/>
  <c r="N24" i="25"/>
  <c r="Y23" i="25"/>
  <c r="N23" i="25"/>
  <c r="Y22" i="25"/>
  <c r="Y21" i="25"/>
  <c r="N21" i="25"/>
  <c r="Y20" i="25"/>
  <c r="N20" i="25"/>
  <c r="Y19" i="25"/>
  <c r="Y18" i="25"/>
  <c r="Y17" i="25"/>
  <c r="N17" i="25"/>
  <c r="Y16" i="25"/>
  <c r="Y15" i="25"/>
  <c r="Y14" i="25"/>
  <c r="Y13" i="25"/>
  <c r="N13" i="25"/>
  <c r="Y12" i="25"/>
  <c r="Y11" i="25"/>
  <c r="N11" i="25"/>
  <c r="Y10" i="25"/>
  <c r="Y9" i="25"/>
  <c r="Y6" i="25"/>
  <c r="Y50" i="24"/>
  <c r="Y49" i="24"/>
  <c r="Y48" i="24"/>
  <c r="N48" i="24"/>
  <c r="Y47" i="24"/>
  <c r="Y45" i="24"/>
  <c r="Y44" i="24"/>
  <c r="N44" i="24"/>
  <c r="Y43" i="24"/>
  <c r="Y42" i="24"/>
  <c r="N42" i="24"/>
  <c r="Y41" i="24"/>
  <c r="Y40" i="24"/>
  <c r="N40" i="24"/>
  <c r="Y39" i="24"/>
  <c r="Y38" i="24"/>
  <c r="Y37" i="24"/>
  <c r="Y36" i="24"/>
  <c r="Y35" i="24"/>
  <c r="Y34" i="24"/>
  <c r="Y33" i="24"/>
  <c r="Y32" i="24"/>
  <c r="N32" i="24"/>
  <c r="Y31" i="24"/>
  <c r="N31" i="24"/>
  <c r="Y30" i="24"/>
  <c r="Y29" i="24"/>
  <c r="N29" i="24"/>
  <c r="Y28" i="24"/>
  <c r="Y27" i="24"/>
  <c r="Y26" i="24"/>
  <c r="Y25" i="24"/>
  <c r="Y24" i="24"/>
  <c r="Y23" i="24"/>
  <c r="N23" i="24"/>
  <c r="Y22" i="24"/>
  <c r="Y21" i="24"/>
  <c r="N21" i="24"/>
  <c r="Y20" i="24"/>
  <c r="Y19" i="24"/>
  <c r="Y18" i="24"/>
  <c r="N18" i="24"/>
  <c r="Y17" i="24"/>
  <c r="N17" i="24"/>
  <c r="Y16" i="24"/>
  <c r="Y15" i="24"/>
  <c r="N15" i="24"/>
  <c r="Y14" i="24"/>
  <c r="N14" i="24"/>
  <c r="Y12" i="24"/>
  <c r="Y11" i="24"/>
  <c r="N11" i="24"/>
  <c r="Y9" i="24"/>
  <c r="Y50" i="23"/>
  <c r="Y49" i="23"/>
  <c r="Y48" i="23"/>
  <c r="N48" i="23"/>
  <c r="Y47" i="23"/>
  <c r="N47" i="23"/>
  <c r="Y46" i="23"/>
  <c r="N46" i="23"/>
  <c r="Y45" i="23"/>
  <c r="N45" i="23"/>
  <c r="Y44" i="23"/>
  <c r="N44" i="23"/>
  <c r="Y43" i="23"/>
  <c r="Y42" i="23"/>
  <c r="N42" i="23"/>
  <c r="Y41" i="23"/>
  <c r="Y40" i="23"/>
  <c r="N40" i="23"/>
  <c r="Y39" i="23"/>
  <c r="Y38" i="23"/>
  <c r="Y37" i="23"/>
  <c r="Y36" i="23"/>
  <c r="Y34" i="23"/>
  <c r="Y32" i="23"/>
  <c r="N32" i="23"/>
  <c r="Y31" i="23"/>
  <c r="N31" i="23"/>
  <c r="Y30" i="23"/>
  <c r="Y29" i="23"/>
  <c r="N29" i="23"/>
  <c r="Y28" i="23"/>
  <c r="Y27" i="23"/>
  <c r="Y26" i="23"/>
  <c r="Y25" i="23"/>
  <c r="Y24" i="23"/>
  <c r="N24" i="23"/>
  <c r="Y23" i="23"/>
  <c r="N23" i="23"/>
  <c r="Y22" i="23"/>
  <c r="N22" i="23"/>
  <c r="Y21" i="23"/>
  <c r="Y20" i="23"/>
  <c r="N20" i="23"/>
  <c r="Y19" i="23"/>
  <c r="Y18" i="23"/>
  <c r="Y17" i="23"/>
  <c r="Y16" i="23"/>
  <c r="Y15" i="23"/>
  <c r="N15" i="23"/>
  <c r="Y14" i="23"/>
  <c r="Y13" i="23"/>
  <c r="Y12" i="23"/>
  <c r="N12" i="23"/>
  <c r="Y11" i="23"/>
  <c r="N11" i="23"/>
  <c r="Y10" i="23"/>
  <c r="Y9" i="23"/>
  <c r="Y7" i="23"/>
  <c r="N7" i="23"/>
  <c r="Y6" i="23"/>
  <c r="Y50" i="22"/>
  <c r="Y49" i="22"/>
  <c r="Y48" i="22"/>
  <c r="N48" i="22"/>
  <c r="Y47" i="22"/>
  <c r="N47" i="22"/>
  <c r="Y46" i="22"/>
  <c r="N46" i="22"/>
  <c r="Y45" i="22"/>
  <c r="Y44" i="22"/>
  <c r="N44" i="22"/>
  <c r="Y43" i="22"/>
  <c r="Y42" i="22"/>
  <c r="N42" i="22"/>
  <c r="Y41" i="22"/>
  <c r="Y40" i="22"/>
  <c r="N40" i="22"/>
  <c r="Y39" i="22"/>
  <c r="N39" i="22"/>
  <c r="Y38" i="22"/>
  <c r="Y37" i="22"/>
  <c r="Y36" i="22"/>
  <c r="N36" i="22"/>
  <c r="Y35" i="22"/>
  <c r="Y34" i="22"/>
  <c r="Y33" i="22"/>
  <c r="N33" i="22"/>
  <c r="Y32" i="22"/>
  <c r="Y31" i="22"/>
  <c r="Y30" i="22"/>
  <c r="N30" i="22"/>
  <c r="Y29" i="22"/>
  <c r="N29" i="22"/>
  <c r="Y28" i="22"/>
  <c r="Y25" i="22"/>
  <c r="Y24" i="22"/>
  <c r="N24" i="22"/>
  <c r="Y23" i="22"/>
  <c r="N23" i="22"/>
  <c r="Y22" i="22"/>
  <c r="Y21" i="22"/>
  <c r="N21" i="22"/>
  <c r="Y20" i="22"/>
  <c r="N20" i="22"/>
  <c r="Y19" i="22"/>
  <c r="Y18" i="22"/>
  <c r="Y17" i="22"/>
  <c r="N17" i="22"/>
  <c r="Y16" i="22"/>
  <c r="Y15" i="22"/>
  <c r="Y14" i="22"/>
  <c r="Y13" i="22"/>
  <c r="N13" i="22"/>
  <c r="Y12" i="22"/>
  <c r="N12" i="22"/>
  <c r="Y11" i="22"/>
  <c r="N11" i="22"/>
  <c r="Y10" i="22"/>
  <c r="N10" i="22"/>
  <c r="Y9" i="22"/>
  <c r="Y8" i="22"/>
  <c r="Y7" i="22"/>
  <c r="Y6" i="22"/>
  <c r="Y5" i="22"/>
  <c r="Y4" i="22"/>
  <c r="Y3" i="22"/>
  <c r="Y50" i="21"/>
  <c r="N50" i="21"/>
  <c r="Y49" i="21"/>
  <c r="Y48" i="21"/>
  <c r="Y47" i="21"/>
  <c r="N47" i="21"/>
  <c r="Y46" i="21"/>
  <c r="N46" i="21"/>
  <c r="Y45" i="21"/>
  <c r="N45" i="21"/>
  <c r="Y44" i="21"/>
  <c r="N44" i="21"/>
  <c r="Y43" i="21"/>
  <c r="N43" i="21"/>
  <c r="Y42" i="21"/>
  <c r="N42" i="21"/>
  <c r="Y41" i="21"/>
  <c r="Y40" i="21"/>
  <c r="N40" i="21"/>
  <c r="Y39" i="21"/>
  <c r="N39" i="21"/>
  <c r="Y38" i="21"/>
  <c r="Y37" i="21"/>
  <c r="N37" i="21"/>
  <c r="Y36" i="21"/>
  <c r="N36" i="21"/>
  <c r="Y35" i="21"/>
  <c r="Y34" i="21"/>
  <c r="Y33" i="21"/>
  <c r="Y32" i="21"/>
  <c r="N32" i="21"/>
  <c r="Y31" i="21"/>
  <c r="N31" i="21"/>
  <c r="Y30" i="21"/>
  <c r="Y29" i="21"/>
  <c r="N29" i="21"/>
  <c r="Y28" i="21"/>
  <c r="Y27" i="21"/>
  <c r="Y26" i="21"/>
  <c r="Y25" i="21"/>
  <c r="Y24" i="21"/>
  <c r="Y23" i="21"/>
  <c r="N23" i="21"/>
  <c r="Y22" i="21"/>
  <c r="Y21" i="21"/>
  <c r="N21" i="21"/>
  <c r="Y20" i="21"/>
  <c r="N20" i="21"/>
  <c r="Y19" i="21"/>
  <c r="Y18" i="21"/>
  <c r="Y17" i="21"/>
  <c r="Y16" i="21"/>
  <c r="Y15" i="21"/>
  <c r="Y13" i="21"/>
  <c r="Y12" i="21"/>
  <c r="N12" i="21"/>
  <c r="Y10" i="21"/>
  <c r="Y9" i="21"/>
  <c r="Y8" i="21"/>
  <c r="N8" i="21"/>
  <c r="Y7" i="21"/>
  <c r="Y6" i="21"/>
  <c r="N6" i="21"/>
  <c r="Y5" i="21"/>
  <c r="N5" i="21"/>
  <c r="Y4" i="21"/>
  <c r="N4" i="21"/>
  <c r="Y3" i="21"/>
  <c r="Y50" i="20"/>
  <c r="Y49" i="20"/>
  <c r="Y48" i="20"/>
  <c r="Y47" i="20"/>
  <c r="Y46" i="20"/>
  <c r="N46" i="20"/>
  <c r="Y45" i="20"/>
  <c r="N45" i="20"/>
  <c r="Y44" i="20"/>
  <c r="N44" i="20"/>
  <c r="Y43" i="20"/>
  <c r="N43" i="20"/>
  <c r="Y42" i="20"/>
  <c r="N42" i="20"/>
  <c r="Y41" i="20"/>
  <c r="Y40" i="20"/>
  <c r="Y39" i="20"/>
  <c r="Y38" i="20"/>
  <c r="Y37" i="20"/>
  <c r="N37" i="20"/>
  <c r="Y36" i="20"/>
  <c r="Y35" i="20"/>
  <c r="N35" i="20"/>
  <c r="Y34" i="20"/>
  <c r="Y33" i="20"/>
  <c r="Y32" i="20"/>
  <c r="Y31" i="20"/>
  <c r="N31" i="20"/>
  <c r="Y30" i="20"/>
  <c r="Y29" i="20"/>
  <c r="N29" i="20"/>
  <c r="Y28" i="20"/>
  <c r="Y27" i="20"/>
  <c r="Y26" i="20"/>
  <c r="Y25" i="20"/>
  <c r="Y24" i="20"/>
  <c r="Y23" i="20"/>
  <c r="N23" i="20"/>
  <c r="Y22" i="20"/>
  <c r="Y21" i="20"/>
  <c r="N21" i="20"/>
  <c r="Y20" i="20"/>
  <c r="Y19" i="20"/>
  <c r="N19" i="20"/>
  <c r="Y18" i="20"/>
  <c r="N18" i="20"/>
  <c r="Y17" i="20"/>
  <c r="N17" i="20"/>
  <c r="Y16" i="20"/>
  <c r="Y15" i="20"/>
  <c r="N15" i="20"/>
  <c r="Y14" i="20"/>
  <c r="Y13" i="20"/>
  <c r="Y12" i="20"/>
  <c r="Y11" i="20"/>
  <c r="N11" i="20"/>
  <c r="Y10" i="20"/>
  <c r="Y9" i="20"/>
  <c r="Y8" i="20"/>
  <c r="Y7" i="20"/>
  <c r="N7" i="20"/>
  <c r="Y6" i="20"/>
  <c r="N6" i="20"/>
  <c r="Y5" i="20"/>
  <c r="Y4" i="20"/>
  <c r="N4" i="20"/>
  <c r="Y3" i="20"/>
  <c r="Y50" i="19"/>
  <c r="Y49" i="19"/>
  <c r="Y48" i="19"/>
  <c r="N48" i="19"/>
  <c r="Y47" i="19"/>
  <c r="N47" i="19"/>
  <c r="Y46" i="19"/>
  <c r="N46" i="19"/>
  <c r="Y45" i="19"/>
  <c r="N45" i="19"/>
  <c r="Y44" i="19"/>
  <c r="N44" i="19"/>
  <c r="Y43" i="19"/>
  <c r="Y42" i="19"/>
  <c r="N42" i="19"/>
  <c r="Y41" i="19"/>
  <c r="Y40" i="19"/>
  <c r="N40" i="19"/>
  <c r="Y39" i="19"/>
  <c r="Y38" i="19"/>
  <c r="N38" i="19"/>
  <c r="Y37" i="19"/>
  <c r="N37" i="19"/>
  <c r="Y36" i="19"/>
  <c r="Y35" i="19"/>
  <c r="Y34" i="19"/>
  <c r="N34" i="19"/>
  <c r="Y33" i="19"/>
  <c r="N33" i="19"/>
  <c r="Y32" i="19"/>
  <c r="Y31" i="19"/>
  <c r="N31" i="19"/>
  <c r="Y29" i="19"/>
  <c r="N29" i="19"/>
  <c r="Y28" i="19"/>
  <c r="Y27" i="19"/>
  <c r="Y26" i="19"/>
  <c r="Y25" i="19"/>
  <c r="Y24" i="19"/>
  <c r="Y23" i="19"/>
  <c r="N23" i="19"/>
  <c r="Y22" i="19"/>
  <c r="Y21" i="19"/>
  <c r="Y20" i="19"/>
  <c r="Y19" i="19"/>
  <c r="Y18" i="19"/>
  <c r="Y17" i="19"/>
  <c r="Y16" i="19"/>
  <c r="Y15" i="19"/>
  <c r="Y14" i="19"/>
  <c r="Y13" i="19"/>
  <c r="Y12" i="19"/>
  <c r="N12" i="19"/>
  <c r="Y11" i="19"/>
  <c r="N11" i="19"/>
  <c r="Y10" i="19"/>
  <c r="N10" i="19"/>
  <c r="Y9" i="19"/>
  <c r="Y8" i="19"/>
  <c r="Y7" i="19"/>
  <c r="Y6" i="19"/>
  <c r="Y5" i="19"/>
  <c r="Y4" i="19"/>
  <c r="N4" i="19"/>
  <c r="Y3" i="19"/>
  <c r="Y50" i="18"/>
  <c r="Y49" i="18"/>
  <c r="N49" i="18"/>
  <c r="Y48" i="18"/>
  <c r="Y47" i="18"/>
  <c r="Y46" i="18"/>
  <c r="N46" i="18"/>
  <c r="Y45" i="18"/>
  <c r="Y44" i="18"/>
  <c r="N44" i="18"/>
  <c r="Y43" i="18"/>
  <c r="N43" i="18"/>
  <c r="Y42" i="18"/>
  <c r="N42" i="18"/>
  <c r="Y41" i="18"/>
  <c r="Y40" i="18"/>
  <c r="Y39" i="18"/>
  <c r="Y38" i="18"/>
  <c r="N38" i="18"/>
  <c r="Y37" i="18"/>
  <c r="Y36" i="18"/>
  <c r="Y35" i="18"/>
  <c r="Y34" i="18"/>
  <c r="N34" i="18"/>
  <c r="Y33" i="18"/>
  <c r="N33" i="18"/>
  <c r="Y32" i="18"/>
  <c r="Y31" i="18"/>
  <c r="N31" i="18"/>
  <c r="Y30" i="18"/>
  <c r="N30" i="18"/>
  <c r="Y29" i="18"/>
  <c r="N29" i="18"/>
  <c r="Y28" i="18"/>
  <c r="Y27" i="18"/>
  <c r="N27" i="18"/>
  <c r="Y26" i="18"/>
  <c r="Y25" i="18"/>
  <c r="N25" i="18"/>
  <c r="Y24" i="18"/>
  <c r="Y23" i="18"/>
  <c r="N23" i="18"/>
  <c r="Y22" i="18"/>
  <c r="Y21" i="18"/>
  <c r="Y20" i="18"/>
  <c r="Y19" i="18"/>
  <c r="Y18" i="18"/>
  <c r="Y17" i="18"/>
  <c r="N17" i="18"/>
  <c r="Y16" i="18"/>
  <c r="Y15" i="18"/>
  <c r="N15" i="18"/>
  <c r="Y14" i="18"/>
  <c r="Y13" i="18"/>
  <c r="N13" i="18"/>
  <c r="Y12" i="18"/>
  <c r="N12" i="18"/>
  <c r="Y11" i="18"/>
  <c r="N11" i="18"/>
  <c r="Y10" i="18"/>
  <c r="N10" i="18"/>
  <c r="Y9" i="18"/>
  <c r="Y8" i="18"/>
  <c r="Y7" i="18"/>
  <c r="Y6" i="18"/>
  <c r="N6" i="18"/>
  <c r="Y5" i="18"/>
  <c r="N5" i="18"/>
  <c r="Y4" i="18"/>
  <c r="Y3" i="18"/>
  <c r="N3" i="18"/>
  <c r="Y50" i="17"/>
  <c r="Y49" i="17"/>
  <c r="N49" i="17"/>
  <c r="Y48" i="17"/>
  <c r="Y47" i="17"/>
  <c r="N47" i="17"/>
  <c r="Y46" i="17"/>
  <c r="N46" i="17"/>
  <c r="Y45" i="17"/>
  <c r="Y44" i="17"/>
  <c r="N44" i="17"/>
  <c r="Y43" i="17"/>
  <c r="Y42" i="17"/>
  <c r="N42" i="17"/>
  <c r="Y41" i="17"/>
  <c r="N41" i="17"/>
  <c r="Y40" i="17"/>
  <c r="Y39" i="17"/>
  <c r="Y38" i="17"/>
  <c r="Y37" i="17"/>
  <c r="N37" i="17"/>
  <c r="Y36" i="17"/>
  <c r="N36" i="17"/>
  <c r="Y35" i="17"/>
  <c r="Y34" i="17"/>
  <c r="Y33" i="17"/>
  <c r="N33" i="17"/>
  <c r="Y32" i="17"/>
  <c r="Y31" i="17"/>
  <c r="N31" i="17"/>
  <c r="Y30" i="17"/>
  <c r="Y29" i="17"/>
  <c r="N29" i="17"/>
  <c r="Y28" i="17"/>
  <c r="Y27" i="17"/>
  <c r="Y26" i="17"/>
  <c r="Y25" i="17"/>
  <c r="N25" i="17"/>
  <c r="Y24" i="17"/>
  <c r="N24" i="17"/>
  <c r="Y23" i="17"/>
  <c r="N23" i="17"/>
  <c r="Y22" i="17"/>
  <c r="N22" i="17"/>
  <c r="Y20" i="17"/>
  <c r="N20" i="17"/>
  <c r="Y19" i="17"/>
  <c r="Y18" i="17"/>
  <c r="Y17" i="17"/>
  <c r="N17" i="17"/>
  <c r="Y16" i="17"/>
  <c r="Y15" i="17"/>
  <c r="Y14" i="17"/>
  <c r="Y13" i="17"/>
  <c r="N13" i="17"/>
  <c r="Y12" i="17"/>
  <c r="N12" i="17"/>
  <c r="Y11" i="17"/>
  <c r="N11" i="17"/>
  <c r="Y10" i="17"/>
  <c r="Y9" i="17"/>
  <c r="Y8" i="17"/>
  <c r="Y7" i="17"/>
  <c r="Y6" i="17"/>
  <c r="N6" i="17"/>
  <c r="Y5" i="17"/>
  <c r="Y4" i="17"/>
  <c r="N4" i="17"/>
  <c r="Y3" i="17"/>
  <c r="Y50" i="16"/>
  <c r="Y49" i="16"/>
  <c r="Y48" i="16"/>
  <c r="Y47" i="16"/>
  <c r="N47" i="16"/>
  <c r="Y46" i="16"/>
  <c r="N46" i="16"/>
  <c r="Y45" i="16"/>
  <c r="N45" i="16"/>
  <c r="Y44" i="16"/>
  <c r="N44" i="16"/>
  <c r="Y43" i="16"/>
  <c r="Y42" i="16"/>
  <c r="N42" i="16"/>
  <c r="Y41" i="16"/>
  <c r="Y40" i="16"/>
  <c r="N40" i="16"/>
  <c r="Y39" i="16"/>
  <c r="Y38" i="16"/>
  <c r="Y37" i="16"/>
  <c r="Y36" i="16"/>
  <c r="N36" i="16"/>
  <c r="Y35" i="16"/>
  <c r="N35" i="16"/>
  <c r="Y34" i="16"/>
  <c r="N34" i="16"/>
  <c r="Y33" i="16"/>
  <c r="N33" i="16"/>
  <c r="Y32" i="16"/>
  <c r="N32" i="16"/>
  <c r="Y31" i="16"/>
  <c r="N31" i="16"/>
  <c r="Y30" i="16"/>
  <c r="Y29" i="16"/>
  <c r="N29" i="16"/>
  <c r="Y27" i="16"/>
  <c r="Y26" i="16"/>
  <c r="Y25" i="16"/>
  <c r="N25" i="16"/>
  <c r="Y24" i="16"/>
  <c r="N24" i="16"/>
  <c r="Y23" i="16"/>
  <c r="N23" i="16"/>
  <c r="Y22" i="16"/>
  <c r="Y21" i="16"/>
  <c r="N21" i="16"/>
  <c r="Y20" i="16"/>
  <c r="Y19" i="16"/>
  <c r="Y18" i="16"/>
  <c r="Y17" i="16"/>
  <c r="N17" i="16"/>
  <c r="Y16" i="16"/>
  <c r="Y15" i="16"/>
  <c r="Y14" i="16"/>
  <c r="Y13" i="16"/>
  <c r="Y12" i="16"/>
  <c r="Y11" i="16"/>
  <c r="Y10" i="16"/>
  <c r="Y9" i="16"/>
  <c r="N9" i="16"/>
  <c r="Y50" i="15"/>
  <c r="Y49" i="15"/>
  <c r="Y48" i="15"/>
  <c r="Y47" i="15"/>
  <c r="N47" i="15"/>
  <c r="Y46" i="15"/>
  <c r="N46" i="15"/>
  <c r="Y45" i="15"/>
  <c r="Y44" i="15"/>
  <c r="N44" i="15"/>
  <c r="Y43" i="15"/>
  <c r="Y42" i="15"/>
  <c r="N42" i="15"/>
  <c r="Y41" i="15"/>
  <c r="N41" i="15"/>
  <c r="Y40" i="15"/>
  <c r="Y39" i="15"/>
  <c r="Y38" i="15"/>
  <c r="N38" i="15"/>
  <c r="Y37" i="15"/>
  <c r="Y36" i="15"/>
  <c r="Y35" i="15"/>
  <c r="N35" i="15"/>
  <c r="Y34" i="15"/>
  <c r="N34" i="15"/>
  <c r="Y33" i="15"/>
  <c r="N33" i="15"/>
  <c r="Y32" i="15"/>
  <c r="Y31" i="15"/>
  <c r="N31" i="15"/>
  <c r="Y30" i="15"/>
  <c r="N30" i="15"/>
  <c r="Y29" i="15"/>
  <c r="N29" i="15"/>
  <c r="Y28" i="15"/>
  <c r="Y27" i="15"/>
  <c r="Y26" i="15"/>
  <c r="Y25" i="15"/>
  <c r="N25" i="15"/>
  <c r="Y24" i="15"/>
  <c r="Y23" i="15"/>
  <c r="N23" i="15"/>
  <c r="Y22" i="15"/>
  <c r="N22" i="15"/>
  <c r="Y21" i="15"/>
  <c r="N21" i="15"/>
  <c r="Y20" i="15"/>
  <c r="N20" i="15"/>
  <c r="Y19" i="15"/>
  <c r="Y18" i="15"/>
  <c r="Y17" i="15"/>
  <c r="N17" i="15"/>
  <c r="Y16" i="15"/>
  <c r="Y15" i="15"/>
  <c r="Y14" i="15"/>
  <c r="Y13" i="15"/>
  <c r="Y12" i="15"/>
  <c r="N12" i="15"/>
  <c r="Y11" i="15"/>
  <c r="N11" i="15"/>
  <c r="Y10" i="15"/>
  <c r="N10" i="15"/>
  <c r="Y9" i="15"/>
  <c r="Y8" i="15"/>
  <c r="Y7" i="15"/>
  <c r="N7" i="15"/>
  <c r="Y6" i="15"/>
  <c r="Y5" i="15"/>
  <c r="N5" i="15"/>
  <c r="Y3" i="15"/>
  <c r="Y50" i="14"/>
  <c r="N50" i="14"/>
  <c r="Y49" i="14"/>
  <c r="N49" i="14"/>
  <c r="Y48" i="14"/>
  <c r="Y47" i="14"/>
  <c r="Y45" i="14"/>
  <c r="Y44" i="14"/>
  <c r="N44" i="14"/>
  <c r="Y43" i="14"/>
  <c r="Y42" i="14"/>
  <c r="Y41" i="14"/>
  <c r="Y40" i="14"/>
  <c r="N40" i="14"/>
  <c r="Y39" i="14"/>
  <c r="Y38" i="14"/>
  <c r="N38" i="14"/>
  <c r="Y37" i="14"/>
  <c r="Y36" i="14"/>
  <c r="Y35" i="14"/>
  <c r="Y34" i="14"/>
  <c r="Y33" i="14"/>
  <c r="N33" i="14"/>
  <c r="Y32" i="14"/>
  <c r="Y31" i="14"/>
  <c r="N31" i="14"/>
  <c r="Y30" i="14"/>
  <c r="Y29" i="14"/>
  <c r="N29" i="14"/>
  <c r="Y28" i="14"/>
  <c r="Y27" i="14"/>
  <c r="N27" i="14"/>
  <c r="Y26" i="14"/>
  <c r="Y25" i="14"/>
  <c r="N25" i="14"/>
  <c r="Y24" i="14"/>
  <c r="Y23" i="14"/>
  <c r="N23" i="14"/>
  <c r="Y22" i="14"/>
  <c r="Y21" i="14"/>
  <c r="Y20" i="14"/>
  <c r="N20" i="14"/>
  <c r="Y19" i="14"/>
  <c r="Y18" i="14"/>
  <c r="Y17" i="14"/>
  <c r="Y16" i="14"/>
  <c r="N16" i="14"/>
  <c r="Y15" i="14"/>
  <c r="N15" i="14"/>
  <c r="Y14" i="14"/>
  <c r="Y13" i="14"/>
  <c r="Y12" i="14"/>
  <c r="N12" i="14"/>
  <c r="Y11" i="14"/>
  <c r="N11" i="14"/>
  <c r="Y10" i="14"/>
  <c r="Y9" i="14"/>
  <c r="Y7" i="14"/>
  <c r="N7" i="14"/>
  <c r="Y50" i="13"/>
  <c r="Y49" i="13"/>
  <c r="Y48" i="13"/>
  <c r="N48" i="13"/>
  <c r="Y47" i="13"/>
  <c r="N47" i="13"/>
  <c r="Y45" i="13"/>
  <c r="Y44" i="13"/>
  <c r="N44" i="13"/>
  <c r="Y43" i="13"/>
  <c r="Y42" i="13"/>
  <c r="Y41" i="13"/>
  <c r="Y40" i="13"/>
  <c r="Y39" i="13"/>
  <c r="Y38" i="13"/>
  <c r="N38" i="13"/>
  <c r="Y37" i="13"/>
  <c r="N37" i="13"/>
  <c r="Y36" i="13"/>
  <c r="Y35" i="13"/>
  <c r="Y34" i="13"/>
  <c r="N34" i="13"/>
  <c r="Y33" i="13"/>
  <c r="Y32" i="13"/>
  <c r="Y31" i="13"/>
  <c r="N31" i="13"/>
  <c r="Y30" i="13"/>
  <c r="Y29" i="13"/>
  <c r="N29" i="13"/>
  <c r="Y28" i="13"/>
  <c r="Y27" i="13"/>
  <c r="Y26" i="13"/>
  <c r="Y25" i="13"/>
  <c r="N25" i="13"/>
  <c r="Y24" i="13"/>
  <c r="N24" i="13"/>
  <c r="Y23" i="13"/>
  <c r="N23" i="13"/>
  <c r="Y22" i="13"/>
  <c r="N22" i="13"/>
  <c r="Y21" i="13"/>
  <c r="Y20" i="13"/>
  <c r="N20" i="13"/>
  <c r="Y19" i="13"/>
  <c r="Y18" i="13"/>
  <c r="Y17" i="13"/>
  <c r="N17" i="13"/>
  <c r="Y16" i="13"/>
  <c r="N16" i="13"/>
  <c r="Y14" i="13"/>
  <c r="N14" i="13"/>
  <c r="Y13" i="13"/>
  <c r="N13" i="13"/>
  <c r="Y12" i="13"/>
  <c r="Y11" i="13"/>
  <c r="N11" i="13"/>
  <c r="Y10" i="13"/>
  <c r="N10" i="13"/>
  <c r="Y9" i="13"/>
  <c r="Y8" i="13"/>
  <c r="Y5" i="13"/>
  <c r="N5" i="13"/>
  <c r="Y50" i="12"/>
  <c r="Y49" i="12"/>
  <c r="Y48" i="12"/>
  <c r="N48" i="12"/>
  <c r="Y47" i="12"/>
  <c r="N47" i="12"/>
  <c r="Y45" i="12"/>
  <c r="Y44" i="12"/>
  <c r="N44" i="12"/>
  <c r="Y43" i="12"/>
  <c r="Y42" i="12"/>
  <c r="Y41" i="12"/>
  <c r="Y40" i="12"/>
  <c r="Y39" i="12"/>
  <c r="Y38" i="12"/>
  <c r="N38" i="12"/>
  <c r="Y37" i="12"/>
  <c r="Y36" i="12"/>
  <c r="Y35" i="12"/>
  <c r="Y34" i="12"/>
  <c r="N34" i="12"/>
  <c r="Y33" i="12"/>
  <c r="Y32" i="12"/>
  <c r="N32" i="12"/>
  <c r="Y31" i="12"/>
  <c r="N31" i="12"/>
  <c r="Y30" i="12"/>
  <c r="N30" i="12"/>
  <c r="Y28" i="12"/>
  <c r="Y27" i="12"/>
  <c r="N27" i="12"/>
  <c r="Y26" i="12"/>
  <c r="Y25" i="12"/>
  <c r="N25" i="12"/>
  <c r="Y24" i="12"/>
  <c r="N24" i="12"/>
  <c r="Y21" i="12"/>
  <c r="N21" i="12"/>
  <c r="Y20" i="12"/>
  <c r="Y19" i="12"/>
  <c r="Y16" i="12"/>
  <c r="N16" i="12"/>
  <c r="Y15" i="12"/>
  <c r="N15" i="12"/>
  <c r="Y14" i="12"/>
  <c r="Y13" i="12"/>
  <c r="Y12" i="12"/>
  <c r="Y11" i="12"/>
  <c r="Y10" i="12"/>
  <c r="N10" i="12"/>
  <c r="Y9" i="12"/>
  <c r="Y8" i="12"/>
  <c r="Y7" i="12"/>
  <c r="N7" i="12"/>
  <c r="Y6" i="12"/>
  <c r="Y5" i="12"/>
  <c r="Y4" i="12"/>
  <c r="N4" i="12"/>
  <c r="Y50" i="11"/>
  <c r="Y49" i="11"/>
  <c r="Y48" i="11"/>
  <c r="Y47" i="11"/>
  <c r="N47" i="11"/>
  <c r="Y45" i="11"/>
  <c r="N45" i="11"/>
  <c r="Y44" i="11"/>
  <c r="N44" i="11"/>
  <c r="Y43" i="11"/>
  <c r="Y42" i="11"/>
  <c r="N42" i="11"/>
  <c r="Y41" i="11"/>
  <c r="Y40" i="11"/>
  <c r="N40" i="11"/>
  <c r="Y38" i="11"/>
  <c r="N38" i="11"/>
  <c r="Y37" i="11"/>
  <c r="N37" i="11"/>
  <c r="Y36" i="11"/>
  <c r="Y35" i="11"/>
  <c r="N35" i="11"/>
  <c r="Y34" i="11"/>
  <c r="N34" i="11"/>
  <c r="Y33" i="11"/>
  <c r="N33" i="11"/>
  <c r="Y32" i="11"/>
  <c r="N32" i="11"/>
  <c r="Y31" i="11"/>
  <c r="N31" i="11"/>
  <c r="Y30" i="11"/>
  <c r="N30" i="11"/>
  <c r="Y29" i="11"/>
  <c r="N29" i="11"/>
  <c r="Y28" i="11"/>
  <c r="Y27" i="11"/>
  <c r="Y26" i="11"/>
  <c r="Y25" i="11"/>
  <c r="N25" i="11"/>
  <c r="Y24" i="11"/>
  <c r="N24" i="11"/>
  <c r="Y23" i="11"/>
  <c r="N23" i="11"/>
  <c r="Y22" i="11"/>
  <c r="N22" i="11"/>
  <c r="Y21" i="11"/>
  <c r="N21" i="11"/>
  <c r="Y20" i="11"/>
  <c r="N20" i="11"/>
  <c r="Y19" i="11"/>
  <c r="Y18" i="11"/>
  <c r="Y17" i="11"/>
  <c r="N17" i="11"/>
  <c r="Y16" i="11"/>
  <c r="N16" i="11"/>
  <c r="Y15" i="11"/>
  <c r="Y14" i="11"/>
  <c r="N14" i="11"/>
  <c r="Y13" i="11"/>
  <c r="Y12" i="11"/>
  <c r="N12" i="11"/>
  <c r="Y11" i="11"/>
  <c r="N11" i="11"/>
  <c r="Y10" i="11"/>
  <c r="N10" i="11"/>
  <c r="Y9" i="11"/>
  <c r="N9" i="11"/>
  <c r="Y8" i="11"/>
  <c r="Y7" i="11"/>
  <c r="N7" i="11"/>
  <c r="Y6" i="11"/>
  <c r="N6" i="11"/>
  <c r="Y5" i="11"/>
  <c r="N5" i="11"/>
  <c r="Y4" i="11"/>
  <c r="N4" i="11"/>
  <c r="Y3" i="11"/>
  <c r="Y50" i="10"/>
  <c r="Y49" i="10"/>
  <c r="Y48" i="10"/>
  <c r="N48" i="10"/>
  <c r="Y47" i="10"/>
  <c r="Y46" i="10"/>
  <c r="N46" i="10"/>
  <c r="Y45" i="10"/>
  <c r="N45" i="10"/>
  <c r="Y44" i="10"/>
  <c r="N44" i="10"/>
  <c r="Y43" i="10"/>
  <c r="Y42" i="10"/>
  <c r="N42" i="10"/>
  <c r="Y41" i="10"/>
  <c r="Y40" i="10"/>
  <c r="N40" i="10"/>
  <c r="Y39" i="10"/>
  <c r="Y38" i="10"/>
  <c r="N38" i="10"/>
  <c r="Y37" i="10"/>
  <c r="Y36" i="10"/>
  <c r="Y35" i="10"/>
  <c r="Y34" i="10"/>
  <c r="N34" i="10"/>
  <c r="Y33" i="10"/>
  <c r="Y32" i="10"/>
  <c r="Y31" i="10"/>
  <c r="N31" i="10"/>
  <c r="Y30" i="10"/>
  <c r="Y29" i="10"/>
  <c r="N29" i="10"/>
  <c r="Y28" i="10"/>
  <c r="Y27" i="10"/>
  <c r="Y26" i="10"/>
  <c r="Y25" i="10"/>
  <c r="N25" i="10"/>
  <c r="Y24" i="10"/>
  <c r="N24" i="10"/>
  <c r="Y23" i="10"/>
  <c r="N23" i="10"/>
  <c r="Y22" i="10"/>
  <c r="N22" i="10"/>
  <c r="Y21" i="10"/>
  <c r="N21" i="10"/>
  <c r="Y20" i="10"/>
  <c r="N20" i="10"/>
  <c r="Y19" i="10"/>
  <c r="Y18" i="10"/>
  <c r="N18" i="10"/>
  <c r="Y17" i="10"/>
  <c r="N17" i="10"/>
  <c r="Y16" i="10"/>
  <c r="N16" i="10"/>
  <c r="Y15" i="10"/>
  <c r="Y14" i="10"/>
  <c r="Y13" i="10"/>
  <c r="N13" i="10"/>
  <c r="Y12" i="10"/>
  <c r="N12" i="10"/>
  <c r="Y11" i="10"/>
  <c r="Y10" i="10"/>
  <c r="N10" i="10"/>
  <c r="Y9" i="10"/>
  <c r="N9" i="10"/>
  <c r="Y8" i="10"/>
  <c r="Y7" i="10"/>
  <c r="N7" i="10"/>
  <c r="Y6" i="10"/>
  <c r="N6" i="10"/>
  <c r="Y5" i="10"/>
  <c r="N5" i="10"/>
  <c r="Y4" i="10"/>
  <c r="N4" i="10"/>
  <c r="Y3" i="10"/>
  <c r="Y47" i="9"/>
  <c r="N47" i="9"/>
  <c r="Y48" i="9"/>
  <c r="Y49" i="9"/>
  <c r="Y50" i="9"/>
  <c r="Y6" i="9"/>
  <c r="Y7" i="9"/>
  <c r="N7" i="9"/>
  <c r="Y9" i="9"/>
  <c r="Y10" i="9"/>
  <c r="N10" i="9"/>
  <c r="Y11" i="9"/>
  <c r="N11" i="9"/>
  <c r="Y12" i="9"/>
  <c r="Y13" i="9"/>
  <c r="Y14" i="9"/>
  <c r="Y15" i="9"/>
  <c r="N15" i="9"/>
  <c r="Y16" i="9"/>
  <c r="Y17" i="9"/>
  <c r="N17" i="9"/>
  <c r="Y18" i="9"/>
  <c r="Y19" i="9"/>
  <c r="Y20" i="9"/>
  <c r="N20" i="9"/>
  <c r="Y21" i="9"/>
  <c r="N21" i="9"/>
  <c r="Y22" i="9"/>
  <c r="Y23" i="9"/>
  <c r="N23" i="9"/>
  <c r="Y24" i="9"/>
  <c r="Y25" i="9"/>
  <c r="N25" i="9"/>
  <c r="Y26" i="9"/>
  <c r="Y27" i="9"/>
  <c r="Y28" i="9"/>
  <c r="N28" i="9"/>
  <c r="Y29" i="9"/>
  <c r="N29" i="9"/>
  <c r="Y30" i="9"/>
  <c r="N30" i="9"/>
  <c r="Y31" i="9"/>
  <c r="N31" i="9"/>
  <c r="Y32" i="9"/>
  <c r="Y33" i="9"/>
  <c r="N33" i="9"/>
  <c r="Y34" i="9"/>
  <c r="N34" i="9"/>
  <c r="Y35" i="9"/>
  <c r="Y36" i="9"/>
  <c r="Y37" i="9"/>
  <c r="N37" i="9"/>
  <c r="Y38" i="9"/>
  <c r="N38" i="9"/>
  <c r="Y39" i="9"/>
  <c r="N39" i="9"/>
  <c r="Y40" i="9"/>
  <c r="N40" i="9"/>
  <c r="Y41" i="9"/>
  <c r="N41" i="9"/>
  <c r="Y42" i="9"/>
  <c r="N42" i="9"/>
  <c r="Y43" i="9"/>
  <c r="Y44" i="9"/>
  <c r="N44" i="9"/>
  <c r="Y45" i="9"/>
  <c r="N45" i="9"/>
  <c r="Y46" i="9"/>
  <c r="N46" i="9"/>
  <c r="F37" i="3"/>
  <c r="H37" i="3"/>
  <c r="J37" i="3"/>
  <c r="F39" i="3"/>
  <c r="H39" i="3"/>
  <c r="J39" i="3"/>
  <c r="F20" i="3"/>
  <c r="P50" i="2"/>
  <c r="H20" i="3"/>
  <c r="R50" i="2"/>
  <c r="F21" i="3"/>
  <c r="P51" i="2"/>
  <c r="H21" i="3"/>
  <c r="R51" i="2"/>
  <c r="F22" i="3"/>
  <c r="P52" i="2"/>
  <c r="H22" i="3"/>
  <c r="R52" i="2"/>
  <c r="V52" i="2"/>
  <c r="F23" i="3"/>
  <c r="P53" i="2"/>
  <c r="H23" i="3"/>
  <c r="R53" i="2"/>
  <c r="V53" i="2"/>
  <c r="J23" i="3"/>
  <c r="I31" i="3"/>
  <c r="I73" i="4"/>
  <c r="F24" i="3"/>
  <c r="P54" i="2"/>
  <c r="H24" i="3"/>
  <c r="R54" i="2"/>
  <c r="F25" i="3"/>
  <c r="P55" i="2"/>
  <c r="H25" i="3"/>
  <c r="R55" i="2"/>
  <c r="V55" i="2"/>
  <c r="F26" i="3"/>
  <c r="P56" i="2"/>
  <c r="H26" i="3"/>
  <c r="R56" i="2"/>
  <c r="V56" i="2"/>
  <c r="F27" i="3"/>
  <c r="P57" i="2"/>
  <c r="H27" i="3"/>
  <c r="R57" i="2"/>
  <c r="V57" i="2"/>
  <c r="J27" i="3"/>
  <c r="I32" i="3"/>
  <c r="S61" i="2"/>
  <c r="P58" i="2"/>
  <c r="R58" i="2"/>
  <c r="V58" i="2"/>
  <c r="W58" i="2"/>
  <c r="Z58" i="2"/>
  <c r="F29" i="3"/>
  <c r="P59" i="2"/>
  <c r="H29" i="3"/>
  <c r="R59" i="2"/>
  <c r="V59" i="2"/>
  <c r="J29" i="3"/>
  <c r="E34" i="3"/>
  <c r="S62" i="2"/>
  <c r="F30" i="3"/>
  <c r="P60" i="2"/>
  <c r="H30" i="3"/>
  <c r="R60" i="2"/>
  <c r="V60" i="2"/>
  <c r="F31" i="3"/>
  <c r="H31" i="3"/>
  <c r="J31" i="3"/>
  <c r="E35" i="3"/>
  <c r="O63" i="2"/>
  <c r="P61" i="2"/>
  <c r="R61" i="2"/>
  <c r="V61" i="2"/>
  <c r="F32" i="3"/>
  <c r="P62" i="2"/>
  <c r="H32" i="3"/>
  <c r="R62" i="2"/>
  <c r="V62" i="2"/>
  <c r="J25" i="3"/>
  <c r="I30" i="3"/>
  <c r="I72" i="4"/>
  <c r="P63" i="2"/>
  <c r="R63" i="2"/>
  <c r="V63" i="2"/>
  <c r="X63" i="2"/>
  <c r="W63" i="2"/>
  <c r="Z63" i="2"/>
  <c r="F34" i="3"/>
  <c r="P64" i="2"/>
  <c r="H34" i="3"/>
  <c r="R64" i="2"/>
  <c r="V64" i="2"/>
  <c r="J32" i="3"/>
  <c r="I35" i="3"/>
  <c r="S63" i="2"/>
  <c r="F35" i="3"/>
  <c r="P65" i="2"/>
  <c r="H35" i="3"/>
  <c r="R65" i="2"/>
  <c r="J35" i="3"/>
  <c r="I37" i="3"/>
  <c r="I39" i="3"/>
  <c r="S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BO35" i="2"/>
  <c r="AW34" i="2"/>
  <c r="BO34" i="2"/>
  <c r="AW33" i="2"/>
  <c r="BO33" i="2"/>
  <c r="AW32" i="2"/>
  <c r="BO32" i="2"/>
  <c r="AW31" i="2"/>
  <c r="BO31" i="2"/>
  <c r="AW30" i="2"/>
  <c r="AW29" i="2"/>
  <c r="BO29" i="2"/>
  <c r="AW28" i="2"/>
  <c r="BO28" i="2"/>
  <c r="AW27" i="2"/>
  <c r="BO27" i="2"/>
  <c r="AW26" i="2"/>
  <c r="AW25" i="2"/>
  <c r="BO25" i="2"/>
  <c r="AW24" i="2"/>
  <c r="BO24" i="2"/>
  <c r="AW23" i="2"/>
  <c r="BO23" i="2"/>
  <c r="AW22" i="2"/>
  <c r="BO22" i="2"/>
  <c r="AW21" i="2"/>
  <c r="BO21" i="2"/>
  <c r="AW20" i="2"/>
  <c r="AW19" i="2"/>
  <c r="BO19" i="2"/>
  <c r="AW18" i="2"/>
  <c r="BO18" i="2"/>
  <c r="AW17" i="2"/>
  <c r="BG17" i="2"/>
  <c r="BO17" i="2"/>
  <c r="AW16" i="2"/>
  <c r="AW15" i="2"/>
  <c r="BG15" i="2"/>
  <c r="BO15" i="2"/>
  <c r="AW14" i="2"/>
  <c r="BO14" i="2"/>
  <c r="AW13" i="2"/>
  <c r="BO13" i="2"/>
  <c r="AW12" i="2"/>
  <c r="AW11" i="2"/>
  <c r="BO11" i="2"/>
  <c r="AW10" i="2"/>
  <c r="BG10" i="2"/>
  <c r="AW9" i="2"/>
  <c r="BO9" i="2"/>
  <c r="AW8" i="2"/>
  <c r="BO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1" i="2"/>
  <c r="BG13" i="2"/>
  <c r="BG19" i="2"/>
  <c r="BG21" i="2"/>
  <c r="BG23" i="2"/>
  <c r="BG25" i="2"/>
  <c r="BG27" i="2"/>
  <c r="BG28" i="2"/>
  <c r="BG29" i="2"/>
  <c r="BG31" i="2"/>
  <c r="BG33" i="2"/>
  <c r="C60" i="3"/>
  <c r="BO5" i="2"/>
  <c r="BG22" i="2"/>
  <c r="BG9" i="2"/>
  <c r="BG36" i="2"/>
  <c r="BO12" i="2"/>
  <c r="BG12" i="2"/>
  <c r="AI37" i="2"/>
  <c r="BG32" i="2"/>
  <c r="BO7" i="2"/>
  <c r="BG7" i="2"/>
  <c r="BG8" i="2"/>
  <c r="F77" i="18"/>
  <c r="F79" i="23"/>
  <c r="F79" i="19"/>
  <c r="F79" i="11"/>
  <c r="F78" i="23"/>
  <c r="F78" i="15"/>
  <c r="N4" i="22"/>
  <c r="N3" i="19"/>
  <c r="N3" i="22"/>
  <c r="N48" i="9"/>
  <c r="N48" i="11"/>
  <c r="N46" i="25"/>
  <c r="N47" i="25"/>
  <c r="N48" i="16"/>
  <c r="N48" i="17"/>
  <c r="N48" i="18"/>
  <c r="N48" i="20"/>
  <c r="N48" i="21"/>
  <c r="N48" i="25"/>
  <c r="F78" i="11"/>
  <c r="F77" i="10"/>
  <c r="F77" i="14"/>
  <c r="V27" i="2"/>
  <c r="W27" i="2"/>
  <c r="V25" i="2"/>
  <c r="X25" i="2"/>
  <c r="V23" i="2"/>
  <c r="V17" i="2"/>
  <c r="X17" i="2"/>
  <c r="Y17" i="2"/>
  <c r="V15" i="2"/>
  <c r="W15" i="2"/>
  <c r="V2" i="2"/>
  <c r="X2" i="2"/>
  <c r="W2" i="2"/>
  <c r="F78" i="19"/>
  <c r="F77" i="22"/>
  <c r="V49" i="2"/>
  <c r="X49" i="2"/>
  <c r="W49" i="2"/>
  <c r="V16" i="2"/>
  <c r="F76" i="12"/>
  <c r="AI32" i="2"/>
  <c r="V38" i="2"/>
  <c r="W38" i="2"/>
  <c r="V6" i="2"/>
  <c r="W6" i="2"/>
  <c r="N3" i="24"/>
  <c r="F79" i="15"/>
  <c r="N38" i="24"/>
  <c r="N22" i="22"/>
  <c r="N22" i="25"/>
  <c r="N22" i="9"/>
  <c r="N3" i="13"/>
  <c r="N38" i="25"/>
  <c r="N22" i="18"/>
  <c r="N22" i="21"/>
  <c r="N18" i="9"/>
  <c r="N10" i="16"/>
  <c r="N18" i="16"/>
  <c r="N22" i="16"/>
  <c r="N30" i="16"/>
  <c r="N38" i="16"/>
  <c r="N10" i="17"/>
  <c r="N18" i="17"/>
  <c r="N30" i="17"/>
  <c r="N38" i="17"/>
  <c r="N18" i="18"/>
  <c r="N22" i="19"/>
  <c r="N10" i="20"/>
  <c r="N22" i="20"/>
  <c r="N34" i="20"/>
  <c r="N38" i="20"/>
  <c r="N10" i="21"/>
  <c r="N18" i="21"/>
  <c r="N30" i="21"/>
  <c r="N34" i="21"/>
  <c r="N38" i="21"/>
  <c r="N18" i="22"/>
  <c r="N38" i="22"/>
  <c r="N10" i="23"/>
  <c r="N18" i="23"/>
  <c r="N30" i="23"/>
  <c r="N38" i="23"/>
  <c r="V45" i="2"/>
  <c r="W45" i="2"/>
  <c r="V29" i="2"/>
  <c r="Z29" i="2"/>
  <c r="V13" i="2"/>
  <c r="W13" i="2"/>
  <c r="N21" i="13"/>
  <c r="N35" i="19"/>
  <c r="N21" i="19"/>
  <c r="N21" i="18"/>
  <c r="N17" i="21"/>
  <c r="N3" i="17"/>
  <c r="N7" i="17"/>
  <c r="N7" i="18"/>
  <c r="N7" i="19"/>
  <c r="N3" i="20"/>
  <c r="N3" i="21"/>
  <c r="N7" i="21"/>
  <c r="N7" i="22"/>
  <c r="N10" i="25"/>
  <c r="N30" i="25"/>
  <c r="AI25" i="2"/>
  <c r="N7" i="16"/>
  <c r="N41" i="13"/>
  <c r="N45" i="13"/>
  <c r="N10" i="14"/>
  <c r="N18" i="14"/>
  <c r="N22" i="14"/>
  <c r="N30" i="14"/>
  <c r="N34" i="14"/>
  <c r="N22" i="24"/>
  <c r="N30" i="24"/>
  <c r="V28" i="2"/>
  <c r="W28" i="2"/>
  <c r="V21" i="2"/>
  <c r="W21" i="2"/>
  <c r="N21" i="23"/>
  <c r="W23" i="2"/>
  <c r="X23" i="2"/>
  <c r="X15" i="2"/>
  <c r="F78" i="12"/>
  <c r="F78" i="16"/>
  <c r="F78" i="20"/>
  <c r="F78" i="24"/>
  <c r="F77" i="11"/>
  <c r="F77" i="15"/>
  <c r="F77" i="19"/>
  <c r="F77" i="23"/>
  <c r="AJ24" i="2"/>
  <c r="AI20" i="2"/>
  <c r="AJ17" i="2"/>
  <c r="N50" i="15"/>
  <c r="N16" i="16"/>
  <c r="N16" i="17"/>
  <c r="N32" i="17"/>
  <c r="N16" i="18"/>
  <c r="N24" i="18"/>
  <c r="N32" i="18"/>
  <c r="N16" i="19"/>
  <c r="N24" i="20"/>
  <c r="N36" i="20"/>
  <c r="N16" i="21"/>
  <c r="N16" i="23"/>
  <c r="N36" i="23"/>
  <c r="N3" i="16"/>
  <c r="N3" i="9"/>
  <c r="F78" i="13"/>
  <c r="F78" i="17"/>
  <c r="F78" i="21"/>
  <c r="F78" i="25"/>
  <c r="F77" i="12"/>
  <c r="F77" i="16"/>
  <c r="F77" i="20"/>
  <c r="F77" i="24"/>
  <c r="AJ29" i="2"/>
  <c r="AI26" i="2"/>
  <c r="AJ11" i="2"/>
  <c r="N50" i="13"/>
  <c r="N47" i="14"/>
  <c r="N3" i="15"/>
  <c r="N43" i="15"/>
  <c r="N36" i="25"/>
  <c r="V34" i="2"/>
  <c r="Z34" i="2"/>
  <c r="V18" i="2"/>
  <c r="Z18" i="2"/>
  <c r="AI12" i="2"/>
  <c r="F78" i="10"/>
  <c r="F78" i="14"/>
  <c r="F78" i="18"/>
  <c r="F78" i="22"/>
  <c r="F77" i="13"/>
  <c r="F77" i="17"/>
  <c r="F77" i="21"/>
  <c r="F77" i="25"/>
  <c r="AI23" i="2"/>
  <c r="AI11" i="2"/>
  <c r="N24" i="9"/>
  <c r="N16" i="9"/>
  <c r="N3" i="10"/>
  <c r="N43" i="10"/>
  <c r="N47" i="10"/>
  <c r="N3" i="11"/>
  <c r="N24" i="14"/>
  <c r="N16" i="15"/>
  <c r="N24" i="15"/>
  <c r="N50" i="17"/>
  <c r="N12" i="24"/>
  <c r="N16" i="24"/>
  <c r="N24" i="24"/>
  <c r="N3" i="14"/>
  <c r="Z28" i="2"/>
  <c r="X29" i="2"/>
  <c r="X21" i="2"/>
  <c r="W16" i="2"/>
  <c r="X16" i="2"/>
  <c r="Z16" i="2"/>
  <c r="AI28" i="2"/>
  <c r="AJ22" i="2"/>
  <c r="AJ19" i="2"/>
  <c r="AI16" i="2"/>
  <c r="Z22" i="2"/>
  <c r="F76" i="25"/>
  <c r="F76" i="20"/>
  <c r="AJ31" i="2"/>
  <c r="AJ27" i="2"/>
  <c r="AJ10" i="2"/>
  <c r="X22" i="2"/>
  <c r="V20" i="2"/>
  <c r="W20" i="2"/>
  <c r="Y20" i="2"/>
  <c r="V8" i="2"/>
  <c r="X8" i="2"/>
  <c r="V4" i="2"/>
  <c r="W4" i="2"/>
  <c r="AI5" i="2"/>
  <c r="F76" i="18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N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N16" i="20"/>
  <c r="N47" i="20"/>
  <c r="N24" i="21"/>
  <c r="N49" i="22"/>
  <c r="N43" i="23"/>
  <c r="N45" i="24"/>
  <c r="N16" i="25"/>
  <c r="Y28" i="2"/>
  <c r="Y26" i="2"/>
  <c r="Y22" i="2"/>
  <c r="Y16" i="2"/>
  <c r="N43" i="24"/>
  <c r="Z23" i="2"/>
  <c r="Z15" i="2"/>
  <c r="N3" i="25"/>
  <c r="N47" i="18"/>
  <c r="N24" i="19"/>
  <c r="N16" i="22"/>
  <c r="N41" i="23"/>
  <c r="N47" i="24"/>
  <c r="Y23" i="2"/>
  <c r="Y15" i="2"/>
  <c r="Y2" i="2"/>
  <c r="Z49" i="2"/>
  <c r="W17" i="2"/>
  <c r="X27" i="2"/>
  <c r="Z27" i="2"/>
  <c r="W29" i="2"/>
  <c r="Y29" i="2"/>
  <c r="X45" i="2"/>
  <c r="X4" i="2"/>
  <c r="V3" i="2"/>
  <c r="X3" i="2"/>
  <c r="AI7" i="2"/>
  <c r="N4" i="14"/>
  <c r="N4" i="23"/>
  <c r="N9" i="23"/>
  <c r="N4" i="16"/>
  <c r="N4" i="18"/>
  <c r="N4" i="13"/>
  <c r="N9" i="13"/>
  <c r="N9" i="25"/>
  <c r="N9" i="21"/>
  <c r="N9" i="22"/>
  <c r="N9" i="12"/>
  <c r="N9" i="17"/>
  <c r="N9" i="15"/>
  <c r="Z8" i="2"/>
  <c r="Y8" i="2"/>
  <c r="N9" i="19"/>
  <c r="N9" i="9"/>
  <c r="N9" i="14"/>
  <c r="W8" i="2"/>
  <c r="N9" i="18"/>
  <c r="Y9" i="2"/>
  <c r="Z9" i="2"/>
  <c r="W9" i="2"/>
  <c r="X9" i="2"/>
  <c r="N9" i="20"/>
  <c r="N9" i="24"/>
  <c r="Y3" i="2"/>
  <c r="N21" i="14"/>
  <c r="N15" i="21"/>
  <c r="AJ14" i="2"/>
  <c r="N15" i="15"/>
  <c r="N15" i="16"/>
  <c r="N15" i="25"/>
  <c r="N15" i="10"/>
  <c r="N15" i="11"/>
  <c r="N15" i="17"/>
  <c r="N15" i="19"/>
  <c r="N15" i="22"/>
  <c r="V14" i="2"/>
  <c r="Y14" i="2"/>
  <c r="X14" i="2"/>
  <c r="W14" i="2"/>
  <c r="Z14" i="2"/>
  <c r="V44" i="2"/>
  <c r="Y44" i="2"/>
  <c r="N45" i="14"/>
  <c r="N28" i="14"/>
  <c r="N45" i="15"/>
  <c r="N45" i="12"/>
  <c r="N45" i="17"/>
  <c r="N27" i="17"/>
  <c r="N28" i="17"/>
  <c r="N34" i="17"/>
  <c r="N39" i="17"/>
  <c r="N45" i="18"/>
  <c r="N45" i="22"/>
  <c r="N39" i="13"/>
  <c r="N39" i="18"/>
  <c r="N39" i="23"/>
  <c r="N39" i="24"/>
  <c r="Z38" i="2"/>
  <c r="Y38" i="2"/>
  <c r="N39" i="10"/>
  <c r="N39" i="15"/>
  <c r="X38" i="2"/>
  <c r="N39" i="19"/>
  <c r="N39" i="12"/>
  <c r="N28" i="12"/>
  <c r="N39" i="20"/>
  <c r="N39" i="16"/>
  <c r="N27" i="16"/>
  <c r="N39" i="25"/>
  <c r="N34" i="24"/>
  <c r="N34" i="23"/>
  <c r="N34" i="22"/>
  <c r="N28" i="22"/>
  <c r="N34" i="25"/>
  <c r="V33" i="2"/>
  <c r="W33" i="2"/>
  <c r="Y33" i="2"/>
  <c r="N28" i="21"/>
  <c r="N28" i="11"/>
  <c r="N28" i="15"/>
  <c r="N28" i="10"/>
  <c r="N28" i="13"/>
  <c r="N28" i="20"/>
  <c r="N28" i="24"/>
  <c r="N28" i="25"/>
  <c r="N28" i="23"/>
  <c r="N27" i="23"/>
  <c r="N28" i="18"/>
  <c r="N28" i="19"/>
  <c r="N27" i="19"/>
  <c r="Y27" i="2"/>
  <c r="N27" i="13"/>
  <c r="N27" i="15"/>
  <c r="N27" i="24"/>
  <c r="N27" i="25"/>
  <c r="W26" i="2"/>
  <c r="N27" i="9"/>
  <c r="N27" i="10"/>
  <c r="N27" i="11"/>
  <c r="N27" i="20"/>
  <c r="N27" i="21"/>
  <c r="AJ28" i="2"/>
  <c r="W32" i="2"/>
  <c r="N33" i="10"/>
  <c r="N33" i="13"/>
  <c r="N33" i="20"/>
  <c r="X44" i="2"/>
  <c r="W44" i="2"/>
  <c r="Z44" i="2"/>
  <c r="N12" i="9"/>
  <c r="V5" i="2"/>
  <c r="N6" i="12"/>
  <c r="N12" i="12"/>
  <c r="N12" i="25"/>
  <c r="V11" i="2"/>
  <c r="W11" i="2"/>
  <c r="N12" i="13"/>
  <c r="N12" i="20"/>
  <c r="N12" i="16"/>
  <c r="N6" i="22"/>
  <c r="N6" i="25"/>
  <c r="N6" i="16"/>
  <c r="N6" i="24"/>
  <c r="N6" i="19"/>
  <c r="N6" i="9"/>
  <c r="N6" i="23"/>
  <c r="N6" i="15"/>
  <c r="Y4" i="2"/>
  <c r="N5" i="20"/>
  <c r="N5" i="17"/>
  <c r="N5" i="19"/>
  <c r="N5" i="22"/>
  <c r="Z4" i="2"/>
  <c r="N5" i="12"/>
  <c r="N5" i="14"/>
  <c r="N5" i="23"/>
  <c r="N5" i="16"/>
  <c r="Z10" i="2"/>
  <c r="N11" i="12"/>
  <c r="Y10" i="2"/>
  <c r="X10" i="2"/>
  <c r="N11" i="10"/>
  <c r="N11" i="16"/>
  <c r="W39" i="2"/>
  <c r="X39" i="2"/>
  <c r="W5" i="2"/>
  <c r="Z5" i="2"/>
  <c r="X5" i="2"/>
  <c r="Y5" i="2"/>
  <c r="X11" i="2"/>
  <c r="Y11" i="2"/>
  <c r="Y49" i="2"/>
  <c r="AI29" i="2"/>
  <c r="AJ30" i="2"/>
  <c r="V31" i="2"/>
  <c r="AJ21" i="2"/>
  <c r="AI22" i="2"/>
  <c r="AJ13" i="2"/>
  <c r="N35" i="18"/>
  <c r="N42" i="12"/>
  <c r="N41" i="25"/>
  <c r="N37" i="22"/>
  <c r="N32" i="13"/>
  <c r="N49" i="9"/>
  <c r="N8" i="24"/>
  <c r="N36" i="19"/>
  <c r="N31" i="25"/>
  <c r="N43" i="14"/>
  <c r="N50" i="25"/>
  <c r="V51" i="2"/>
  <c r="Y51" i="2"/>
  <c r="X51" i="2"/>
  <c r="J21" i="3"/>
  <c r="V50" i="2"/>
  <c r="J20" i="3"/>
  <c r="E29" i="3"/>
  <c r="N50" i="12"/>
  <c r="N50" i="22"/>
  <c r="N50" i="16"/>
  <c r="N50" i="10"/>
  <c r="N50" i="9"/>
  <c r="N50" i="20"/>
  <c r="N50" i="11"/>
  <c r="N50" i="24"/>
  <c r="N50" i="18"/>
  <c r="N50" i="19"/>
  <c r="N50" i="23"/>
  <c r="N49" i="24"/>
  <c r="N49" i="11"/>
  <c r="N49" i="13"/>
  <c r="N49" i="21"/>
  <c r="V48" i="2"/>
  <c r="X48" i="2"/>
  <c r="N49" i="25"/>
  <c r="N49" i="10"/>
  <c r="N49" i="16"/>
  <c r="N49" i="20"/>
  <c r="AJ33" i="2"/>
  <c r="N49" i="12"/>
  <c r="N49" i="15"/>
  <c r="N49" i="19"/>
  <c r="N49" i="23"/>
  <c r="N48" i="14"/>
  <c r="N48" i="15"/>
  <c r="AI34" i="2"/>
  <c r="V46" i="2"/>
  <c r="Z46" i="2"/>
  <c r="W48" i="2"/>
  <c r="Z48" i="2"/>
  <c r="AJ35" i="2"/>
  <c r="W46" i="2"/>
  <c r="AJ34" i="2"/>
  <c r="AI33" i="2"/>
  <c r="W43" i="2"/>
  <c r="Z43" i="2"/>
  <c r="Y43" i="2"/>
  <c r="X43" i="2"/>
  <c r="AJ32" i="2"/>
  <c r="AI31" i="2"/>
  <c r="Z42" i="2"/>
  <c r="N43" i="11"/>
  <c r="X42" i="2"/>
  <c r="N43" i="19"/>
  <c r="N43" i="25"/>
  <c r="W42" i="2"/>
  <c r="N43" i="12"/>
  <c r="N43" i="16"/>
  <c r="N43" i="17"/>
  <c r="N43" i="9"/>
  <c r="N43" i="13"/>
  <c r="N43" i="22"/>
  <c r="Z41" i="2"/>
  <c r="Y41" i="2"/>
  <c r="N42" i="13"/>
  <c r="N42" i="14"/>
  <c r="N41" i="12"/>
  <c r="N41" i="11"/>
  <c r="N41" i="14"/>
  <c r="N41" i="10"/>
  <c r="N41" i="20"/>
  <c r="N41" i="21"/>
  <c r="N41" i="24"/>
  <c r="N41" i="22"/>
  <c r="N41" i="16"/>
  <c r="N41" i="18"/>
  <c r="N41" i="19"/>
  <c r="V40" i="2"/>
  <c r="Y40" i="2"/>
  <c r="W37" i="2"/>
  <c r="Z37" i="2"/>
  <c r="X37" i="2"/>
  <c r="Y37" i="2"/>
  <c r="AJ26" i="2"/>
  <c r="N37" i="10"/>
  <c r="N37" i="12"/>
  <c r="N37" i="14"/>
  <c r="N37" i="23"/>
  <c r="N37" i="24"/>
  <c r="N37" i="25"/>
  <c r="N37" i="15"/>
  <c r="N37" i="16"/>
  <c r="N37" i="18"/>
  <c r="V36" i="2"/>
  <c r="X31" i="2"/>
  <c r="Y31" i="2"/>
  <c r="W31" i="2"/>
  <c r="Z31" i="2"/>
  <c r="N32" i="25"/>
  <c r="N32" i="20"/>
  <c r="N32" i="22"/>
  <c r="N32" i="14"/>
  <c r="N32" i="15"/>
  <c r="N32" i="9"/>
  <c r="N32" i="19"/>
  <c r="N32" i="10"/>
  <c r="N31" i="22"/>
  <c r="AI24" i="2"/>
  <c r="V30" i="2"/>
  <c r="AI19" i="2"/>
  <c r="N14" i="18"/>
  <c r="N14" i="14"/>
  <c r="N14" i="22"/>
  <c r="N13" i="12"/>
  <c r="AJ12" i="2"/>
  <c r="AI10" i="2"/>
  <c r="N13" i="15"/>
  <c r="N13" i="16"/>
  <c r="N13" i="23"/>
  <c r="N36" i="11"/>
  <c r="N36" i="15"/>
  <c r="N36" i="24"/>
  <c r="N36" i="9"/>
  <c r="N36" i="12"/>
  <c r="V35" i="2"/>
  <c r="X35" i="2"/>
  <c r="N36" i="18"/>
  <c r="N36" i="10"/>
  <c r="N36" i="13"/>
  <c r="N36" i="14"/>
  <c r="W35" i="2"/>
  <c r="AI27" i="2"/>
  <c r="N35" i="17"/>
  <c r="N35" i="25"/>
  <c r="W51" i="2"/>
  <c r="Y50" i="2"/>
  <c r="Z50" i="2"/>
  <c r="Z40" i="2"/>
  <c r="W40" i="2"/>
  <c r="W36" i="2"/>
  <c r="Y36" i="2"/>
  <c r="X36" i="2"/>
  <c r="X30" i="2"/>
  <c r="Z36" i="2"/>
  <c r="W30" i="2"/>
  <c r="Z30" i="2"/>
  <c r="Y30" i="2"/>
  <c r="Y35" i="2"/>
  <c r="Z35" i="2"/>
  <c r="Q33" i="29"/>
  <c r="Q27" i="29"/>
  <c r="Q39" i="29"/>
  <c r="Q45" i="29"/>
  <c r="Q45" i="23"/>
  <c r="Q45" i="17"/>
  <c r="Q45" i="22"/>
  <c r="Q45" i="11"/>
  <c r="Q45" i="10"/>
  <c r="Q45" i="21"/>
  <c r="Q45" i="24"/>
  <c r="Q45" i="13"/>
  <c r="Q45" i="19"/>
  <c r="Q45" i="15"/>
  <c r="Q45" i="20"/>
  <c r="Q45" i="18"/>
  <c r="Q45" i="9"/>
  <c r="Q45" i="25"/>
  <c r="Q45" i="12"/>
  <c r="Q45" i="16"/>
  <c r="Q45" i="14"/>
  <c r="Q39" i="25"/>
  <c r="Q39" i="11"/>
  <c r="Q39" i="18"/>
  <c r="Q39" i="15"/>
  <c r="Q39" i="17"/>
  <c r="Q39" i="20"/>
  <c r="Q39" i="21"/>
  <c r="Q39" i="13"/>
  <c r="Q39" i="9"/>
  <c r="Q39" i="14"/>
  <c r="Q39" i="22"/>
  <c r="Q39" i="19"/>
  <c r="Q39" i="12"/>
  <c r="Q39" i="16"/>
  <c r="Q39" i="24"/>
  <c r="Q39" i="23"/>
  <c r="Q39" i="10"/>
  <c r="Q33" i="17"/>
  <c r="Q33" i="22"/>
  <c r="Q33" i="20"/>
  <c r="Q33" i="11"/>
  <c r="Q33" i="15"/>
  <c r="Q33" i="23"/>
  <c r="Q33" i="10"/>
  <c r="Q33" i="18"/>
  <c r="Q33" i="24"/>
  <c r="Q33" i="9"/>
  <c r="Q33" i="12"/>
  <c r="Q33" i="19"/>
  <c r="Q33" i="16"/>
  <c r="Q33" i="14"/>
  <c r="Q33" i="21"/>
  <c r="Q33" i="25"/>
  <c r="Q33" i="13"/>
  <c r="Q27" i="18"/>
  <c r="Q27" i="20"/>
  <c r="Q27" i="17"/>
  <c r="Q27" i="9"/>
  <c r="Q27" i="13"/>
  <c r="Q27" i="11"/>
  <c r="Q27" i="16"/>
  <c r="Q27" i="12"/>
  <c r="Q27" i="22"/>
  <c r="Q27" i="25"/>
  <c r="Q27" i="21"/>
  <c r="Q27" i="15"/>
  <c r="Q27" i="24"/>
  <c r="Q27" i="23"/>
  <c r="Q27" i="14"/>
  <c r="Q27" i="19"/>
  <c r="Q27" i="10"/>
  <c r="I29" i="3"/>
  <c r="S59" i="2"/>
  <c r="X50" i="2"/>
  <c r="W50" i="2"/>
  <c r="E74" i="7"/>
  <c r="Z51" i="2"/>
  <c r="Y54" i="29"/>
  <c r="F73" i="7"/>
  <c r="Y54" i="9"/>
  <c r="AK9" i="2"/>
  <c r="N19" i="13"/>
  <c r="N25" i="20"/>
  <c r="N25" i="21"/>
  <c r="N25" i="19"/>
  <c r="N25" i="24"/>
  <c r="N26" i="21"/>
  <c r="N26" i="14"/>
  <c r="Y26" i="29"/>
  <c r="N26" i="24"/>
  <c r="N26" i="20"/>
  <c r="N26" i="18"/>
  <c r="N26" i="17"/>
  <c r="N26" i="10"/>
  <c r="N26" i="11"/>
  <c r="N26" i="15"/>
  <c r="N26" i="23"/>
  <c r="N26" i="25"/>
  <c r="N26" i="9"/>
  <c r="N26" i="12"/>
  <c r="N26" i="16"/>
  <c r="N26" i="13"/>
  <c r="N8" i="13"/>
  <c r="N30" i="13"/>
  <c r="N35" i="13"/>
  <c r="B15" i="31"/>
  <c r="N26" i="19"/>
  <c r="Y25" i="2"/>
  <c r="N26" i="29"/>
  <c r="W25" i="2"/>
  <c r="AI17" i="2"/>
  <c r="AK17" i="2"/>
  <c r="N25" i="23"/>
  <c r="V24" i="2"/>
  <c r="X24" i="2"/>
  <c r="N25" i="29"/>
  <c r="N25" i="22"/>
  <c r="W24" i="2"/>
  <c r="Y24" i="2"/>
  <c r="Y19" i="29"/>
  <c r="N19" i="15"/>
  <c r="N8" i="15"/>
  <c r="N14" i="15"/>
  <c r="B10" i="31"/>
  <c r="N20" i="29"/>
  <c r="N20" i="12"/>
  <c r="N19" i="17"/>
  <c r="N8" i="17"/>
  <c r="N14" i="17"/>
  <c r="B5" i="31"/>
  <c r="N19" i="23"/>
  <c r="N19" i="29"/>
  <c r="N14" i="25"/>
  <c r="N14" i="12"/>
  <c r="N14" i="9"/>
  <c r="N14" i="10"/>
  <c r="N14" i="20"/>
  <c r="N14" i="19"/>
  <c r="N14" i="23"/>
  <c r="X13" i="2"/>
  <c r="Z13" i="2"/>
  <c r="N14" i="16"/>
  <c r="Y14" i="29"/>
  <c r="Z12" i="2"/>
  <c r="Y12" i="2"/>
  <c r="N13" i="9"/>
  <c r="N13" i="14"/>
  <c r="N13" i="19"/>
  <c r="N13" i="21"/>
  <c r="N13" i="11"/>
  <c r="X12" i="2"/>
  <c r="N13" i="20"/>
  <c r="N20" i="20"/>
  <c r="N8" i="20"/>
  <c r="N30" i="20"/>
  <c r="B6" i="31"/>
  <c r="N20" i="18"/>
  <c r="N20" i="16"/>
  <c r="AI13" i="2"/>
  <c r="AK13" i="2"/>
  <c r="V19" i="2"/>
  <c r="Y19" i="2"/>
  <c r="N20" i="19"/>
  <c r="N20" i="24"/>
  <c r="AK7" i="2"/>
  <c r="Y20" i="29"/>
  <c r="W18" i="2"/>
  <c r="Y18" i="2"/>
  <c r="AI14" i="2"/>
  <c r="AK14" i="2"/>
  <c r="N19" i="11"/>
  <c r="N8" i="11"/>
  <c r="B17" i="31"/>
  <c r="N19" i="14"/>
  <c r="N8" i="14"/>
  <c r="N35" i="14"/>
  <c r="N46" i="14"/>
  <c r="B2" i="31"/>
  <c r="N19" i="16"/>
  <c r="N8" i="16"/>
  <c r="B16" i="31"/>
  <c r="N19" i="19"/>
  <c r="N19" i="21"/>
  <c r="N35" i="21"/>
  <c r="B13" i="31"/>
  <c r="N19" i="10"/>
  <c r="N19" i="12"/>
  <c r="N8" i="12"/>
  <c r="N35" i="12"/>
  <c r="B7" i="31"/>
  <c r="N19" i="22"/>
  <c r="X18" i="2"/>
  <c r="N19" i="24"/>
  <c r="N19" i="9"/>
  <c r="N8" i="9"/>
  <c r="N35" i="9"/>
  <c r="B18" i="31"/>
  <c r="N19" i="18"/>
  <c r="N19" i="25"/>
  <c r="I77" i="4"/>
  <c r="J69" i="29"/>
  <c r="AK21" i="2"/>
  <c r="AK18" i="2"/>
  <c r="E77" i="4"/>
  <c r="F69" i="29"/>
  <c r="N8" i="23"/>
  <c r="N8" i="19"/>
  <c r="N7" i="25"/>
  <c r="Y7" i="29"/>
  <c r="AK37" i="2"/>
  <c r="AK16" i="2"/>
  <c r="AK24" i="2"/>
  <c r="AK25" i="2"/>
  <c r="AJ6" i="2"/>
  <c r="AK6" i="2"/>
  <c r="AI8" i="2"/>
  <c r="AK8" i="2"/>
  <c r="AK31" i="2"/>
  <c r="N8" i="22"/>
  <c r="AK11" i="2"/>
  <c r="N8" i="10"/>
  <c r="N8" i="29"/>
  <c r="X7" i="2"/>
  <c r="Y7" i="2"/>
  <c r="Z7" i="2"/>
  <c r="W7" i="2"/>
  <c r="AK10" i="2"/>
  <c r="AK22" i="2"/>
  <c r="AK29" i="2"/>
  <c r="S58" i="2"/>
  <c r="AK26" i="2"/>
  <c r="N8" i="18"/>
  <c r="AK5" i="2"/>
  <c r="AK19" i="2"/>
  <c r="E76" i="4"/>
  <c r="F68" i="29"/>
  <c r="I74" i="4"/>
  <c r="J66" i="24"/>
  <c r="Y8" i="29"/>
  <c r="I71" i="4"/>
  <c r="J63" i="17"/>
  <c r="AK34" i="2"/>
  <c r="AK33" i="2"/>
  <c r="W60" i="2"/>
  <c r="Y60" i="2"/>
  <c r="Z60" i="2"/>
  <c r="X60" i="2"/>
  <c r="Z59" i="2"/>
  <c r="W59" i="2"/>
  <c r="X59" i="2"/>
  <c r="Y59" i="2"/>
  <c r="Z57" i="2"/>
  <c r="W57" i="2"/>
  <c r="X57" i="2"/>
  <c r="Y57" i="2"/>
  <c r="W56" i="2"/>
  <c r="X56" i="2"/>
  <c r="Y56" i="2"/>
  <c r="Z56" i="2"/>
  <c r="AK12" i="2"/>
  <c r="AK32" i="2"/>
  <c r="BO26" i="2"/>
  <c r="BG26" i="2"/>
  <c r="AK27" i="2"/>
  <c r="Z25" i="2"/>
  <c r="X6" i="2"/>
  <c r="Z3" i="2"/>
  <c r="Z21" i="2"/>
  <c r="X64" i="2"/>
  <c r="W64" i="2"/>
  <c r="Y64" i="2"/>
  <c r="Z64" i="2"/>
  <c r="X61" i="2"/>
  <c r="Z61" i="2"/>
  <c r="W61" i="2"/>
  <c r="Y61" i="2"/>
  <c r="X40" i="2"/>
  <c r="Y48" i="2"/>
  <c r="Y6" i="2"/>
  <c r="Z11" i="2"/>
  <c r="Z39" i="2"/>
  <c r="Y32" i="2"/>
  <c r="X33" i="2"/>
  <c r="X20" i="2"/>
  <c r="W3" i="2"/>
  <c r="Z20" i="2"/>
  <c r="Z17" i="2"/>
  <c r="Z2" i="2"/>
  <c r="Y21" i="2"/>
  <c r="X28" i="2"/>
  <c r="BG35" i="2"/>
  <c r="BG24" i="2"/>
  <c r="BG18" i="2"/>
  <c r="BO10" i="2"/>
  <c r="BO30" i="2"/>
  <c r="BG30" i="2"/>
  <c r="X62" i="2"/>
  <c r="W62" i="2"/>
  <c r="Y62" i="2"/>
  <c r="Z62" i="2"/>
  <c r="V54" i="2"/>
  <c r="Z53" i="2"/>
  <c r="W53" i="2"/>
  <c r="X53" i="2"/>
  <c r="Y53" i="2"/>
  <c r="W52" i="2"/>
  <c r="X52" i="2"/>
  <c r="Y52" i="2"/>
  <c r="Z52" i="2"/>
  <c r="BO16" i="2"/>
  <c r="BG16" i="2"/>
  <c r="Y46" i="2"/>
  <c r="AK28" i="2"/>
  <c r="Z33" i="2"/>
  <c r="Y45" i="2"/>
  <c r="V65" i="2"/>
  <c r="E41" i="3"/>
  <c r="E85" i="4"/>
  <c r="E40" i="3"/>
  <c r="E84" i="4"/>
  <c r="W34" i="2"/>
  <c r="Y34" i="2"/>
  <c r="X41" i="2"/>
  <c r="X46" i="2"/>
  <c r="Z6" i="2"/>
  <c r="Y13" i="2"/>
  <c r="Z32" i="2"/>
  <c r="X34" i="2"/>
  <c r="Z45" i="2"/>
  <c r="BG14" i="2"/>
  <c r="BO20" i="2"/>
  <c r="BG20" i="2"/>
  <c r="X55" i="2"/>
  <c r="Y55" i="2"/>
  <c r="Z55" i="2"/>
  <c r="W55" i="2"/>
  <c r="E43" i="3"/>
  <c r="E87" i="4"/>
  <c r="E42" i="3"/>
  <c r="E86" i="4"/>
  <c r="J24" i="3"/>
  <c r="E30" i="3"/>
  <c r="J22" i="3"/>
  <c r="E31" i="3"/>
  <c r="E73" i="4"/>
  <c r="F65" i="10"/>
  <c r="Y58" i="2"/>
  <c r="N30" i="10"/>
  <c r="N35" i="10"/>
  <c r="N35" i="22"/>
  <c r="N35" i="24"/>
  <c r="BG34" i="2"/>
  <c r="Y63" i="2"/>
  <c r="J30" i="3"/>
  <c r="I34" i="3"/>
  <c r="O62" i="2"/>
  <c r="J26" i="3"/>
  <c r="E32" i="3"/>
  <c r="X58" i="2"/>
  <c r="AI15" i="2"/>
  <c r="AK15" i="2"/>
  <c r="J34" i="3"/>
  <c r="N33" i="24"/>
  <c r="N30" i="29"/>
  <c r="Y4" i="29"/>
  <c r="N18" i="29"/>
  <c r="N3" i="29"/>
  <c r="N27" i="29"/>
  <c r="Y21" i="29"/>
  <c r="Y5" i="29"/>
  <c r="Y28" i="29"/>
  <c r="Y33" i="29"/>
  <c r="N34" i="29"/>
  <c r="N9" i="29"/>
  <c r="J65" i="10"/>
  <c r="J65" i="25"/>
  <c r="J65" i="21"/>
  <c r="J65" i="19"/>
  <c r="J65" i="29"/>
  <c r="J65" i="16"/>
  <c r="J65" i="24"/>
  <c r="J65" i="11"/>
  <c r="J65" i="18"/>
  <c r="J65" i="20"/>
  <c r="J65" i="14"/>
  <c r="J65" i="13"/>
  <c r="J65" i="17"/>
  <c r="J65" i="12"/>
  <c r="J65" i="15"/>
  <c r="J65" i="23"/>
  <c r="J65" i="22"/>
  <c r="J65" i="9"/>
  <c r="O60" i="2"/>
  <c r="AK20" i="2"/>
  <c r="Y48" i="29"/>
  <c r="I81" i="4"/>
  <c r="J73" i="29"/>
  <c r="AK23" i="2"/>
  <c r="E71" i="4"/>
  <c r="O59" i="2"/>
  <c r="I79" i="4"/>
  <c r="J71" i="29"/>
  <c r="S64" i="2"/>
  <c r="J64" i="10"/>
  <c r="J64" i="25"/>
  <c r="J64" i="21"/>
  <c r="J64" i="9"/>
  <c r="J64" i="20"/>
  <c r="J64" i="14"/>
  <c r="J64" i="13"/>
  <c r="J64" i="17"/>
  <c r="J64" i="18"/>
  <c r="J64" i="15"/>
  <c r="J64" i="23"/>
  <c r="J64" i="29"/>
  <c r="J64" i="12"/>
  <c r="J64" i="19"/>
  <c r="J64" i="11"/>
  <c r="J64" i="22"/>
  <c r="J64" i="16"/>
  <c r="J64" i="24"/>
  <c r="AJ36" i="2"/>
  <c r="AK36" i="2"/>
  <c r="V47" i="2"/>
  <c r="AI35" i="2"/>
  <c r="AK35" i="2"/>
  <c r="AK30" i="2"/>
  <c r="B12" i="31"/>
  <c r="B4" i="31"/>
  <c r="B11" i="31"/>
  <c r="B14" i="31"/>
  <c r="B9" i="31"/>
  <c r="B8" i="31"/>
  <c r="B3" i="31"/>
  <c r="Z24" i="2"/>
  <c r="J66" i="10"/>
  <c r="J66" i="29"/>
  <c r="X19" i="2"/>
  <c r="Z19" i="2"/>
  <c r="W19" i="2"/>
  <c r="J66" i="14"/>
  <c r="J66" i="25"/>
  <c r="J66" i="13"/>
  <c r="J66" i="15"/>
  <c r="J66" i="12"/>
  <c r="J66" i="21"/>
  <c r="J63" i="18"/>
  <c r="J63" i="23"/>
  <c r="F65" i="25"/>
  <c r="J63" i="9"/>
  <c r="J63" i="24"/>
  <c r="F65" i="17"/>
  <c r="J66" i="23"/>
  <c r="J66" i="22"/>
  <c r="J66" i="16"/>
  <c r="J66" i="18"/>
  <c r="F65" i="20"/>
  <c r="J66" i="19"/>
  <c r="J66" i="9"/>
  <c r="J66" i="20"/>
  <c r="J66" i="11"/>
  <c r="J66" i="17"/>
  <c r="F65" i="19"/>
  <c r="J63" i="22"/>
  <c r="J63" i="29"/>
  <c r="J63" i="16"/>
  <c r="J63" i="13"/>
  <c r="F65" i="16"/>
  <c r="F65" i="9"/>
  <c r="F65" i="29"/>
  <c r="F65" i="22"/>
  <c r="F65" i="21"/>
  <c r="J63" i="21"/>
  <c r="J63" i="25"/>
  <c r="J63" i="12"/>
  <c r="J63" i="15"/>
  <c r="S60" i="2"/>
  <c r="F65" i="24"/>
  <c r="F65" i="23"/>
  <c r="F65" i="18"/>
  <c r="F65" i="14"/>
  <c r="J63" i="11"/>
  <c r="J63" i="19"/>
  <c r="J63" i="20"/>
  <c r="J63" i="10"/>
  <c r="J63" i="14"/>
  <c r="F65" i="13"/>
  <c r="F65" i="11"/>
  <c r="F65" i="12"/>
  <c r="F65" i="15"/>
  <c r="O61" i="2"/>
  <c r="E74" i="4"/>
  <c r="W65" i="2"/>
  <c r="X65" i="2"/>
  <c r="Y65" i="2"/>
  <c r="Z65" i="2"/>
  <c r="E39" i="3"/>
  <c r="E37" i="3"/>
  <c r="Y54" i="2"/>
  <c r="Z54" i="2"/>
  <c r="W54" i="2"/>
  <c r="X54" i="2"/>
  <c r="I76" i="4"/>
  <c r="J68" i="29"/>
  <c r="O58" i="2"/>
  <c r="E72" i="4"/>
  <c r="F63" i="21"/>
  <c r="F63" i="29"/>
  <c r="F63" i="20"/>
  <c r="F63" i="24"/>
  <c r="F63" i="19"/>
  <c r="F63" i="10"/>
  <c r="F63" i="25"/>
  <c r="F63" i="22"/>
  <c r="F63" i="11"/>
  <c r="F63" i="9"/>
  <c r="F63" i="16"/>
  <c r="F63" i="18"/>
  <c r="F63" i="15"/>
  <c r="F63" i="14"/>
  <c r="F63" i="17"/>
  <c r="F63" i="12"/>
  <c r="F63" i="23"/>
  <c r="F63" i="13"/>
  <c r="Z47" i="2"/>
  <c r="Y47" i="2"/>
  <c r="W47" i="2"/>
  <c r="X47" i="2"/>
  <c r="O64" i="2"/>
  <c r="E81" i="4"/>
  <c r="F73" i="29"/>
  <c r="F66" i="24"/>
  <c r="F66" i="19"/>
  <c r="F66" i="11"/>
  <c r="F66" i="16"/>
  <c r="F66" i="25"/>
  <c r="F66" i="9"/>
  <c r="F66" i="13"/>
  <c r="F66" i="20"/>
  <c r="F66" i="18"/>
  <c r="F66" i="23"/>
  <c r="F66" i="29"/>
  <c r="F66" i="10"/>
  <c r="F66" i="14"/>
  <c r="F66" i="12"/>
  <c r="F66" i="15"/>
  <c r="F66" i="22"/>
  <c r="F66" i="17"/>
  <c r="F66" i="21"/>
  <c r="O65" i="2"/>
  <c r="E79" i="4"/>
  <c r="F71" i="29"/>
  <c r="F64" i="20"/>
  <c r="F64" i="17"/>
  <c r="F64" i="15"/>
  <c r="F64" i="25"/>
  <c r="F64" i="21"/>
  <c r="F64" i="29"/>
  <c r="F64" i="16"/>
  <c r="F64" i="24"/>
  <c r="F64" i="10"/>
  <c r="F64" i="14"/>
  <c r="F64" i="13"/>
  <c r="F64" i="12"/>
  <c r="F64" i="11"/>
  <c r="F64" i="22"/>
  <c r="F64" i="18"/>
  <c r="F64" i="19"/>
  <c r="F64" i="9"/>
  <c r="F64" i="23"/>
  <c r="AH34" i="2"/>
  <c r="AH14" i="2"/>
  <c r="AH11" i="2"/>
  <c r="AH21" i="2"/>
  <c r="AH6" i="2"/>
  <c r="AH30" i="2"/>
  <c r="AH27" i="2"/>
  <c r="AH31" i="2"/>
  <c r="AH12" i="2"/>
  <c r="AH17" i="2"/>
  <c r="AH8" i="2"/>
  <c r="AH23" i="2"/>
  <c r="AH16" i="2"/>
  <c r="AH9" i="2"/>
  <c r="AH33" i="2"/>
  <c r="AH36" i="2"/>
  <c r="AH15" i="2"/>
  <c r="AH28" i="2"/>
  <c r="AH35" i="2"/>
  <c r="AH10" i="2"/>
  <c r="AH26" i="2"/>
  <c r="AH19" i="2"/>
  <c r="AH22" i="2"/>
  <c r="AH18" i="2"/>
  <c r="AH25" i="2"/>
  <c r="AH13" i="2"/>
  <c r="AH20" i="2"/>
  <c r="AH32" i="2"/>
  <c r="AH5" i="2"/>
  <c r="AH24" i="2"/>
  <c r="AH7" i="2"/>
  <c r="AH29" i="2"/>
  <c r="AG16" i="2"/>
  <c r="AG29" i="2"/>
  <c r="AG26" i="2"/>
  <c r="AG9" i="2"/>
  <c r="AG34" i="2"/>
  <c r="AG32" i="2"/>
  <c r="AG35" i="2"/>
  <c r="AG27" i="2"/>
  <c r="AG30" i="2"/>
  <c r="AG14" i="2"/>
  <c r="AG5" i="2"/>
  <c r="AG7" i="2"/>
  <c r="AG15" i="2"/>
  <c r="AG12" i="2"/>
  <c r="AG13" i="2"/>
  <c r="AG28" i="2"/>
  <c r="AG23" i="2"/>
  <c r="AG17" i="2"/>
  <c r="AG6" i="2"/>
  <c r="AG19" i="2"/>
  <c r="AG22" i="2"/>
  <c r="AG18" i="2"/>
  <c r="AG31" i="2"/>
  <c r="AG8" i="2"/>
  <c r="AG25" i="2"/>
  <c r="AG33" i="2"/>
  <c r="AG20" i="2"/>
  <c r="AG11" i="2"/>
  <c r="AG10" i="2"/>
  <c r="AG24" i="2"/>
  <c r="AG36" i="2"/>
  <c r="AG21" i="2"/>
  <c r="BS35" i="2"/>
  <c r="BR20" i="2"/>
  <c r="BS12" i="2"/>
  <c r="BS31" i="2"/>
  <c r="BT24" i="2"/>
  <c r="BR12" i="2"/>
  <c r="BR27" i="2"/>
  <c r="BT22" i="2"/>
  <c r="BR22" i="2"/>
  <c r="BR15" i="2"/>
  <c r="BR26" i="2"/>
  <c r="BT29" i="2"/>
  <c r="BR9" i="2"/>
  <c r="BT30" i="2"/>
  <c r="BR32" i="2"/>
  <c r="BT6" i="2"/>
  <c r="BT34" i="2"/>
  <c r="BS7" i="2"/>
  <c r="BT19" i="2"/>
  <c r="BT18" i="2"/>
  <c r="BR13" i="2"/>
  <c r="BS6" i="2"/>
  <c r="BR21" i="2"/>
  <c r="BS8" i="2"/>
  <c r="BS13" i="2"/>
  <c r="BS20" i="2"/>
  <c r="BS23" i="2"/>
  <c r="BR17" i="2"/>
  <c r="BS14" i="2"/>
  <c r="BS24" i="2"/>
  <c r="BS27" i="2"/>
  <c r="BT8" i="2"/>
  <c r="BS17" i="2"/>
  <c r="BT17" i="2"/>
  <c r="BR10" i="2"/>
  <c r="BR28" i="2"/>
  <c r="BT20" i="2"/>
  <c r="BS15" i="2"/>
  <c r="BT31" i="2"/>
  <c r="BS5" i="2"/>
  <c r="BR24" i="2"/>
  <c r="BR19" i="2"/>
  <c r="BT13" i="2"/>
  <c r="BT32" i="2"/>
  <c r="BR6" i="2"/>
  <c r="BS18" i="2"/>
  <c r="BT14" i="2"/>
  <c r="BS26" i="2"/>
  <c r="BS33" i="2"/>
  <c r="BS16" i="2"/>
  <c r="BT16" i="2"/>
  <c r="BR30" i="2"/>
  <c r="BR29" i="2"/>
  <c r="BS28" i="2"/>
  <c r="BS22" i="2"/>
  <c r="BT21" i="2"/>
  <c r="BS29" i="2"/>
  <c r="BR23" i="2"/>
  <c r="BT12" i="2"/>
  <c r="BS36" i="2"/>
  <c r="BS21" i="2"/>
  <c r="BT35" i="2"/>
  <c r="BS34" i="2"/>
  <c r="BT7" i="2"/>
  <c r="BT36" i="2"/>
  <c r="BS32" i="2"/>
  <c r="BT25" i="2"/>
  <c r="BT5" i="2"/>
  <c r="BS19" i="2"/>
  <c r="BT26" i="2"/>
  <c r="BT28" i="2"/>
  <c r="BR18" i="2"/>
  <c r="BS10" i="2"/>
  <c r="BR8" i="2"/>
  <c r="BT33" i="2"/>
  <c r="BT23" i="2"/>
  <c r="BT11" i="2"/>
  <c r="BT9" i="2"/>
  <c r="BR5" i="2"/>
  <c r="BR25" i="2"/>
  <c r="BS25" i="2"/>
  <c r="BR11" i="2"/>
  <c r="BR34" i="2"/>
  <c r="BT15" i="2"/>
  <c r="BT10" i="2"/>
  <c r="BR16" i="2"/>
  <c r="BR31" i="2"/>
  <c r="BS30" i="2"/>
  <c r="BS9" i="2"/>
  <c r="BT27" i="2"/>
  <c r="BS11" i="2"/>
  <c r="BR35" i="2"/>
  <c r="BR7" i="2"/>
  <c r="BR14" i="2"/>
  <c r="BR36" i="2"/>
  <c r="BR33" i="2"/>
  <c r="AF5" i="2"/>
  <c r="AF9" i="2"/>
  <c r="AF21" i="2"/>
  <c r="AF29" i="2"/>
  <c r="AF18" i="2"/>
  <c r="AF30" i="2"/>
  <c r="AF14" i="2"/>
  <c r="AF11" i="2"/>
  <c r="AF28" i="2"/>
  <c r="AF12" i="2"/>
  <c r="AF32" i="2"/>
  <c r="AF27" i="2"/>
  <c r="AF10" i="2"/>
  <c r="AF22" i="2"/>
  <c r="AF25" i="2"/>
  <c r="AF36" i="2"/>
  <c r="AF13" i="2"/>
  <c r="AF20" i="2"/>
  <c r="AF8" i="2"/>
  <c r="AF7" i="2"/>
  <c r="AF24" i="2"/>
  <c r="AF15" i="2"/>
  <c r="AF17" i="2"/>
  <c r="AF34" i="2"/>
  <c r="AF16" i="2"/>
  <c r="AF31" i="2"/>
  <c r="AF6" i="2"/>
  <c r="AF19" i="2"/>
  <c r="AF26" i="2"/>
  <c r="AF23" i="2"/>
  <c r="AF33" i="2"/>
  <c r="AF35" i="2"/>
  <c r="AE34" i="2"/>
  <c r="AD34" i="2"/>
  <c r="AM34" i="2"/>
  <c r="AR34" i="2"/>
  <c r="AE27" i="2"/>
  <c r="AD27" i="2"/>
  <c r="AM27" i="2"/>
  <c r="AR27" i="2"/>
  <c r="BP33" i="2"/>
  <c r="BQ33" i="2"/>
  <c r="BP18" i="2"/>
  <c r="BQ18" i="2"/>
  <c r="BQ28" i="2"/>
  <c r="BP28" i="2"/>
  <c r="AE6" i="2"/>
  <c r="AD6" i="2"/>
  <c r="AM6" i="2"/>
  <c r="AR6" i="2"/>
  <c r="AD32" i="2"/>
  <c r="AM32" i="2"/>
  <c r="AR32" i="2"/>
  <c r="AE32" i="2"/>
  <c r="AE21" i="2"/>
  <c r="AD21" i="2"/>
  <c r="AM21" i="2"/>
  <c r="BQ31" i="2"/>
  <c r="BP31" i="2"/>
  <c r="BQ10" i="2"/>
  <c r="BP10" i="2"/>
  <c r="BP21" i="2"/>
  <c r="BQ21" i="2"/>
  <c r="BP32" i="2"/>
  <c r="BQ32" i="2"/>
  <c r="BQ26" i="2"/>
  <c r="BP26" i="2"/>
  <c r="BP27" i="2"/>
  <c r="BQ27" i="2"/>
  <c r="AD19" i="2"/>
  <c r="AM19" i="2"/>
  <c r="AR19" i="2"/>
  <c r="AE19" i="2"/>
  <c r="AE36" i="2"/>
  <c r="AD36" i="2"/>
  <c r="AM36" i="2"/>
  <c r="AR36" i="2"/>
  <c r="AE11" i="2"/>
  <c r="AD11" i="2"/>
  <c r="AM11" i="2"/>
  <c r="AR11" i="2"/>
  <c r="BP35" i="2"/>
  <c r="BQ35" i="2"/>
  <c r="BP17" i="2"/>
  <c r="BQ17" i="2"/>
  <c r="AD33" i="2"/>
  <c r="AM33" i="2"/>
  <c r="AE33" i="2"/>
  <c r="AD25" i="2"/>
  <c r="AM25" i="2"/>
  <c r="AE25" i="2"/>
  <c r="BP36" i="2"/>
  <c r="BQ36" i="2"/>
  <c r="BQ34" i="2"/>
  <c r="BP34" i="2"/>
  <c r="AE23" i="2"/>
  <c r="AD23" i="2"/>
  <c r="AM23" i="2"/>
  <c r="AR23" i="2"/>
  <c r="AD31" i="2"/>
  <c r="AM31" i="2"/>
  <c r="AR31" i="2"/>
  <c r="AE31" i="2"/>
  <c r="AD15" i="2"/>
  <c r="AM15" i="2"/>
  <c r="AR15" i="2"/>
  <c r="AE15" i="2"/>
  <c r="AE20" i="2"/>
  <c r="AD20" i="2"/>
  <c r="AM20" i="2"/>
  <c r="AR20" i="2"/>
  <c r="AD22" i="2"/>
  <c r="AM22" i="2"/>
  <c r="AR22" i="2"/>
  <c r="AE22" i="2"/>
  <c r="AD12" i="2"/>
  <c r="AM12" i="2"/>
  <c r="AR12" i="2"/>
  <c r="AE12" i="2"/>
  <c r="AE30" i="2"/>
  <c r="AD30" i="2"/>
  <c r="AM30" i="2"/>
  <c r="AR30" i="2"/>
  <c r="AE9" i="2"/>
  <c r="AD9" i="2"/>
  <c r="AM9" i="2"/>
  <c r="BQ14" i="2"/>
  <c r="BP14" i="2"/>
  <c r="BQ16" i="2"/>
  <c r="BP16" i="2"/>
  <c r="BQ11" i="2"/>
  <c r="BP11" i="2"/>
  <c r="BQ8" i="2"/>
  <c r="BP8" i="2"/>
  <c r="BQ23" i="2"/>
  <c r="BP23" i="2"/>
  <c r="BQ19" i="2"/>
  <c r="BP19" i="2"/>
  <c r="BP15" i="2"/>
  <c r="BQ15" i="2"/>
  <c r="BQ12" i="2"/>
  <c r="BP12" i="2"/>
  <c r="BP20" i="2"/>
  <c r="BQ20" i="2"/>
  <c r="AE35" i="2"/>
  <c r="AD35" i="2"/>
  <c r="AM35" i="2"/>
  <c r="AR35" i="2"/>
  <c r="AE7" i="2"/>
  <c r="AD7" i="2"/>
  <c r="AM7" i="2"/>
  <c r="AR7" i="2"/>
  <c r="AD29" i="2"/>
  <c r="AM29" i="2"/>
  <c r="AE29" i="2"/>
  <c r="BQ25" i="2"/>
  <c r="BP25" i="2"/>
  <c r="BQ30" i="2"/>
  <c r="BP30" i="2"/>
  <c r="AE17" i="2"/>
  <c r="AD17" i="2"/>
  <c r="AM17" i="2"/>
  <c r="AD8" i="2"/>
  <c r="AM8" i="2"/>
  <c r="AR8" i="2"/>
  <c r="AE8" i="2"/>
  <c r="AD14" i="2"/>
  <c r="AM14" i="2"/>
  <c r="AR14" i="2"/>
  <c r="AE14" i="2"/>
  <c r="BQ5" i="2"/>
  <c r="BP5" i="2"/>
  <c r="AE26" i="2"/>
  <c r="AD26" i="2"/>
  <c r="AM26" i="2"/>
  <c r="AR26" i="2"/>
  <c r="AD16" i="2"/>
  <c r="AM16" i="2"/>
  <c r="AR16" i="2"/>
  <c r="AE16" i="2"/>
  <c r="AD24" i="2"/>
  <c r="AM24" i="2"/>
  <c r="AR24" i="2"/>
  <c r="AE24" i="2"/>
  <c r="AD13" i="2"/>
  <c r="AM13" i="2"/>
  <c r="AE13" i="2"/>
  <c r="AD10" i="2"/>
  <c r="AM10" i="2"/>
  <c r="AR10" i="2"/>
  <c r="AE10" i="2"/>
  <c r="AD28" i="2"/>
  <c r="AM28" i="2"/>
  <c r="AR28" i="2"/>
  <c r="AE28" i="2"/>
  <c r="AE18" i="2"/>
  <c r="AD18" i="2"/>
  <c r="AM18" i="2"/>
  <c r="AR18" i="2"/>
  <c r="AE5" i="2"/>
  <c r="AD5" i="2"/>
  <c r="AM5" i="2"/>
  <c r="BP7" i="2"/>
  <c r="BQ7" i="2"/>
  <c r="BQ29" i="2"/>
  <c r="BP29" i="2"/>
  <c r="BP6" i="2"/>
  <c r="BQ6" i="2"/>
  <c r="BP24" i="2"/>
  <c r="BQ24" i="2"/>
  <c r="BP13" i="2"/>
  <c r="BQ13" i="2"/>
  <c r="BP9" i="2"/>
  <c r="BQ9" i="2"/>
  <c r="BQ22" i="2"/>
  <c r="BP22" i="2"/>
  <c r="AN22" i="2"/>
  <c r="AO22" i="2"/>
  <c r="AP22" i="2"/>
  <c r="AN24" i="2"/>
  <c r="AO24" i="2"/>
  <c r="AP24" i="2"/>
  <c r="AN21" i="2"/>
  <c r="AO21" i="2"/>
  <c r="AP21" i="2"/>
  <c r="AN23" i="2"/>
  <c r="AO23" i="2"/>
  <c r="AP23" i="2"/>
  <c r="AR21" i="2"/>
  <c r="AN34" i="2"/>
  <c r="AO34" i="2"/>
  <c r="AP34" i="2"/>
  <c r="AN35" i="2"/>
  <c r="AO35" i="2"/>
  <c r="AP35" i="2"/>
  <c r="AN33" i="2"/>
  <c r="AO33" i="2"/>
  <c r="AP33" i="2"/>
  <c r="AN36" i="2"/>
  <c r="AO36" i="2"/>
  <c r="AP36" i="2"/>
  <c r="AR33" i="2"/>
  <c r="AR17" i="2"/>
  <c r="AN19" i="2"/>
  <c r="AO19" i="2"/>
  <c r="AP19" i="2"/>
  <c r="AN17" i="2"/>
  <c r="AO17" i="2"/>
  <c r="AP17" i="2"/>
  <c r="AN18" i="2"/>
  <c r="AO18" i="2"/>
  <c r="AP18" i="2"/>
  <c r="AN20" i="2"/>
  <c r="AO20" i="2"/>
  <c r="AP20" i="2"/>
  <c r="AN5" i="2"/>
  <c r="AO5" i="2"/>
  <c r="AP5" i="2"/>
  <c r="AN7" i="2"/>
  <c r="AO7" i="2"/>
  <c r="AP7" i="2"/>
  <c r="AN6" i="2"/>
  <c r="AO6" i="2"/>
  <c r="AP6" i="2"/>
  <c r="AN8" i="2"/>
  <c r="AO8" i="2"/>
  <c r="AP8" i="2"/>
  <c r="AR5" i="2"/>
  <c r="AR9" i="2"/>
  <c r="AN12" i="2"/>
  <c r="AO12" i="2"/>
  <c r="AP12" i="2"/>
  <c r="AN10" i="2"/>
  <c r="AO10" i="2"/>
  <c r="AP10" i="2"/>
  <c r="AN9" i="2"/>
  <c r="AO9" i="2"/>
  <c r="AP9" i="2"/>
  <c r="AN11" i="2"/>
  <c r="AO11" i="2"/>
  <c r="AP11" i="2"/>
  <c r="AE53" i="2"/>
  <c r="AN16" i="2"/>
  <c r="AO16" i="2"/>
  <c r="AP16" i="2"/>
  <c r="AN14" i="2"/>
  <c r="AO14" i="2"/>
  <c r="AP14" i="2"/>
  <c r="AR13" i="2"/>
  <c r="AN13" i="2"/>
  <c r="AO13" i="2"/>
  <c r="AP13" i="2"/>
  <c r="AN15" i="2"/>
  <c r="AO15" i="2"/>
  <c r="AP15" i="2"/>
  <c r="AN31" i="2"/>
  <c r="AO31" i="2"/>
  <c r="AP31" i="2"/>
  <c r="AN29" i="2"/>
  <c r="AO29" i="2"/>
  <c r="AP29" i="2"/>
  <c r="AN30" i="2"/>
  <c r="AO30" i="2"/>
  <c r="AP30" i="2"/>
  <c r="AN32" i="2"/>
  <c r="AO32" i="2"/>
  <c r="AP32" i="2"/>
  <c r="AR29" i="2"/>
  <c r="AR25" i="2"/>
  <c r="AN28" i="2"/>
  <c r="AO28" i="2"/>
  <c r="AP28" i="2"/>
  <c r="AN27" i="2"/>
  <c r="AO27" i="2"/>
  <c r="AP27" i="2"/>
  <c r="AN26" i="2"/>
  <c r="AO26" i="2"/>
  <c r="AP26" i="2"/>
  <c r="AN25" i="2"/>
  <c r="AO25" i="2"/>
  <c r="AP25" i="2"/>
  <c r="I6" i="2"/>
  <c r="J6" i="2"/>
  <c r="V13" i="4"/>
  <c r="C6" i="2"/>
  <c r="G6" i="2"/>
  <c r="S13" i="4"/>
  <c r="H6" i="2"/>
  <c r="T13" i="4"/>
  <c r="F6" i="2"/>
  <c r="I37" i="2"/>
  <c r="J37" i="2"/>
  <c r="V44" i="4"/>
  <c r="H37" i="2"/>
  <c r="T44" i="4"/>
  <c r="G37" i="2"/>
  <c r="S44" i="4"/>
  <c r="C37" i="2"/>
  <c r="F37" i="2"/>
  <c r="G44" i="2"/>
  <c r="S51" i="4"/>
  <c r="J44" i="2"/>
  <c r="V51" i="4"/>
  <c r="C44" i="2"/>
  <c r="H44" i="2"/>
  <c r="T51" i="4"/>
  <c r="I44" i="2"/>
  <c r="F44" i="2"/>
  <c r="J19" i="2"/>
  <c r="V26" i="4"/>
  <c r="H19" i="2"/>
  <c r="T26" i="4"/>
  <c r="I19" i="2"/>
  <c r="C19" i="2"/>
  <c r="G19" i="2"/>
  <c r="S26" i="4"/>
  <c r="F19" i="2"/>
  <c r="I20" i="2"/>
  <c r="C20" i="2"/>
  <c r="H20" i="2"/>
  <c r="T27" i="4"/>
  <c r="G20" i="2"/>
  <c r="S27" i="4"/>
  <c r="F20" i="2"/>
  <c r="J20" i="2"/>
  <c r="V27" i="4"/>
  <c r="F14" i="2"/>
  <c r="H14" i="2"/>
  <c r="T21" i="4"/>
  <c r="J14" i="2"/>
  <c r="V21" i="4"/>
  <c r="C14" i="2"/>
  <c r="G14" i="2"/>
  <c r="S21" i="4"/>
  <c r="I14" i="2"/>
  <c r="AS6" i="2"/>
  <c r="AS8" i="2"/>
  <c r="AS7" i="2"/>
  <c r="AS5" i="2"/>
  <c r="H5" i="2"/>
  <c r="T12" i="4"/>
  <c r="G5" i="2"/>
  <c r="S12" i="4"/>
  <c r="C5" i="2"/>
  <c r="J5" i="2"/>
  <c r="V12" i="4"/>
  <c r="I5" i="2"/>
  <c r="F5" i="2"/>
  <c r="J25" i="2"/>
  <c r="V32" i="4"/>
  <c r="F25" i="2"/>
  <c r="G25" i="2"/>
  <c r="S32" i="4"/>
  <c r="C25" i="2"/>
  <c r="H25" i="2"/>
  <c r="T32" i="4"/>
  <c r="D25" i="2"/>
  <c r="P32" i="4"/>
  <c r="I25" i="2"/>
  <c r="H47" i="2"/>
  <c r="T54" i="4"/>
  <c r="F47" i="2"/>
  <c r="I47" i="2"/>
  <c r="C47" i="2"/>
  <c r="J47" i="2"/>
  <c r="V54" i="4"/>
  <c r="G47" i="2"/>
  <c r="S54" i="4"/>
  <c r="I32" i="2"/>
  <c r="H32" i="2"/>
  <c r="T39" i="4"/>
  <c r="J32" i="2"/>
  <c r="V39" i="4"/>
  <c r="C32" i="2"/>
  <c r="F32" i="2"/>
  <c r="G32" i="2"/>
  <c r="S39" i="4"/>
  <c r="F41" i="2"/>
  <c r="H41" i="2"/>
  <c r="T48" i="4"/>
  <c r="I41" i="2"/>
  <c r="C41" i="2"/>
  <c r="G41" i="2"/>
  <c r="S48" i="4"/>
  <c r="J41" i="2"/>
  <c r="V48" i="4"/>
  <c r="AS14" i="2"/>
  <c r="AS15" i="2"/>
  <c r="AS16" i="2"/>
  <c r="AS13" i="2"/>
  <c r="G38" i="2"/>
  <c r="S45" i="4"/>
  <c r="J38" i="2"/>
  <c r="V45" i="4"/>
  <c r="H38" i="2"/>
  <c r="T45" i="4"/>
  <c r="C38" i="2"/>
  <c r="I38" i="2"/>
  <c r="F38" i="2"/>
  <c r="C42" i="2"/>
  <c r="J42" i="2"/>
  <c r="V49" i="4"/>
  <c r="F42" i="2"/>
  <c r="H42" i="2"/>
  <c r="T49" i="4"/>
  <c r="G42" i="2"/>
  <c r="S49" i="4"/>
  <c r="I42" i="2"/>
  <c r="C17" i="2"/>
  <c r="F17" i="2"/>
  <c r="J17" i="2"/>
  <c r="V24" i="4"/>
  <c r="G17" i="2"/>
  <c r="S24" i="4"/>
  <c r="H17" i="2"/>
  <c r="T24" i="4"/>
  <c r="I17" i="2"/>
  <c r="C13" i="2"/>
  <c r="F13" i="2"/>
  <c r="G13" i="2"/>
  <c r="S20" i="4"/>
  <c r="J13" i="2"/>
  <c r="V20" i="4"/>
  <c r="H13" i="2"/>
  <c r="T20" i="4"/>
  <c r="I13" i="2"/>
  <c r="AS9" i="2"/>
  <c r="AS10" i="2"/>
  <c r="AS12" i="2"/>
  <c r="AS11" i="2"/>
  <c r="C8" i="2"/>
  <c r="H8" i="2"/>
  <c r="T15" i="4"/>
  <c r="I8" i="2"/>
  <c r="J8" i="2"/>
  <c r="V15" i="4"/>
  <c r="G8" i="2"/>
  <c r="S15" i="4"/>
  <c r="F8" i="2"/>
  <c r="C26" i="2"/>
  <c r="I26" i="2"/>
  <c r="G26" i="2"/>
  <c r="S33" i="4"/>
  <c r="J26" i="2"/>
  <c r="V33" i="4"/>
  <c r="F26" i="2"/>
  <c r="H26" i="2"/>
  <c r="T33" i="4"/>
  <c r="D26" i="2"/>
  <c r="P33" i="4"/>
  <c r="AS20" i="2"/>
  <c r="AS17" i="2"/>
  <c r="AS19" i="2"/>
  <c r="AS18" i="2"/>
  <c r="I49" i="2"/>
  <c r="H49" i="2"/>
  <c r="T56" i="4"/>
  <c r="C49" i="2"/>
  <c r="G49" i="2"/>
  <c r="S56" i="4"/>
  <c r="J49" i="2"/>
  <c r="V56" i="4"/>
  <c r="F49" i="2"/>
  <c r="AS22" i="2"/>
  <c r="AS24" i="2"/>
  <c r="AS23" i="2"/>
  <c r="AS21" i="2"/>
  <c r="G30" i="2"/>
  <c r="S37" i="4"/>
  <c r="J30" i="2"/>
  <c r="V37" i="4"/>
  <c r="F30" i="2"/>
  <c r="H30" i="2"/>
  <c r="T37" i="4"/>
  <c r="C30" i="2"/>
  <c r="I30" i="2"/>
  <c r="F35" i="2"/>
  <c r="C35" i="2"/>
  <c r="I35" i="2"/>
  <c r="J35" i="2"/>
  <c r="V42" i="4"/>
  <c r="G35" i="2"/>
  <c r="S42" i="4"/>
  <c r="H35" i="2"/>
  <c r="T42" i="4"/>
  <c r="AS25" i="2"/>
  <c r="AS26" i="2"/>
  <c r="AS28" i="2"/>
  <c r="AS27" i="2"/>
  <c r="D24" i="2"/>
  <c r="P31" i="4"/>
  <c r="C24" i="2"/>
  <c r="J24" i="2"/>
  <c r="V31" i="4"/>
  <c r="G24" i="2"/>
  <c r="S31" i="4"/>
  <c r="I24" i="2"/>
  <c r="F24" i="2"/>
  <c r="H24" i="2"/>
  <c r="T31" i="4"/>
  <c r="AS33" i="2"/>
  <c r="AS35" i="2"/>
  <c r="AS36" i="2"/>
  <c r="AS34" i="2"/>
  <c r="G48" i="2"/>
  <c r="S55" i="4"/>
  <c r="J48" i="2"/>
  <c r="V55" i="4"/>
  <c r="I48" i="2"/>
  <c r="H48" i="2"/>
  <c r="T55" i="4"/>
  <c r="F48" i="2"/>
  <c r="C48" i="2"/>
  <c r="I31" i="2"/>
  <c r="C31" i="2"/>
  <c r="G31" i="2"/>
  <c r="S38" i="4"/>
  <c r="F31" i="2"/>
  <c r="H31" i="2"/>
  <c r="T38" i="4"/>
  <c r="J31" i="2"/>
  <c r="V38" i="4"/>
  <c r="C11" i="2"/>
  <c r="G11" i="2"/>
  <c r="S18" i="4"/>
  <c r="F11" i="2"/>
  <c r="J11" i="2"/>
  <c r="V18" i="4"/>
  <c r="H11" i="2"/>
  <c r="T18" i="4"/>
  <c r="I11" i="2"/>
  <c r="F36" i="2"/>
  <c r="H36" i="2"/>
  <c r="T43" i="4"/>
  <c r="J36" i="2"/>
  <c r="V43" i="4"/>
  <c r="G36" i="2"/>
  <c r="S43" i="4"/>
  <c r="I36" i="2"/>
  <c r="C36" i="2"/>
  <c r="AS32" i="2"/>
  <c r="AS29" i="2"/>
  <c r="AS31" i="2"/>
  <c r="AS30" i="2"/>
  <c r="I43" i="2"/>
  <c r="F43" i="2"/>
  <c r="G43" i="2"/>
  <c r="S50" i="4"/>
  <c r="J43" i="2"/>
  <c r="V50" i="4"/>
  <c r="C43" i="2"/>
  <c r="H43" i="2"/>
  <c r="T50" i="4"/>
  <c r="G18" i="2"/>
  <c r="S25" i="4"/>
  <c r="I18" i="2"/>
  <c r="J18" i="2"/>
  <c r="V25" i="4"/>
  <c r="F18" i="2"/>
  <c r="H18" i="2"/>
  <c r="T25" i="4"/>
  <c r="C18" i="2"/>
  <c r="H12" i="2"/>
  <c r="T19" i="4"/>
  <c r="I12" i="2"/>
  <c r="J12" i="2"/>
  <c r="V19" i="4"/>
  <c r="G12" i="2"/>
  <c r="S19" i="4"/>
  <c r="C12" i="2"/>
  <c r="F12" i="2"/>
  <c r="G7" i="2"/>
  <c r="S14" i="4"/>
  <c r="J7" i="2"/>
  <c r="V14" i="4"/>
  <c r="H7" i="2"/>
  <c r="T14" i="4"/>
  <c r="I7" i="2"/>
  <c r="F7" i="2"/>
  <c r="C7" i="2"/>
  <c r="D23" i="2"/>
  <c r="P30" i="4"/>
  <c r="F23" i="2"/>
  <c r="G23" i="2"/>
  <c r="S30" i="4"/>
  <c r="I23" i="2"/>
  <c r="C23" i="2"/>
  <c r="H23" i="2"/>
  <c r="T30" i="4"/>
  <c r="J23" i="2"/>
  <c r="V30" i="4"/>
  <c r="F50" i="2"/>
  <c r="J50" i="2"/>
  <c r="V57" i="4"/>
  <c r="G50" i="2"/>
  <c r="S57" i="4"/>
  <c r="H50" i="2"/>
  <c r="T57" i="4"/>
  <c r="C50" i="2"/>
  <c r="I50" i="2"/>
  <c r="I29" i="2"/>
  <c r="C29" i="2"/>
  <c r="G29" i="2"/>
  <c r="S36" i="4"/>
  <c r="H29" i="2"/>
  <c r="T36" i="4"/>
  <c r="J29" i="2"/>
  <c r="V36" i="4"/>
  <c r="F29" i="2"/>
  <c r="AQ6" i="2"/>
  <c r="B6" i="2"/>
  <c r="N13" i="4"/>
  <c r="AQ10" i="2"/>
  <c r="B12" i="2"/>
  <c r="N19" i="4"/>
  <c r="AQ15" i="2"/>
  <c r="B19" i="2"/>
  <c r="N26" i="4"/>
  <c r="AQ23" i="2"/>
  <c r="B31" i="2"/>
  <c r="N38" i="4"/>
  <c r="AQ20" i="2"/>
  <c r="B26" i="2"/>
  <c r="N33" i="4"/>
  <c r="AQ19" i="2"/>
  <c r="B25" i="2"/>
  <c r="N32" i="4"/>
  <c r="AQ32" i="2"/>
  <c r="B44" i="2"/>
  <c r="N51" i="4"/>
  <c r="AQ27" i="2"/>
  <c r="B37" i="2"/>
  <c r="N44" i="4"/>
  <c r="AQ30" i="2"/>
  <c r="B42" i="2"/>
  <c r="N49" i="4"/>
  <c r="AQ12" i="2"/>
  <c r="B14" i="2"/>
  <c r="N21" i="4"/>
  <c r="AQ8" i="2"/>
  <c r="B8" i="2"/>
  <c r="N15" i="4"/>
  <c r="AQ16" i="2"/>
  <c r="B20" i="2"/>
  <c r="N27" i="4"/>
  <c r="E80" i="3"/>
  <c r="O36" i="4"/>
  <c r="P28" i="29"/>
  <c r="U43" i="4"/>
  <c r="K36" i="2"/>
  <c r="W43" i="4"/>
  <c r="E36" i="2"/>
  <c r="Q43" i="4"/>
  <c r="R43" i="4"/>
  <c r="D36" i="2"/>
  <c r="P43" i="4"/>
  <c r="R18" i="4"/>
  <c r="D11" i="2"/>
  <c r="P18" i="4"/>
  <c r="E11" i="2"/>
  <c r="U38" i="4"/>
  <c r="K31" i="2"/>
  <c r="W38" i="4"/>
  <c r="U55" i="4"/>
  <c r="K48" i="2"/>
  <c r="W55" i="4"/>
  <c r="R31" i="4"/>
  <c r="E24" i="2"/>
  <c r="Q31" i="4"/>
  <c r="O31" i="4"/>
  <c r="E76" i="3"/>
  <c r="U37" i="4"/>
  <c r="K30" i="2"/>
  <c r="W37" i="4"/>
  <c r="E63" i="3"/>
  <c r="O15" i="4"/>
  <c r="O24" i="4"/>
  <c r="E70" i="3"/>
  <c r="R49" i="4"/>
  <c r="D42" i="2"/>
  <c r="P49" i="4"/>
  <c r="E42" i="2"/>
  <c r="Q49" i="4"/>
  <c r="K38" i="2"/>
  <c r="W45" i="4"/>
  <c r="U45" i="4"/>
  <c r="U48" i="4"/>
  <c r="K41" i="2"/>
  <c r="W48" i="4"/>
  <c r="E32" i="2"/>
  <c r="Q39" i="4"/>
  <c r="R39" i="4"/>
  <c r="D32" i="2"/>
  <c r="P39" i="4"/>
  <c r="U39" i="4"/>
  <c r="K32" i="2"/>
  <c r="W39" i="4"/>
  <c r="K47" i="2"/>
  <c r="W54" i="4"/>
  <c r="U54" i="4"/>
  <c r="R32" i="4"/>
  <c r="E25" i="2"/>
  <c r="Q32" i="4"/>
  <c r="U21" i="4"/>
  <c r="K14" i="2"/>
  <c r="W21" i="4"/>
  <c r="R26" i="4"/>
  <c r="E19" i="2"/>
  <c r="Q26" i="4"/>
  <c r="D19" i="2"/>
  <c r="P26" i="4"/>
  <c r="D37" i="2"/>
  <c r="P44" i="4"/>
  <c r="E37" i="2"/>
  <c r="Q44" i="4"/>
  <c r="R44" i="4"/>
  <c r="E7" i="2"/>
  <c r="Q14" i="4"/>
  <c r="D7" i="2"/>
  <c r="P14" i="4"/>
  <c r="R14" i="4"/>
  <c r="U36" i="4"/>
  <c r="K29" i="2"/>
  <c r="W36" i="4"/>
  <c r="R30" i="4"/>
  <c r="E23" i="2"/>
  <c r="D12" i="2"/>
  <c r="P19" i="4"/>
  <c r="R19" i="4"/>
  <c r="E12" i="2"/>
  <c r="Q19" i="4"/>
  <c r="E18" i="2"/>
  <c r="Q25" i="4"/>
  <c r="D18" i="2"/>
  <c r="P25" i="4"/>
  <c r="R25" i="4"/>
  <c r="E43" i="2"/>
  <c r="Q50" i="4"/>
  <c r="R50" i="4"/>
  <c r="D43" i="2"/>
  <c r="P50" i="4"/>
  <c r="U18" i="4"/>
  <c r="K11" i="2"/>
  <c r="W18" i="4"/>
  <c r="R38" i="4"/>
  <c r="E31" i="2"/>
  <c r="Q38" i="4"/>
  <c r="D31" i="2"/>
  <c r="P38" i="4"/>
  <c r="E96" i="3"/>
  <c r="O55" i="4"/>
  <c r="AQ36" i="2"/>
  <c r="B50" i="2"/>
  <c r="N57" i="4"/>
  <c r="U31" i="4"/>
  <c r="K24" i="2"/>
  <c r="W31" i="4"/>
  <c r="AQ26" i="2"/>
  <c r="B36" i="2"/>
  <c r="N43" i="4"/>
  <c r="K35" i="2"/>
  <c r="W42" i="4"/>
  <c r="U42" i="4"/>
  <c r="E81" i="3"/>
  <c r="O37" i="4"/>
  <c r="E97" i="3"/>
  <c r="O56" i="4"/>
  <c r="K26" i="2"/>
  <c r="W33" i="4"/>
  <c r="U33" i="4"/>
  <c r="K13" i="2"/>
  <c r="W20" i="4"/>
  <c r="U20" i="4"/>
  <c r="R20" i="4"/>
  <c r="D13" i="2"/>
  <c r="P20" i="4"/>
  <c r="E13" i="2"/>
  <c r="Q20" i="4"/>
  <c r="K42" i="2"/>
  <c r="W49" i="4"/>
  <c r="U49" i="4"/>
  <c r="O45" i="4"/>
  <c r="E88" i="3"/>
  <c r="AQ14" i="2"/>
  <c r="B18" i="2"/>
  <c r="N25" i="4"/>
  <c r="O39" i="4"/>
  <c r="E83" i="3"/>
  <c r="R54" i="4"/>
  <c r="E47" i="2"/>
  <c r="D47" i="2"/>
  <c r="P54" i="4"/>
  <c r="E60" i="3"/>
  <c r="O12" i="4"/>
  <c r="D14" i="2"/>
  <c r="P21" i="4"/>
  <c r="E14" i="2"/>
  <c r="Q21" i="4"/>
  <c r="R21" i="4"/>
  <c r="E93" i="3"/>
  <c r="O51" i="4"/>
  <c r="O44" i="4"/>
  <c r="E87" i="3"/>
  <c r="U44" i="4"/>
  <c r="K37" i="2"/>
  <c r="W44" i="4"/>
  <c r="E61" i="3"/>
  <c r="O13" i="4"/>
  <c r="U14" i="4"/>
  <c r="K7" i="2"/>
  <c r="W14" i="4"/>
  <c r="U19" i="4"/>
  <c r="K12" i="2"/>
  <c r="W19" i="4"/>
  <c r="K50" i="2"/>
  <c r="W57" i="4"/>
  <c r="U57" i="4"/>
  <c r="E75" i="3"/>
  <c r="O30" i="4"/>
  <c r="E66" i="3"/>
  <c r="O19" i="4"/>
  <c r="E92" i="3"/>
  <c r="O50" i="4"/>
  <c r="U50" i="4"/>
  <c r="K43" i="2"/>
  <c r="W50" i="4"/>
  <c r="E65" i="3"/>
  <c r="O18" i="4"/>
  <c r="R55" i="4"/>
  <c r="D48" i="2"/>
  <c r="P55" i="4"/>
  <c r="E48" i="2"/>
  <c r="Q55" i="4"/>
  <c r="AQ34" i="2"/>
  <c r="B48" i="2"/>
  <c r="N55" i="4"/>
  <c r="AQ28" i="2"/>
  <c r="B38" i="2"/>
  <c r="N45" i="4"/>
  <c r="O42" i="4"/>
  <c r="P34" i="29"/>
  <c r="E85" i="3"/>
  <c r="AQ22" i="2"/>
  <c r="B30" i="2"/>
  <c r="N37" i="4"/>
  <c r="R56" i="4"/>
  <c r="D49" i="2"/>
  <c r="P56" i="4"/>
  <c r="E49" i="2"/>
  <c r="Q56" i="4"/>
  <c r="AQ18" i="2"/>
  <c r="B24" i="2"/>
  <c r="N31" i="4"/>
  <c r="R33" i="4"/>
  <c r="E26" i="2"/>
  <c r="Q33" i="4"/>
  <c r="O33" i="4"/>
  <c r="E78" i="3"/>
  <c r="K8" i="2"/>
  <c r="W15" i="4"/>
  <c r="U15" i="4"/>
  <c r="E67" i="3"/>
  <c r="O20" i="4"/>
  <c r="E91" i="3"/>
  <c r="O49" i="4"/>
  <c r="R48" i="4"/>
  <c r="E41" i="2"/>
  <c r="D41" i="2"/>
  <c r="P48" i="4"/>
  <c r="O32" i="4"/>
  <c r="E77" i="3"/>
  <c r="R12" i="4"/>
  <c r="D5" i="2"/>
  <c r="P12" i="4"/>
  <c r="E5" i="2"/>
  <c r="E68" i="3"/>
  <c r="O21" i="4"/>
  <c r="O27" i="4"/>
  <c r="E73" i="3"/>
  <c r="O26" i="4"/>
  <c r="E72" i="3"/>
  <c r="E44" i="2"/>
  <c r="Q51" i="4"/>
  <c r="R51" i="4"/>
  <c r="D44" i="2"/>
  <c r="P51" i="4"/>
  <c r="E6" i="2"/>
  <c r="Q13" i="4"/>
  <c r="D6" i="2"/>
  <c r="P13" i="4"/>
  <c r="R13" i="4"/>
  <c r="R36" i="4"/>
  <c r="E29" i="2"/>
  <c r="D29" i="2"/>
  <c r="P36" i="4"/>
  <c r="E98" i="3"/>
  <c r="O57" i="4"/>
  <c r="E50" i="2"/>
  <c r="Q57" i="4"/>
  <c r="D50" i="2"/>
  <c r="P57" i="4"/>
  <c r="R57" i="4"/>
  <c r="U30" i="4"/>
  <c r="K23" i="2"/>
  <c r="W30" i="4"/>
  <c r="O14" i="4"/>
  <c r="E62" i="3"/>
  <c r="E71" i="3"/>
  <c r="O25" i="4"/>
  <c r="K18" i="2"/>
  <c r="W25" i="4"/>
  <c r="U25" i="4"/>
  <c r="AQ31" i="2"/>
  <c r="B43" i="2"/>
  <c r="N50" i="4"/>
  <c r="E86" i="3"/>
  <c r="O43" i="4"/>
  <c r="E82" i="3"/>
  <c r="O38" i="4"/>
  <c r="AQ35" i="2"/>
  <c r="B49" i="2"/>
  <c r="N56" i="4"/>
  <c r="R42" i="4"/>
  <c r="E35" i="2"/>
  <c r="D35" i="2"/>
  <c r="P42" i="4"/>
  <c r="R37" i="4"/>
  <c r="D30" i="2"/>
  <c r="P37" i="4"/>
  <c r="E30" i="2"/>
  <c r="Q37" i="4"/>
  <c r="AQ24" i="2"/>
  <c r="B32" i="2"/>
  <c r="N39" i="4"/>
  <c r="U56" i="4"/>
  <c r="K49" i="2"/>
  <c r="W56" i="4"/>
  <c r="D8" i="2"/>
  <c r="P15" i="4"/>
  <c r="R15" i="4"/>
  <c r="E8" i="2"/>
  <c r="Q15" i="4"/>
  <c r="AQ11" i="2"/>
  <c r="B13" i="2"/>
  <c r="N20" i="4"/>
  <c r="U24" i="4"/>
  <c r="K17" i="2"/>
  <c r="W24" i="4"/>
  <c r="R24" i="4"/>
  <c r="D17" i="2"/>
  <c r="P24" i="4"/>
  <c r="E17" i="2"/>
  <c r="R45" i="4"/>
  <c r="E38" i="2"/>
  <c r="Q45" i="4"/>
  <c r="D38" i="2"/>
  <c r="P45" i="4"/>
  <c r="E90" i="3"/>
  <c r="O48" i="4"/>
  <c r="P40" i="29"/>
  <c r="E95" i="3"/>
  <c r="O54" i="4"/>
  <c r="P46" i="29"/>
  <c r="U32" i="4"/>
  <c r="K25" i="2"/>
  <c r="W32" i="4"/>
  <c r="K5" i="2"/>
  <c r="W12" i="4"/>
  <c r="U12" i="4"/>
  <c r="AQ7" i="2"/>
  <c r="B7" i="2"/>
  <c r="N14" i="4"/>
  <c r="R27" i="4"/>
  <c r="D20" i="2"/>
  <c r="P27" i="4"/>
  <c r="E20" i="2"/>
  <c r="Q27" i="4"/>
  <c r="K20" i="2"/>
  <c r="W27" i="4"/>
  <c r="U27" i="4"/>
  <c r="U26" i="4"/>
  <c r="K19" i="2"/>
  <c r="W26" i="4"/>
  <c r="K44" i="2"/>
  <c r="W51" i="4"/>
  <c r="U51" i="4"/>
  <c r="U13" i="4"/>
  <c r="K6" i="2"/>
  <c r="W13" i="4"/>
  <c r="P22" i="29"/>
  <c r="Q21" i="29"/>
  <c r="Q21" i="16"/>
  <c r="Q21" i="13"/>
  <c r="Q21" i="23"/>
  <c r="Q21" i="11"/>
  <c r="Q21" i="18"/>
  <c r="Q21" i="14"/>
  <c r="Q21" i="19"/>
  <c r="Q21" i="21"/>
  <c r="Q21" i="20"/>
  <c r="Q21" i="24"/>
  <c r="Q21" i="17"/>
  <c r="Q21" i="15"/>
  <c r="Q21" i="10"/>
  <c r="Q21" i="25"/>
  <c r="Q21" i="9"/>
  <c r="Q21" i="22"/>
  <c r="Q21" i="12"/>
  <c r="P10" i="29"/>
  <c r="Q9" i="29"/>
  <c r="Q9" i="15"/>
  <c r="Q9" i="16"/>
  <c r="Q9" i="12"/>
  <c r="Q9" i="20"/>
  <c r="Q9" i="10"/>
  <c r="Q9" i="24"/>
  <c r="Q9" i="11"/>
  <c r="Q9" i="9"/>
  <c r="Q9" i="18"/>
  <c r="Q9" i="19"/>
  <c r="Q9" i="25"/>
  <c r="Q9" i="13"/>
  <c r="Q9" i="23"/>
  <c r="Q9" i="14"/>
  <c r="Q9" i="22"/>
  <c r="Q9" i="17"/>
  <c r="Q9" i="21"/>
  <c r="P16" i="29"/>
  <c r="Q15" i="29"/>
  <c r="Q15" i="21"/>
  <c r="Q15" i="20"/>
  <c r="Q15" i="14"/>
  <c r="Q15" i="9"/>
  <c r="Q15" i="13"/>
  <c r="Q15" i="24"/>
  <c r="Q15" i="17"/>
  <c r="Q15" i="19"/>
  <c r="Q15" i="11"/>
  <c r="Q15" i="22"/>
  <c r="Q15" i="12"/>
  <c r="Q15" i="23"/>
  <c r="Q15" i="16"/>
  <c r="Q15" i="18"/>
  <c r="Q15" i="25"/>
  <c r="Q15" i="10"/>
  <c r="Q15" i="15"/>
  <c r="P4" i="29"/>
  <c r="Q3" i="29"/>
  <c r="Q3" i="22"/>
  <c r="Q3" i="14"/>
  <c r="Q3" i="23"/>
  <c r="Q3" i="12"/>
  <c r="Q3" i="19"/>
  <c r="Q3" i="17"/>
  <c r="Q3" i="13"/>
  <c r="Q3" i="24"/>
  <c r="Q3" i="11"/>
  <c r="Q3" i="18"/>
  <c r="Q3" i="25"/>
  <c r="Q3" i="20"/>
  <c r="Q3" i="16"/>
  <c r="Q3" i="15"/>
  <c r="Q3" i="21"/>
  <c r="Q3" i="10"/>
  <c r="Q3" i="9"/>
  <c r="E33" i="2"/>
  <c r="Q36" i="4"/>
  <c r="Q40" i="4"/>
  <c r="Q48" i="4"/>
  <c r="Q52" i="4"/>
  <c r="E45" i="2"/>
  <c r="Q30" i="4"/>
  <c r="Q34" i="4"/>
  <c r="E27" i="2"/>
  <c r="E15" i="2"/>
  <c r="Q18" i="4"/>
  <c r="Q22" i="4"/>
  <c r="Q24" i="4"/>
  <c r="Q28" i="4"/>
  <c r="E21" i="2"/>
  <c r="E39" i="2"/>
  <c r="Q42" i="4"/>
  <c r="Q46" i="4"/>
  <c r="Q12" i="4"/>
  <c r="Q16" i="4"/>
  <c r="E9" i="2"/>
  <c r="Q54" i="4"/>
  <c r="Q58" i="4"/>
  <c r="E51" i="2"/>
  <c r="C8" i="7"/>
  <c r="C13" i="7"/>
  <c r="C10" i="7"/>
  <c r="C6" i="7"/>
  <c r="C15" i="7"/>
  <c r="C18" i="7"/>
  <c r="C17" i="7"/>
  <c r="C9" i="7"/>
  <c r="C16" i="7"/>
  <c r="C5" i="7"/>
  <c r="C3" i="7"/>
  <c r="C14" i="7"/>
  <c r="C11" i="7"/>
  <c r="C4" i="7"/>
  <c r="C2" i="7"/>
  <c r="C12" i="7"/>
  <c r="C7" i="7"/>
  <c r="E16" i="3"/>
  <c r="I27" i="3"/>
  <c r="E15" i="3"/>
  <c r="E25" i="3"/>
  <c r="E17" i="3"/>
  <c r="E27" i="3"/>
  <c r="E18" i="3"/>
  <c r="I25" i="3"/>
  <c r="E14" i="3"/>
  <c r="I24" i="3"/>
  <c r="E13" i="3"/>
  <c r="E26" i="3"/>
  <c r="E5" i="3"/>
  <c r="E6" i="3"/>
  <c r="I20" i="3"/>
  <c r="E3" i="3"/>
  <c r="E20" i="3"/>
  <c r="E4" i="3"/>
  <c r="E8" i="3"/>
  <c r="E7" i="3"/>
  <c r="E21" i="3"/>
  <c r="E10" i="3"/>
  <c r="I21" i="3"/>
  <c r="E9" i="3"/>
  <c r="E11" i="3"/>
  <c r="E24" i="3"/>
  <c r="E12" i="3"/>
  <c r="I26" i="3"/>
  <c r="I22" i="3"/>
  <c r="I64" i="4"/>
  <c r="E22" i="3"/>
  <c r="E64" i="4"/>
  <c r="I68" i="4"/>
  <c r="S56" i="2"/>
  <c r="O51" i="2"/>
  <c r="E63" i="4"/>
  <c r="S50" i="2"/>
  <c r="I62" i="4"/>
  <c r="S55" i="2"/>
  <c r="I67" i="4"/>
  <c r="O54" i="2"/>
  <c r="E66" i="4"/>
  <c r="S52" i="2"/>
  <c r="E23" i="3"/>
  <c r="O57" i="2"/>
  <c r="E69" i="4"/>
  <c r="I23" i="3"/>
  <c r="O56" i="2"/>
  <c r="E68" i="4"/>
  <c r="O55" i="2"/>
  <c r="E67" i="4"/>
  <c r="S51" i="2"/>
  <c r="I63" i="4"/>
  <c r="E62" i="4"/>
  <c r="O50" i="2"/>
  <c r="S54" i="2"/>
  <c r="I66" i="4"/>
  <c r="I69" i="4"/>
  <c r="S57" i="2"/>
  <c r="O52" i="2"/>
  <c r="J58" i="20"/>
  <c r="J58" i="14"/>
  <c r="J58" i="21"/>
  <c r="J58" i="13"/>
  <c r="J58" i="12"/>
  <c r="J58" i="15"/>
  <c r="J58" i="25"/>
  <c r="J58" i="9"/>
  <c r="J58" i="10"/>
  <c r="J58" i="24"/>
  <c r="J58" i="22"/>
  <c r="J58" i="11"/>
  <c r="J58" i="23"/>
  <c r="J58" i="29"/>
  <c r="J58" i="17"/>
  <c r="J58" i="19"/>
  <c r="J58" i="16"/>
  <c r="J58" i="18"/>
  <c r="J55" i="20"/>
  <c r="J55" i="14"/>
  <c r="J55" i="12"/>
  <c r="J55" i="13"/>
  <c r="J55" i="9"/>
  <c r="J55" i="29"/>
  <c r="J55" i="23"/>
  <c r="J55" i="11"/>
  <c r="J55" i="19"/>
  <c r="J55" i="15"/>
  <c r="J55" i="25"/>
  <c r="J55" i="17"/>
  <c r="J55" i="10"/>
  <c r="J55" i="22"/>
  <c r="J55" i="21"/>
  <c r="J55" i="16"/>
  <c r="J55" i="18"/>
  <c r="J55" i="24"/>
  <c r="F60" i="23"/>
  <c r="F60" i="14"/>
  <c r="F60" i="22"/>
  <c r="F60" i="19"/>
  <c r="F60" i="16"/>
  <c r="F60" i="25"/>
  <c r="F60" i="18"/>
  <c r="F60" i="24"/>
  <c r="F60" i="13"/>
  <c r="F60" i="17"/>
  <c r="F60" i="29"/>
  <c r="F60" i="21"/>
  <c r="F60" i="15"/>
  <c r="F60" i="11"/>
  <c r="F60" i="12"/>
  <c r="F60" i="20"/>
  <c r="F60" i="9"/>
  <c r="F60" i="10"/>
  <c r="J56" i="15"/>
  <c r="J56" i="23"/>
  <c r="J56" i="22"/>
  <c r="J56" i="21"/>
  <c r="J56" i="10"/>
  <c r="J56" i="25"/>
  <c r="J56" i="18"/>
  <c r="J56" i="11"/>
  <c r="J56" i="20"/>
  <c r="J56" i="13"/>
  <c r="J56" i="12"/>
  <c r="J56" i="24"/>
  <c r="J56" i="16"/>
  <c r="J56" i="19"/>
  <c r="J56" i="29"/>
  <c r="J56" i="14"/>
  <c r="J56" i="9"/>
  <c r="J56" i="17"/>
  <c r="J59" i="20"/>
  <c r="J59" i="14"/>
  <c r="J59" i="21"/>
  <c r="J59" i="19"/>
  <c r="J59" i="9"/>
  <c r="J59" i="16"/>
  <c r="J59" i="11"/>
  <c r="J59" i="13"/>
  <c r="J59" i="29"/>
  <c r="J59" i="23"/>
  <c r="J59" i="17"/>
  <c r="J59" i="22"/>
  <c r="J59" i="15"/>
  <c r="J59" i="18"/>
  <c r="J59" i="10"/>
  <c r="J59" i="12"/>
  <c r="J59" i="24"/>
  <c r="J59" i="25"/>
  <c r="F55" i="14"/>
  <c r="F55" i="22"/>
  <c r="F55" i="15"/>
  <c r="F55" i="19"/>
  <c r="F55" i="20"/>
  <c r="F55" i="21"/>
  <c r="F55" i="16"/>
  <c r="F55" i="9"/>
  <c r="F55" i="10"/>
  <c r="F55" i="11"/>
  <c r="F55" i="24"/>
  <c r="F55" i="18"/>
  <c r="F55" i="13"/>
  <c r="F55" i="29"/>
  <c r="F55" i="17"/>
  <c r="F55" i="25"/>
  <c r="F55" i="23"/>
  <c r="F55" i="12"/>
  <c r="F61" i="15"/>
  <c r="F61" i="21"/>
  <c r="F61" i="17"/>
  <c r="F61" i="10"/>
  <c r="F61" i="25"/>
  <c r="F61" i="23"/>
  <c r="F61" i="18"/>
  <c r="F61" i="14"/>
  <c r="F61" i="24"/>
  <c r="F61" i="19"/>
  <c r="F61" i="12"/>
  <c r="F61" i="22"/>
  <c r="F61" i="9"/>
  <c r="F61" i="16"/>
  <c r="F61" i="11"/>
  <c r="F61" i="13"/>
  <c r="F61" i="29"/>
  <c r="F61" i="20"/>
  <c r="S53" i="2"/>
  <c r="I65" i="4"/>
  <c r="F58" i="20"/>
  <c r="F58" i="15"/>
  <c r="F58" i="13"/>
  <c r="F58" i="18"/>
  <c r="F58" i="9"/>
  <c r="F58" i="25"/>
  <c r="F58" i="21"/>
  <c r="F58" i="19"/>
  <c r="F58" i="29"/>
  <c r="F58" i="16"/>
  <c r="F58" i="22"/>
  <c r="F58" i="12"/>
  <c r="F58" i="23"/>
  <c r="F58" i="17"/>
  <c r="F58" i="24"/>
  <c r="F58" i="14"/>
  <c r="F58" i="10"/>
  <c r="F58" i="11"/>
  <c r="J54" i="14"/>
  <c r="J54" i="15"/>
  <c r="J54" i="16"/>
  <c r="J54" i="25"/>
  <c r="J54" i="29"/>
  <c r="J54" i="18"/>
  <c r="J54" i="21"/>
  <c r="J54" i="11"/>
  <c r="J54" i="19"/>
  <c r="J54" i="23"/>
  <c r="J54" i="22"/>
  <c r="J54" i="20"/>
  <c r="J54" i="17"/>
  <c r="J54" i="12"/>
  <c r="J54" i="13"/>
  <c r="J54" i="24"/>
  <c r="J54" i="10"/>
  <c r="J54" i="9"/>
  <c r="F59" i="14"/>
  <c r="F59" i="22"/>
  <c r="F59" i="19"/>
  <c r="F59" i="12"/>
  <c r="F59" i="29"/>
  <c r="F59" i="13"/>
  <c r="F59" i="17"/>
  <c r="F59" i="9"/>
  <c r="F59" i="20"/>
  <c r="F59" i="21"/>
  <c r="F59" i="16"/>
  <c r="F59" i="15"/>
  <c r="F59" i="10"/>
  <c r="F59" i="23"/>
  <c r="F59" i="25"/>
  <c r="F59" i="24"/>
  <c r="F59" i="11"/>
  <c r="F59" i="18"/>
  <c r="J61" i="10"/>
  <c r="J61" i="25"/>
  <c r="J61" i="18"/>
  <c r="J61" i="11"/>
  <c r="J61" i="16"/>
  <c r="J61" i="13"/>
  <c r="J61" i="17"/>
  <c r="J61" i="29"/>
  <c r="J61" i="14"/>
  <c r="J61" i="22"/>
  <c r="J61" i="12"/>
  <c r="J61" i="23"/>
  <c r="J61" i="9"/>
  <c r="J61" i="24"/>
  <c r="J61" i="21"/>
  <c r="J61" i="20"/>
  <c r="J61" i="19"/>
  <c r="J61" i="15"/>
  <c r="F54" i="16"/>
  <c r="F54" i="13"/>
  <c r="F54" i="10"/>
  <c r="F54" i="21"/>
  <c r="F54" i="29"/>
  <c r="F54" i="11"/>
  <c r="F54" i="20"/>
  <c r="F54" i="9"/>
  <c r="F54" i="15"/>
  <c r="F54" i="25"/>
  <c r="F54" i="24"/>
  <c r="F54" i="14"/>
  <c r="F54" i="23"/>
  <c r="F54" i="12"/>
  <c r="F54" i="18"/>
  <c r="F54" i="17"/>
  <c r="F54" i="22"/>
  <c r="F54" i="19"/>
  <c r="F56" i="16"/>
  <c r="F56" i="10"/>
  <c r="F56" i="21"/>
  <c r="F56" i="17"/>
  <c r="F56" i="23"/>
  <c r="F56" i="14"/>
  <c r="F56" i="22"/>
  <c r="F56" i="20"/>
  <c r="F56" i="18"/>
  <c r="F56" i="11"/>
  <c r="F56" i="29"/>
  <c r="F56" i="25"/>
  <c r="F56" i="19"/>
  <c r="F56" i="24"/>
  <c r="F56" i="15"/>
  <c r="F56" i="13"/>
  <c r="F56" i="9"/>
  <c r="F56" i="12"/>
  <c r="O53" i="2"/>
  <c r="E65" i="4"/>
  <c r="J60" i="10"/>
  <c r="J60" i="25"/>
  <c r="J60" i="18"/>
  <c r="J60" i="11"/>
  <c r="J60" i="15"/>
  <c r="J60" i="24"/>
  <c r="J60" i="9"/>
  <c r="J60" i="16"/>
  <c r="J60" i="13"/>
  <c r="J60" i="21"/>
  <c r="J60" i="14"/>
  <c r="J60" i="17"/>
  <c r="J60" i="20"/>
  <c r="J60" i="23"/>
  <c r="J60" i="12"/>
  <c r="J60" i="29"/>
  <c r="J60" i="22"/>
  <c r="J60" i="19"/>
  <c r="BV22" i="2"/>
  <c r="BU36" i="2"/>
  <c r="AX9" i="2"/>
  <c r="AY9" i="2"/>
  <c r="BH12" i="2"/>
  <c r="BI12" i="2"/>
  <c r="BH17" i="2"/>
  <c r="BI17" i="2"/>
  <c r="BH29" i="2"/>
  <c r="BI29" i="2"/>
  <c r="BH19" i="2"/>
  <c r="BI19" i="2"/>
  <c r="BH30" i="2"/>
  <c r="BI30" i="2"/>
  <c r="BH34" i="2"/>
  <c r="BI34" i="2"/>
  <c r="AX35" i="2"/>
  <c r="AY35" i="2"/>
  <c r="BV9" i="2"/>
  <c r="BH22" i="2"/>
  <c r="BI22" i="2"/>
  <c r="BU20" i="2"/>
  <c r="BV8" i="2"/>
  <c r="BU10" i="2"/>
  <c r="BU6" i="2"/>
  <c r="BU14" i="2"/>
  <c r="BH18" i="2"/>
  <c r="BI18" i="2"/>
  <c r="AX28" i="2"/>
  <c r="AY28" i="2"/>
  <c r="BV16" i="2"/>
  <c r="BV30" i="2"/>
  <c r="AX33" i="2"/>
  <c r="AY33" i="2"/>
  <c r="BV33" i="2"/>
  <c r="AX16" i="2"/>
  <c r="AY16" i="2"/>
  <c r="AX20" i="2"/>
  <c r="AY20" i="2"/>
  <c r="BU17" i="2"/>
  <c r="BH25" i="2"/>
  <c r="BI25" i="2"/>
  <c r="BU18" i="2"/>
  <c r="AX6" i="2"/>
  <c r="AY6" i="2"/>
  <c r="AX31" i="2"/>
  <c r="AY31" i="2"/>
  <c r="BU15" i="2"/>
  <c r="BU30" i="2"/>
  <c r="AX11" i="2"/>
  <c r="AY11" i="2"/>
  <c r="J57" i="19"/>
  <c r="J57" i="18"/>
  <c r="J57" i="15"/>
  <c r="J57" i="20"/>
  <c r="J57" i="11"/>
  <c r="J57" i="13"/>
  <c r="J57" i="24"/>
  <c r="J57" i="25"/>
  <c r="J57" i="12"/>
  <c r="J57" i="16"/>
  <c r="J57" i="10"/>
  <c r="J57" i="22"/>
  <c r="J57" i="14"/>
  <c r="J57" i="9"/>
  <c r="J57" i="17"/>
  <c r="J57" i="29"/>
  <c r="J57" i="23"/>
  <c r="J57" i="21"/>
  <c r="BH6" i="2"/>
  <c r="BI6" i="2"/>
  <c r="BH5" i="2"/>
  <c r="BI5" i="2"/>
  <c r="BH14" i="2"/>
  <c r="BI14" i="2"/>
  <c r="BV36" i="2"/>
  <c r="BV31" i="2"/>
  <c r="BH28" i="2"/>
  <c r="BI28" i="2"/>
  <c r="BU23" i="2"/>
  <c r="BV29" i="2"/>
  <c r="AX12" i="2"/>
  <c r="AY12" i="2"/>
  <c r="BH24" i="2"/>
  <c r="BI24" i="2"/>
  <c r="BH35" i="2"/>
  <c r="BI35" i="2"/>
  <c r="BH32" i="2"/>
  <c r="BI32" i="2"/>
  <c r="AX13" i="2"/>
  <c r="AY13" i="2"/>
  <c r="AX23" i="2"/>
  <c r="AY23" i="2"/>
  <c r="BU16" i="2"/>
  <c r="BU31" i="2"/>
  <c r="BH36" i="2"/>
  <c r="BI36" i="2"/>
  <c r="BU9" i="2"/>
  <c r="BH23" i="2"/>
  <c r="BI23" i="2"/>
  <c r="BV11" i="2"/>
  <c r="BU26" i="2"/>
  <c r="BV35" i="2"/>
  <c r="BH20" i="2"/>
  <c r="BI20" i="2"/>
  <c r="AX15" i="2"/>
  <c r="AY15" i="2"/>
  <c r="AX7" i="2"/>
  <c r="AY7" i="2"/>
  <c r="AX36" i="2"/>
  <c r="AY36" i="2"/>
  <c r="BH26" i="2"/>
  <c r="BI26" i="2"/>
  <c r="BH31" i="2"/>
  <c r="BI31" i="2"/>
  <c r="BH9" i="2"/>
  <c r="BI9" i="2"/>
  <c r="BU35" i="2"/>
  <c r="BW35" i="2"/>
  <c r="BY35" i="2"/>
  <c r="CD35" i="2"/>
  <c r="BV19" i="2"/>
  <c r="BH10" i="2"/>
  <c r="BI10" i="2"/>
  <c r="F57" i="21"/>
  <c r="F57" i="25"/>
  <c r="F57" i="29"/>
  <c r="F57" i="13"/>
  <c r="F57" i="19"/>
  <c r="F57" i="17"/>
  <c r="F57" i="12"/>
  <c r="F57" i="18"/>
  <c r="F57" i="22"/>
  <c r="F57" i="16"/>
  <c r="F57" i="11"/>
  <c r="F57" i="15"/>
  <c r="F57" i="23"/>
  <c r="F57" i="20"/>
  <c r="F57" i="24"/>
  <c r="F57" i="10"/>
  <c r="F57" i="14"/>
  <c r="F57" i="9"/>
  <c r="BV17" i="2"/>
  <c r="BV26" i="2"/>
  <c r="BV21" i="2"/>
  <c r="BV5" i="2"/>
  <c r="AX22" i="2"/>
  <c r="AY22" i="2"/>
  <c r="BV15" i="2"/>
  <c r="BH16" i="2"/>
  <c r="BI16" i="2"/>
  <c r="BU28" i="2"/>
  <c r="BU8" i="2"/>
  <c r="BW8" i="2"/>
  <c r="BY8" i="2"/>
  <c r="CD8" i="2"/>
  <c r="BH11" i="2"/>
  <c r="BI11" i="2"/>
  <c r="AX24" i="2"/>
  <c r="AY24" i="2"/>
  <c r="AX27" i="2"/>
  <c r="AY27" i="2"/>
  <c r="AX17" i="2"/>
  <c r="AY17" i="2"/>
  <c r="BU24" i="2"/>
  <c r="AX21" i="2"/>
  <c r="AY21" i="2"/>
  <c r="BV23" i="2"/>
  <c r="BU11" i="2"/>
  <c r="BU33" i="2"/>
  <c r="BW33" i="2"/>
  <c r="BY33" i="2"/>
  <c r="CD33" i="2"/>
  <c r="BU12" i="2"/>
  <c r="BU5" i="2"/>
  <c r="BW5" i="2"/>
  <c r="BY5" i="2"/>
  <c r="BV25" i="2"/>
  <c r="BH27" i="2"/>
  <c r="BI27" i="2"/>
  <c r="AX8" i="2"/>
  <c r="AY8" i="2"/>
  <c r="BU27" i="2"/>
  <c r="BH8" i="2"/>
  <c r="BI8" i="2"/>
  <c r="BU13" i="2"/>
  <c r="BU29" i="2"/>
  <c r="AX19" i="2"/>
  <c r="AY19" i="2"/>
  <c r="AX29" i="2"/>
  <c r="AY29" i="2"/>
  <c r="BV13" i="2"/>
  <c r="BV27" i="2"/>
  <c r="BV20" i="2"/>
  <c r="AX26" i="2"/>
  <c r="AY26" i="2"/>
  <c r="BU34" i="2"/>
  <c r="AX32" i="2"/>
  <c r="AY32" i="2"/>
  <c r="BV14" i="2"/>
  <c r="BU19" i="2"/>
  <c r="BW19" i="2"/>
  <c r="BY19" i="2"/>
  <c r="CD19" i="2"/>
  <c r="BH15" i="2"/>
  <c r="BI15" i="2"/>
  <c r="AX14" i="2"/>
  <c r="AY14" i="2"/>
  <c r="AX5" i="2"/>
  <c r="AY5" i="2"/>
  <c r="BH33" i="2"/>
  <c r="BI33" i="2"/>
  <c r="BV12" i="2"/>
  <c r="BV32" i="2"/>
  <c r="BV10" i="2"/>
  <c r="BH7" i="2"/>
  <c r="BI7" i="2"/>
  <c r="BU25" i="2"/>
  <c r="BV24" i="2"/>
  <c r="BU32" i="2"/>
  <c r="AX18" i="2"/>
  <c r="AY18" i="2"/>
  <c r="BV28" i="2"/>
  <c r="BH21" i="2"/>
  <c r="BI21" i="2"/>
  <c r="AX25" i="2"/>
  <c r="AY25" i="2"/>
  <c r="BU7" i="2"/>
  <c r="AX10" i="2"/>
  <c r="AY10" i="2"/>
  <c r="BV34" i="2"/>
  <c r="BU22" i="2"/>
  <c r="BW22" i="2"/>
  <c r="BY22" i="2"/>
  <c r="CD22" i="2"/>
  <c r="BV18" i="2"/>
  <c r="AX34" i="2"/>
  <c r="AY34" i="2"/>
  <c r="BU21" i="2"/>
  <c r="BW21" i="2"/>
  <c r="BY21" i="2"/>
  <c r="CD21" i="2"/>
  <c r="BV7" i="2"/>
  <c r="BH13" i="2"/>
  <c r="BI13" i="2"/>
  <c r="BV6" i="2"/>
  <c r="AX30" i="2"/>
  <c r="AY30" i="2"/>
  <c r="BW9" i="2"/>
  <c r="BY9" i="2"/>
  <c r="CD9" i="2"/>
  <c r="BW32" i="2"/>
  <c r="BY32" i="2"/>
  <c r="CD32" i="2"/>
  <c r="BW16" i="2"/>
  <c r="BY16" i="2"/>
  <c r="CD16" i="2"/>
  <c r="BW31" i="2"/>
  <c r="BY31" i="2"/>
  <c r="CD31" i="2"/>
  <c r="BW29" i="2"/>
  <c r="BY29" i="2"/>
  <c r="CD29" i="2"/>
  <c r="BW11" i="2"/>
  <c r="BY11" i="2"/>
  <c r="CD11" i="2"/>
  <c r="BW25" i="2"/>
  <c r="BY25" i="2"/>
  <c r="CD25" i="2"/>
  <c r="BW30" i="2"/>
  <c r="BY30" i="2"/>
  <c r="CD30" i="2"/>
  <c r="BW7" i="2"/>
  <c r="BY7" i="2"/>
  <c r="CD7" i="2"/>
  <c r="AZ18" i="2"/>
  <c r="BA18" i="2"/>
  <c r="AZ32" i="2"/>
  <c r="BA32" i="2"/>
  <c r="AZ23" i="2"/>
  <c r="BA23" i="2"/>
  <c r="AZ12" i="2"/>
  <c r="BA12" i="2"/>
  <c r="AZ8" i="2"/>
  <c r="BA8" i="2"/>
  <c r="AZ26" i="2"/>
  <c r="BA26" i="2"/>
  <c r="AZ24" i="2"/>
  <c r="BA24" i="2"/>
  <c r="AZ11" i="2"/>
  <c r="BA11" i="2"/>
  <c r="AZ14" i="2"/>
  <c r="BA14" i="2"/>
  <c r="AZ31" i="2"/>
  <c r="BA31" i="2"/>
  <c r="AZ19" i="2"/>
  <c r="BA19" i="2"/>
  <c r="AZ34" i="2"/>
  <c r="BA34" i="2"/>
  <c r="AZ30" i="2"/>
  <c r="BA30" i="2"/>
  <c r="AZ5" i="2"/>
  <c r="BA5" i="2"/>
  <c r="AZ21" i="2"/>
  <c r="BA21" i="2"/>
  <c r="AZ9" i="2"/>
  <c r="BA9" i="2"/>
  <c r="AZ6" i="2"/>
  <c r="BA6" i="2"/>
  <c r="AZ10" i="2"/>
  <c r="BA10" i="2"/>
  <c r="AZ35" i="2"/>
  <c r="BA35" i="2"/>
  <c r="AZ25" i="2"/>
  <c r="BA25" i="2"/>
  <c r="AZ28" i="2"/>
  <c r="BA28" i="2"/>
  <c r="AZ13" i="2"/>
  <c r="BA13" i="2"/>
  <c r="AZ29" i="2"/>
  <c r="BA29" i="2"/>
  <c r="AZ15" i="2"/>
  <c r="BA15" i="2"/>
  <c r="AZ33" i="2"/>
  <c r="BA33" i="2"/>
  <c r="AZ17" i="2"/>
  <c r="BA17" i="2"/>
  <c r="AZ7" i="2"/>
  <c r="BA7" i="2"/>
  <c r="AZ27" i="2"/>
  <c r="BA27" i="2"/>
  <c r="AZ36" i="2"/>
  <c r="BA36" i="2"/>
  <c r="AZ22" i="2"/>
  <c r="BA22" i="2"/>
  <c r="AZ20" i="2"/>
  <c r="BA20" i="2"/>
  <c r="AZ16" i="2"/>
  <c r="BA16" i="2"/>
  <c r="BW27" i="2"/>
  <c r="BY27" i="2"/>
  <c r="CD27" i="2"/>
  <c r="CD5" i="2"/>
  <c r="BW28" i="2"/>
  <c r="BY28" i="2"/>
  <c r="CD28" i="2"/>
  <c r="BJ9" i="2"/>
  <c r="BK9" i="2"/>
  <c r="BJ17" i="2"/>
  <c r="BK17" i="2"/>
  <c r="BJ23" i="2"/>
  <c r="BK23" i="2"/>
  <c r="BJ19" i="2"/>
  <c r="BK19" i="2"/>
  <c r="BJ36" i="2"/>
  <c r="BK36" i="2"/>
  <c r="BJ30" i="2"/>
  <c r="BK30" i="2"/>
  <c r="BJ25" i="2"/>
  <c r="BK25" i="2"/>
  <c r="BJ15" i="2"/>
  <c r="BK15" i="2"/>
  <c r="BJ12" i="2"/>
  <c r="BK12" i="2"/>
  <c r="BJ21" i="2"/>
  <c r="BK21" i="2"/>
  <c r="BJ13" i="2"/>
  <c r="BK13" i="2"/>
  <c r="BJ28" i="2"/>
  <c r="BK28" i="2"/>
  <c r="BJ27" i="2"/>
  <c r="BK27" i="2"/>
  <c r="BJ8" i="2"/>
  <c r="BK8" i="2"/>
  <c r="BJ7" i="2"/>
  <c r="BK7" i="2"/>
  <c r="BJ34" i="2"/>
  <c r="BK34" i="2"/>
  <c r="BJ29" i="2"/>
  <c r="BK29" i="2"/>
  <c r="BJ22" i="2"/>
  <c r="BK22" i="2"/>
  <c r="BJ33" i="2"/>
  <c r="BK33" i="2"/>
  <c r="BJ26" i="2"/>
  <c r="BK26" i="2"/>
  <c r="BJ6" i="2"/>
  <c r="BK6" i="2"/>
  <c r="BJ24" i="2"/>
  <c r="BK24" i="2"/>
  <c r="BJ32" i="2"/>
  <c r="BK32" i="2"/>
  <c r="BJ31" i="2"/>
  <c r="BK31" i="2"/>
  <c r="BJ16" i="2"/>
  <c r="BK16" i="2"/>
  <c r="BJ18" i="2"/>
  <c r="BK18" i="2"/>
  <c r="BJ5" i="2"/>
  <c r="BK5" i="2"/>
  <c r="BJ11" i="2"/>
  <c r="BK11" i="2"/>
  <c r="BJ20" i="2"/>
  <c r="BK20" i="2"/>
  <c r="BJ35" i="2"/>
  <c r="BK35" i="2"/>
  <c r="BJ14" i="2"/>
  <c r="BK14" i="2"/>
  <c r="BJ10" i="2"/>
  <c r="BK10" i="2"/>
  <c r="BW14" i="2"/>
  <c r="BY14" i="2"/>
  <c r="CD14" i="2"/>
  <c r="BW20" i="2"/>
  <c r="BY20" i="2"/>
  <c r="CD20" i="2"/>
  <c r="BW12" i="2"/>
  <c r="BY12" i="2"/>
  <c r="CD12" i="2"/>
  <c r="BW26" i="2"/>
  <c r="BY26" i="2"/>
  <c r="CD26" i="2"/>
  <c r="BW18" i="2"/>
  <c r="BY18" i="2"/>
  <c r="CD18" i="2"/>
  <c r="BW6" i="2"/>
  <c r="BY6" i="2"/>
  <c r="CD6" i="2"/>
  <c r="BW34" i="2"/>
  <c r="BY34" i="2"/>
  <c r="CD34" i="2"/>
  <c r="BW13" i="2"/>
  <c r="BY13" i="2"/>
  <c r="CD13" i="2"/>
  <c r="BW24" i="2"/>
  <c r="BY24" i="2"/>
  <c r="CD24" i="2"/>
  <c r="BW15" i="2"/>
  <c r="BY15" i="2"/>
  <c r="CD15" i="2"/>
  <c r="BW10" i="2"/>
  <c r="BY10" i="2"/>
  <c r="CD10" i="2"/>
  <c r="BW23" i="2"/>
  <c r="BY23" i="2"/>
  <c r="CD23" i="2"/>
  <c r="BW17" i="2"/>
  <c r="BY17" i="2"/>
  <c r="CD17" i="2"/>
  <c r="BW36" i="2"/>
  <c r="BY36" i="2"/>
  <c r="CD36" i="2"/>
  <c r="BM20" i="2"/>
  <c r="BL20" i="2"/>
  <c r="BM16" i="2"/>
  <c r="BL16" i="2"/>
  <c r="BL6" i="2"/>
  <c r="BM6" i="2"/>
  <c r="BM29" i="2"/>
  <c r="BL29" i="2"/>
  <c r="BL27" i="2"/>
  <c r="BM27" i="2"/>
  <c r="BM12" i="2"/>
  <c r="BL12" i="2"/>
  <c r="BM36" i="2"/>
  <c r="BL36" i="2"/>
  <c r="BM9" i="2"/>
  <c r="BL9" i="2"/>
  <c r="BZ9" i="2"/>
  <c r="CA9" i="2"/>
  <c r="CB9" i="2"/>
  <c r="CE5" i="2"/>
  <c r="CE26" i="2"/>
  <c r="CE31" i="2"/>
  <c r="CE6" i="2"/>
  <c r="CE32" i="2"/>
  <c r="CE28" i="2"/>
  <c r="CE36" i="2"/>
  <c r="CE18" i="2"/>
  <c r="CE23" i="2"/>
  <c r="CE30" i="2"/>
  <c r="CE25" i="2"/>
  <c r="CC26" i="2"/>
  <c r="CE20" i="2"/>
  <c r="CE17" i="2"/>
  <c r="CE22" i="2"/>
  <c r="CE14" i="2"/>
  <c r="CE8" i="2"/>
  <c r="CE7" i="2"/>
  <c r="CE21" i="2"/>
  <c r="CE29" i="2"/>
  <c r="CC30" i="2"/>
  <c r="CE19" i="2"/>
  <c r="CC20" i="2"/>
  <c r="CE12" i="2"/>
  <c r="CE24" i="2"/>
  <c r="CE27" i="2"/>
  <c r="CC28" i="2"/>
  <c r="CE10" i="2"/>
  <c r="CE11" i="2"/>
  <c r="CC12" i="2"/>
  <c r="CE33" i="2"/>
  <c r="CE15" i="2"/>
  <c r="CE16" i="2"/>
  <c r="CE34" i="2"/>
  <c r="CE35" i="2"/>
  <c r="CE9" i="2"/>
  <c r="CE13" i="2"/>
  <c r="BZ18" i="2"/>
  <c r="CA18" i="2"/>
  <c r="CB18" i="2"/>
  <c r="BZ26" i="2"/>
  <c r="CA26" i="2"/>
  <c r="CB26" i="2"/>
  <c r="BZ31" i="2"/>
  <c r="CA31" i="2"/>
  <c r="CB31" i="2"/>
  <c r="BZ30" i="2"/>
  <c r="CA30" i="2"/>
  <c r="CB30" i="2"/>
  <c r="BZ5" i="2"/>
  <c r="CA5" i="2"/>
  <c r="CB5" i="2"/>
  <c r="BZ10" i="2"/>
  <c r="CA10" i="2"/>
  <c r="CB10" i="2"/>
  <c r="BC16" i="2"/>
  <c r="BB16" i="2"/>
  <c r="BB27" i="2"/>
  <c r="BC27" i="2"/>
  <c r="BC15" i="2"/>
  <c r="BB15" i="2"/>
  <c r="BB25" i="2"/>
  <c r="BC25" i="2"/>
  <c r="BC9" i="2"/>
  <c r="BB9" i="2"/>
  <c r="BB34" i="2"/>
  <c r="BC34" i="2"/>
  <c r="BC11" i="2"/>
  <c r="BB11" i="2"/>
  <c r="BB12" i="2"/>
  <c r="BC12" i="2"/>
  <c r="BM10" i="2"/>
  <c r="BL10" i="2"/>
  <c r="BL11" i="2"/>
  <c r="BM11" i="2"/>
  <c r="BM31" i="2"/>
  <c r="BL31" i="2"/>
  <c r="BM26" i="2"/>
  <c r="BL26" i="2"/>
  <c r="BL34" i="2"/>
  <c r="BM34" i="2"/>
  <c r="BL28" i="2"/>
  <c r="BM28" i="2"/>
  <c r="BL15" i="2"/>
  <c r="BM15" i="2"/>
  <c r="BL19" i="2"/>
  <c r="BM19" i="2"/>
  <c r="BZ7" i="2"/>
  <c r="CA7" i="2"/>
  <c r="CB7" i="2"/>
  <c r="BZ28" i="2"/>
  <c r="CA28" i="2"/>
  <c r="CB28" i="2"/>
  <c r="BZ22" i="2"/>
  <c r="CA22" i="2"/>
  <c r="CB22" i="2"/>
  <c r="BZ35" i="2"/>
  <c r="CA35" i="2"/>
  <c r="CB35" i="2"/>
  <c r="BZ8" i="2"/>
  <c r="CA8" i="2"/>
  <c r="CB8" i="2"/>
  <c r="BZ27" i="2"/>
  <c r="CA27" i="2"/>
  <c r="CB27" i="2"/>
  <c r="BZ21" i="2"/>
  <c r="CA21" i="2"/>
  <c r="CB21" i="2"/>
  <c r="BZ32" i="2"/>
  <c r="CA32" i="2"/>
  <c r="CB32" i="2"/>
  <c r="BC20" i="2"/>
  <c r="BB20" i="2"/>
  <c r="BB7" i="2"/>
  <c r="BC7" i="2"/>
  <c r="BC29" i="2"/>
  <c r="BB29" i="2"/>
  <c r="BB35" i="2"/>
  <c r="BC35" i="2"/>
  <c r="BB21" i="2"/>
  <c r="BC21" i="2"/>
  <c r="BC19" i="2"/>
  <c r="BB19" i="2"/>
  <c r="BB24" i="2"/>
  <c r="BC24" i="2"/>
  <c r="BC23" i="2"/>
  <c r="BB23" i="2"/>
  <c r="BM14" i="2"/>
  <c r="BL14" i="2"/>
  <c r="BM5" i="2"/>
  <c r="BL5" i="2"/>
  <c r="BM32" i="2"/>
  <c r="BL32" i="2"/>
  <c r="BL33" i="2"/>
  <c r="BM33" i="2"/>
  <c r="BM7" i="2"/>
  <c r="BL7" i="2"/>
  <c r="BM13" i="2"/>
  <c r="BL13" i="2"/>
  <c r="BM25" i="2"/>
  <c r="BL25" i="2"/>
  <c r="BL23" i="2"/>
  <c r="BM23" i="2"/>
  <c r="BZ29" i="2"/>
  <c r="CA29" i="2"/>
  <c r="CB29" i="2"/>
  <c r="BZ17" i="2"/>
  <c r="CA17" i="2"/>
  <c r="CB17" i="2"/>
  <c r="BZ13" i="2"/>
  <c r="CA13" i="2"/>
  <c r="CB13" i="2"/>
  <c r="BZ24" i="2"/>
  <c r="CA24" i="2"/>
  <c r="CB24" i="2"/>
  <c r="BZ34" i="2"/>
  <c r="CA34" i="2"/>
  <c r="CB34" i="2"/>
  <c r="BZ36" i="2"/>
  <c r="CA36" i="2"/>
  <c r="CB36" i="2"/>
  <c r="BZ23" i="2"/>
  <c r="CA23" i="2"/>
  <c r="CB23" i="2"/>
  <c r="BZ15" i="2"/>
  <c r="CA15" i="2"/>
  <c r="CB15" i="2"/>
  <c r="BZ19" i="2"/>
  <c r="CA19" i="2"/>
  <c r="CB19" i="2"/>
  <c r="BC22" i="2"/>
  <c r="BB22" i="2"/>
  <c r="BB17" i="2"/>
  <c r="BC17" i="2"/>
  <c r="BC13" i="2"/>
  <c r="BB13" i="2"/>
  <c r="BB10" i="2"/>
  <c r="BC10" i="2"/>
  <c r="BC5" i="2"/>
  <c r="BB5" i="2"/>
  <c r="BC31" i="2"/>
  <c r="BB31" i="2"/>
  <c r="BC26" i="2"/>
  <c r="BB26" i="2"/>
  <c r="BB32" i="2"/>
  <c r="BC32" i="2"/>
  <c r="BM35" i="2"/>
  <c r="BL35" i="2"/>
  <c r="BL18" i="2"/>
  <c r="BM18" i="2"/>
  <c r="BL24" i="2"/>
  <c r="BM24" i="2"/>
  <c r="BL22" i="2"/>
  <c r="BM22" i="2"/>
  <c r="BM8" i="2"/>
  <c r="BL8" i="2"/>
  <c r="BL21" i="2"/>
  <c r="BM21" i="2"/>
  <c r="BM30" i="2"/>
  <c r="BL30" i="2"/>
  <c r="BM17" i="2"/>
  <c r="BL17" i="2"/>
  <c r="BZ12" i="2"/>
  <c r="CA12" i="2"/>
  <c r="CB12" i="2"/>
  <c r="BZ20" i="2"/>
  <c r="CA20" i="2"/>
  <c r="CB20" i="2"/>
  <c r="BZ14" i="2"/>
  <c r="CA14" i="2"/>
  <c r="CB14" i="2"/>
  <c r="BZ25" i="2"/>
  <c r="CA25" i="2"/>
  <c r="CB25" i="2"/>
  <c r="BZ16" i="2"/>
  <c r="CA16" i="2"/>
  <c r="CB16" i="2"/>
  <c r="BZ11" i="2"/>
  <c r="CA11" i="2"/>
  <c r="CB11" i="2"/>
  <c r="BZ6" i="2"/>
  <c r="CA6" i="2"/>
  <c r="CB6" i="2"/>
  <c r="BZ33" i="2"/>
  <c r="CA33" i="2"/>
  <c r="CB33" i="2"/>
  <c r="BB36" i="2"/>
  <c r="BC36" i="2"/>
  <c r="BB33" i="2"/>
  <c r="BC33" i="2"/>
  <c r="BC28" i="2"/>
  <c r="BB28" i="2"/>
  <c r="BC6" i="2"/>
  <c r="BB6" i="2"/>
  <c r="BB30" i="2"/>
  <c r="BC30" i="2"/>
  <c r="BB14" i="2"/>
  <c r="BC14" i="2"/>
  <c r="BB8" i="2"/>
  <c r="BC8" i="2"/>
  <c r="BB18" i="2"/>
  <c r="BC18" i="2"/>
  <c r="CC22" i="2"/>
  <c r="CC16" i="2"/>
  <c r="CC10" i="2"/>
  <c r="CC23" i="2"/>
  <c r="CC17" i="2"/>
  <c r="CC32" i="2"/>
  <c r="CC8" i="2"/>
  <c r="CC18" i="2"/>
  <c r="CC34" i="2"/>
  <c r="CC15" i="2"/>
  <c r="CC36" i="2"/>
  <c r="CC25" i="2"/>
  <c r="CC31" i="2"/>
  <c r="CC29" i="2"/>
  <c r="CC27" i="2"/>
  <c r="CC35" i="2"/>
  <c r="CC13" i="2"/>
  <c r="CC24" i="2"/>
  <c r="CC33" i="2"/>
  <c r="CC6" i="2"/>
  <c r="CC14" i="2"/>
  <c r="CC11" i="2"/>
  <c r="CC9" i="2"/>
  <c r="CC21" i="2"/>
  <c r="CC19" i="2"/>
  <c r="CC7" i="2"/>
</calcChain>
</file>

<file path=xl/sharedStrings.xml><?xml version="1.0" encoding="utf-8"?>
<sst xmlns="http://schemas.openxmlformats.org/spreadsheetml/2006/main" count="9360" uniqueCount="343">
  <si>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</si>
  <si>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</si>
  <si>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</si>
  <si>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</si>
  <si>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</si>
  <si>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</si>
  <si>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</si>
  <si>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</si>
  <si>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</si>
  <si>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</si>
  <si>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</si>
  <si>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</si>
  <si>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</si>
  <si>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</si>
  <si>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</si>
  <si>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</si>
  <si>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</si>
  <si>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</si>
  <si>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</si>
  <si>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</si>
  <si>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</si>
  <si>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</si>
  <si>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</si>
  <si>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</si>
  <si>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</si>
  <si>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</si>
  <si>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</si>
  <si>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</si>
  <si>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</si>
  <si>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</si>
  <si>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</si>
  <si>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</si>
  <si>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</si>
  <si>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</si>
  <si>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</si>
  <si>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</si>
  <si>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</si>
  <si>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</si>
  <si>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</si>
  <si>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</si>
  <si>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</si>
  <si>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</si>
  <si>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</si>
  <si>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</si>
  <si>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</si>
  <si>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</si>
  <si>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</si>
  <si>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</si>
  <si>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</si>
  <si>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</si>
  <si>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</si>
  <si>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</si>
  <si>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</si>
  <si>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</si>
  <si>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</si>
  <si>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</si>
  <si>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</si>
  <si>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</si>
  <si>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</si>
  <si>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</si>
  <si>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</si>
  <si>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</si>
  <si>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</si>
  <si>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</si>
  <si>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</si>
  <si>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</si>
  <si>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</si>
  <si>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</si>
  <si>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</si>
  <si>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</si>
  <si>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</si>
  <si>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</si>
  <si>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</si>
  <si>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</si>
  <si>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</si>
  <si>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</si>
  <si>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</si>
  <si>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</si>
  <si>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</si>
  <si>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</si>
  <si>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</si>
  <si>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</si>
  <si>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</si>
  <si>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</si>
  <si>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</si>
  <si>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</si>
  <si>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</si>
  <si>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</si>
  <si>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</si>
  <si>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</si>
  <si>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</si>
  <si>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</si>
  <si>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</si>
  <si>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</si>
  <si>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</si>
  <si>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</si>
  <si>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</si>
  <si>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</si>
  <si>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</si>
  <si>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</si>
  <si>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</si>
  <si>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</si>
  <si>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</si>
  <si>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</si>
  <si>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</si>
  <si>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</si>
  <si>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</si>
  <si>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</si>
  <si>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</si>
  <si>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</si>
  <si>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</si>
  <si>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</si>
  <si>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</si>
  <si>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</si>
  <si>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</si>
  <si>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</si>
  <si>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</si>
  <si>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</si>
  <si>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</si>
  <si>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</si>
  <si>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</si>
  <si>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</si>
  <si>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</si>
  <si>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</si>
  <si>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</si>
  <si>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</si>
  <si>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</si>
  <si>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</si>
  <si>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</si>
  <si>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</si>
  <si>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</si>
  <si>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</si>
  <si>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</si>
  <si>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</si>
  <si>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</si>
  <si>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</si>
  <si>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</si>
  <si>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</si>
  <si>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</si>
  <si>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</si>
  <si>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</si>
  <si>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</si>
  <si>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</si>
  <si>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</si>
  <si>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</si>
  <si>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</si>
  <si>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</si>
  <si>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</si>
  <si>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</si>
  <si>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</si>
  <si>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</si>
  <si>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</si>
  <si>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</si>
  <si>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</si>
  <si>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</si>
  <si>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</si>
  <si>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</si>
  <si>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</si>
  <si>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</si>
  <si>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</si>
  <si>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</si>
  <si>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</si>
  <si>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</si>
  <si>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</si>
  <si>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</si>
  <si>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</si>
  <si>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</si>
  <si>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</si>
  <si>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</si>
  <si>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</si>
  <si>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</si>
  <si>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</si>
  <si>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</si>
  <si>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</si>
  <si>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</si>
  <si>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</si>
  <si>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</si>
  <si>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</si>
  <si>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</si>
  <si>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</si>
  <si>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</si>
  <si>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</si>
  <si>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</si>
  <si>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</si>
  <si>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</si>
  <si>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</si>
  <si>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</si>
  <si>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</si>
  <si>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</si>
  <si>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não jogou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</si>
  <si>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</si>
  <si>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</si>
  <si>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</si>
  <si>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</si>
  <si>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</si>
  <si>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</si>
  <si>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</si>
  <si>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</si>
  <si>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</si>
  <si>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</si>
  <si>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</si>
  <si>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</si>
  <si>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</si>
  <si>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</si>
  <si>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</si>
  <si>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</si>
  <si>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</si>
  <si>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</si>
  <si>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</si>
  <si>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</si>
  <si>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</si>
  <si>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</si>
  <si>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</si>
  <si>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</si>
  <si>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</si>
  <si>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</si>
  <si>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</si>
  <si>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</si>
  <si>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</si>
  <si>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</si>
  <si>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</si>
  <si>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</si>
  <si>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</si>
  <si>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</si>
  <si>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</si>
  <si>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</si>
  <si>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</si>
  <si>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</si>
  <si>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</si>
  <si>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</si>
  <si>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</si>
  <si>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</si>
  <si>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</si>
  <si>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</si>
  <si>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</si>
  <si>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</si>
  <si>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</si>
  <si>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</si>
  <si>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</si>
  <si>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</si>
  <si>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</si>
  <si>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</si>
  <si>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</si>
  <si>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</si>
  <si>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</si>
  <si>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</si>
  <si>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</si>
  <si>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</si>
  <si>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</si>
  <si>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</si>
  <si>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</si>
  <si>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</si>
  <si>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</si>
  <si>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</si>
  <si>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</si>
  <si>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</si>
  <si>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</si>
  <si>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</si>
  <si>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</si>
  <si>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</si>
  <si>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</si>
  <si>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</si>
  <si>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</si>
  <si>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</si>
  <si>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</si>
  <si>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</si>
  <si>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</si>
  <si>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</si>
  <si>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</si>
  <si>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</si>
  <si>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</si>
  <si>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</si>
  <si>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</si>
  <si>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</si>
  <si>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</si>
  <si>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</si>
  <si>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</si>
  <si>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</si>
  <si>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</si>
  <si>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</si>
  <si>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</si>
  <si>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</si>
  <si>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</si>
  <si>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</si>
  <si>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</si>
  <si>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</si>
  <si>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</si>
  <si>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</si>
  <si>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</si>
  <si>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</si>
  <si>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</si>
  <si>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</si>
  <si>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</si>
  <si>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</si>
  <si>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</si>
  <si>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</si>
  <si>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</si>
  <si>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</si>
  <si>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</si>
  <si>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</si>
  <si>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</si>
  <si>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</si>
  <si>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</si>
  <si>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</si>
  <si>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</si>
  <si>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</si>
  <si>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</si>
  <si>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gols1</t>
  </si>
  <si>
    <t>gols2</t>
  </si>
  <si>
    <t>jogo49</t>
  </si>
  <si>
    <t>jogo50</t>
  </si>
  <si>
    <t>jogo51</t>
  </si>
  <si>
    <t>jogo52</t>
  </si>
  <si>
    <t>jogo53</t>
  </si>
  <si>
    <t>jogo54</t>
  </si>
  <si>
    <t>jogo55</t>
  </si>
  <si>
    <t>jogo56</t>
  </si>
  <si>
    <t>jogo57</t>
  </si>
  <si>
    <t>jogo58</t>
  </si>
  <si>
    <t>jogo59</t>
  </si>
  <si>
    <t>jogo60</t>
  </si>
  <si>
    <t>jogo61</t>
  </si>
  <si>
    <t>jogo62</t>
  </si>
  <si>
    <t>jogo63</t>
  </si>
  <si>
    <t>jogo64</t>
  </si>
  <si>
    <t>O1</t>
  </si>
  <si>
    <t>O2</t>
  </si>
  <si>
    <t>O3</t>
  </si>
  <si>
    <t>O4</t>
  </si>
  <si>
    <t>O5</t>
  </si>
  <si>
    <t>O6</t>
  </si>
  <si>
    <t>O7</t>
  </si>
  <si>
    <t>O8</t>
  </si>
  <si>
    <t>Q1</t>
  </si>
  <si>
    <t>Q2</t>
  </si>
  <si>
    <t>Q3</t>
  </si>
  <si>
    <t>Q4</t>
  </si>
  <si>
    <t>S1</t>
  </si>
  <si>
    <t>S2</t>
  </si>
  <si>
    <t>T1</t>
  </si>
  <si>
    <t>P1</t>
  </si>
  <si>
    <t>Participante</t>
  </si>
  <si>
    <t>Acertos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</si>
</sst>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General\º"/>
    <numFmt numFmtId="166" formatCode="00&quot;:&quot;00"/>
    <numFmt numFmtId="167" formatCode="h:mm"/>
  </numFmts>
  <fonts count="6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618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right" vertical="center"/>
      <protection hidden="1"/>
    </xf>
    <xf numFmtId="0" fontId="8" fillId="2" borderId="24" xfId="0" applyFont="1" applyFill="1" applyBorder="1" applyAlignment="1" applyProtection="1">
      <alignment horizontal="right" vertical="center"/>
      <protection hidden="1"/>
    </xf>
    <xf numFmtId="0" fontId="2" fillId="3" borderId="24" xfId="0" applyFont="1" applyFill="1" applyBorder="1" applyAlignment="1" applyProtection="1">
      <alignment horizontal="center" vertical="center"/>
      <protection hidden="1"/>
    </xf>
    <xf numFmtId="0" fontId="8" fillId="2" borderId="25" xfId="0" applyFont="1" applyFill="1" applyBorder="1" applyAlignment="1" applyProtection="1">
      <alignment horizontal="left" vertical="center"/>
      <protection hidden="1"/>
    </xf>
    <xf numFmtId="0" fontId="8" fillId="2" borderId="16" xfId="0" applyFont="1" applyFill="1" applyBorder="1" applyAlignment="1" applyProtection="1">
      <alignment horizontal="right" vertical="center"/>
      <protection hidden="1"/>
    </xf>
    <xf numFmtId="0" fontId="8" fillId="2" borderId="91" xfId="0" applyFont="1" applyFill="1" applyBorder="1" applyAlignment="1" applyProtection="1">
      <alignment horizontal="right" vertical="center"/>
      <protection hidden="1"/>
    </xf>
    <xf numFmtId="0" fontId="2" fillId="3" borderId="91" xfId="0" applyFont="1" applyFill="1" applyBorder="1" applyAlignment="1" applyProtection="1">
      <alignment horizontal="center" vertical="center"/>
      <protection hidden="1"/>
    </xf>
    <xf numFmtId="0" fontId="8" fillId="2" borderId="17" xfId="0" applyFont="1" applyFill="1" applyBorder="1" applyAlignment="1" applyProtection="1">
      <alignment horizontal="left" vertical="center"/>
      <protection hidden="1"/>
    </xf>
    <xf numFmtId="0" fontId="8" fillId="2" borderId="20" xfId="0" applyFont="1" applyFill="1" applyBorder="1" applyAlignment="1" applyProtection="1">
      <alignment horizontal="right" vertical="center"/>
      <protection hidden="1"/>
    </xf>
    <xf numFmtId="0" fontId="8" fillId="2" borderId="90" xfId="0" applyFont="1" applyFill="1" applyBorder="1" applyAlignment="1" applyProtection="1">
      <alignment horizontal="right" vertical="center"/>
      <protection hidden="1"/>
    </xf>
    <xf numFmtId="0" fontId="2" fillId="3" borderId="90" xfId="0" applyFont="1" applyFill="1" applyBorder="1" applyAlignment="1" applyProtection="1">
      <alignment horizontal="center" vertical="center"/>
      <protection hidden="1"/>
    </xf>
    <xf numFmtId="0" fontId="8" fillId="2" borderId="21" xfId="0" applyFont="1" applyFill="1" applyBorder="1" applyAlignment="1" applyProtection="1">
      <alignment horizontal="left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12" xfId="0" applyFont="1" applyFill="1" applyBorder="1" applyAlignment="1" applyProtection="1">
      <alignment horizontal="right" vertical="center"/>
      <protection hidden="1"/>
    </xf>
    <xf numFmtId="0" fontId="8" fillId="2" borderId="13" xfId="0" applyFont="1" applyFill="1" applyBorder="1" applyAlignment="1" applyProtection="1">
      <alignment horizontal="right" vertical="center"/>
      <protection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8" fillId="2" borderId="14" xfId="0" applyFont="1" applyFill="1" applyBorder="1" applyAlignment="1" applyProtection="1">
      <alignment horizontal="left" vertical="center"/>
      <protection hidden="1"/>
    </xf>
    <xf numFmtId="0" fontId="0" fillId="0" borderId="24" xfId="0" applyBorder="1" applyAlignment="1" applyProtection="1">
      <alignment vertical="center"/>
      <protection hidden="1"/>
    </xf>
    <xf numFmtId="0" fontId="17" fillId="3" borderId="0" xfId="0" applyFont="1" applyFill="1" applyBorder="1" applyAlignment="1">
      <alignment horizontal="center" vertical="center"/>
    </xf>
    <xf numFmtId="14" fontId="38" fillId="0" borderId="92" xfId="0" applyNumberFormat="1" applyFont="1" applyBorder="1" applyAlignment="1" applyProtection="1">
      <alignment horizontal="center" vertical="center"/>
      <protection hidden="1"/>
    </xf>
    <xf numFmtId="167" fontId="38" fillId="0" borderId="92" xfId="0" applyNumberFormat="1" applyFont="1" applyBorder="1" applyAlignment="1" applyProtection="1">
      <alignment horizontal="center" vertical="center"/>
      <protection hidden="1"/>
    </xf>
    <xf numFmtId="0" fontId="38" fillId="0" borderId="92" xfId="0" applyFont="1" applyBorder="1" applyAlignment="1" applyProtection="1">
      <alignment horizontal="center" vertical="center"/>
      <protection hidden="1"/>
    </xf>
    <xf numFmtId="0" fontId="8" fillId="0" borderId="92" xfId="0" applyFont="1" applyBorder="1" applyAlignment="1" applyProtection="1">
      <alignment horizontal="right" vertical="center"/>
      <protection hidden="1"/>
    </xf>
    <xf numFmtId="0" fontId="11" fillId="2" borderId="2" xfId="0" applyFont="1" applyFill="1" applyBorder="1" applyAlignment="1" applyProtection="1">
      <alignment vertical="center"/>
      <protection locked="0"/>
    </xf>
    <xf numFmtId="0" fontId="8" fillId="0" borderId="92" xfId="0" applyFont="1" applyBorder="1" applyAlignment="1" applyProtection="1">
      <alignment vertical="center"/>
      <protection hidden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59" fillId="10" borderId="0" xfId="0" applyFont="1" applyFill="1"/>
    <xf numFmtId="49" fontId="0" fillId="0" borderId="0" xfId="0" applyNumberFormat="1"/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103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id="{00000000-0008-0000-02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76</xdr:row>
      <xdr:rowOff>19050</xdr:rowOff>
    </xdr:from>
    <xdr:to>
      <xdr:col>11</xdr:col>
      <xdr:colOff>9525</xdr:colOff>
      <xdr:row>78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58119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58121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47825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48284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148667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54101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82142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57523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2705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48017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51866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48016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52445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41475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48018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51867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46670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41475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48017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46671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41475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55330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46671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49621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48018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29884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46534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48265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53021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46533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48266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46534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57703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43071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46534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46535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43071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84634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158423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105" name="Imagem 17" descr="escudo_croacia_200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106" name="Imagem 77" descr="escudo_argentina_200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107" name="Imagem 78" descr="escudo_argentina_200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108" name="Imagem 79" descr="escudo_ira_200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109" name="Imagem 85" descr="escudo_alemanha_200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110" name="Imagem 87" descr="escudo_alemanha_200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11" name="Imagem 90" descr="escudo_portugal_200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2" name="Picture 478" descr="marrocos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3" name="Picture 486" descr="dinamarca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14" name="Picture 503" descr="tunisia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15" name="Imagem 30" descr="escudo_espanha_200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16" name="Imagem 78" descr="escudo_argentina_200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17" name="Imagem 65" descr="escudo_suica_200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18" name="Imagem 87" descr="escudo_alemanha_200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19" name="Imagem 118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21" name="Imagem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124" name="Imagem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125" name="Imagem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126" name="Imagem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128" name="Imagem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129" name="Imagem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130" name="Imagem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132" name="Imagem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134" name="Imagem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135" name="Imagem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136" name="Imagem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138" name="Imagem 79" descr="escudo_ira_200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139" name="Imagem 79" descr="escudo_ira_200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140" name="Imagem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142" name="Imagem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143" name="Imagem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145" name="Imagem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146" name="Imagem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149" name="Imagem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150" name="Imagem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154" name="Imagem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161" name="Picture 486" descr="dinamarca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162" name="Picture 486" descr="dinamarca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163" name="Picture 503" descr="tunisia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164" name="Picture 503" descr="tunisia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165" name="Imagem 30" descr="escudo_espanha_200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166" name="Imagem 30" descr="escudo_espanha_200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172" name="Imagem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173" name="Picture 478" descr="marrocos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174" name="Picture 478" descr="marrocos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175" name="Imagem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176" name="Imagem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178" name="Imagem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180" name="Imagem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181" name="Imagem 17" descr="escudo_croacia_200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182" name="Imagem 17" descr="escudo_croacia_200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183" name="Imagem 65" descr="escudo_suica_200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184" name="Imagem 65" descr="escudo_suica_200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186" name="Imagem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187" name="Imagem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188" name="Imagem 90" descr="escudo_portugal_200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189" name="Imagem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190" name="Imagem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192" name="Imagem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194" name="Imagem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195" name="Imagem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197" name="Imagem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98" name="Imagem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99" name="Imagem 198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200" name="Imagem 199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201" name="Imagem 200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88"/>
  <sheetViews>
    <sheetView workbookViewId="0">
      <selection activeCell="B20" sqref="B20"/>
    </sheetView>
  </sheetViews>
  <sheetFormatPr defaultRowHeight="15" x14ac:dyDescent="0.2"/>
  <cols>
    <col min="1" max="1" width="48.42578125" bestFit="1" customWidth="1"/>
    <col min="2" max="2" width="9.14453125" customWidth="1"/>
    <col min="3" max="3" width="10.22265625" bestFit="1" customWidth="1"/>
    <col min="9" max="9" width="48.42578125" bestFit="1" customWidth="1"/>
  </cols>
  <sheetData>
    <row r="1" spans="1:9" x14ac:dyDescent="0.2">
      <c r="A1" s="319" t="s">
        <v>175</v>
      </c>
      <c r="B1" s="319" t="s">
        <v>187</v>
      </c>
      <c r="C1" s="319" t="s">
        <v>188</v>
      </c>
      <c r="D1" s="319"/>
      <c r="F1" s="319" t="s">
        <v>253</v>
      </c>
      <c r="G1" s="319" t="s">
        <v>254</v>
      </c>
      <c r="I1" s="319" t="s">
        <v>172</v>
      </c>
    </row>
    <row r="2" spans="1:9" x14ac:dyDescent="0.2">
      <c r="A2" t="s">
        <v>186</v>
      </c>
      <c r="B2" s="325"/>
      <c r="C2">
        <f>SUM(Germano!N:N)+SUM(Germano!Q:Q)</f>
        <v>230</v>
      </c>
    </row>
    <row r="3" spans="1:9" x14ac:dyDescent="0.2">
      <c r="A3" t="s">
        <v>180</v>
      </c>
      <c r="B3" s="325"/>
      <c r="C3">
        <f>SUM(Albenice!N:N)+SUM(Albenice!Q:Q)</f>
        <v>210</v>
      </c>
    </row>
    <row r="4" spans="1:9" x14ac:dyDescent="0.2">
      <c r="A4" t="s">
        <v>185</v>
      </c>
      <c r="B4" s="325"/>
      <c r="C4">
        <f>SUM(Denise!N:N)+SUM(Denise!Q:Q)</f>
        <v>180</v>
      </c>
    </row>
    <row r="5" spans="1:9" x14ac:dyDescent="0.2">
      <c r="A5" t="s">
        <v>200</v>
      </c>
      <c r="B5" s="325"/>
      <c r="C5">
        <f>SUM(Claudio!N:N)+SUM(Claudio!Q:Q)</f>
        <v>200</v>
      </c>
    </row>
    <row r="6" spans="1:9" x14ac:dyDescent="0.2">
      <c r="A6" t="s">
        <v>204</v>
      </c>
      <c r="B6" s="325"/>
      <c r="C6">
        <f>SUM(Priscilla!N:N)+SUM(Priscilla!Q:Q)</f>
        <v>200</v>
      </c>
    </row>
    <row r="7" spans="1:9" x14ac:dyDescent="0.2">
      <c r="A7" t="s">
        <v>184</v>
      </c>
      <c r="B7" s="325"/>
      <c r="C7">
        <f>SUM(Adalberto!N:N)+SUM(Adalberto!Q:Q)</f>
        <v>185</v>
      </c>
    </row>
    <row r="8" spans="1:9" x14ac:dyDescent="0.2">
      <c r="A8" t="s">
        <v>177</v>
      </c>
      <c r="B8" s="325"/>
      <c r="C8">
        <f>SUM(Marcus!N:N)+SUM(Marcus!Q:Q)</f>
        <v>165</v>
      </c>
    </row>
    <row r="9" spans="1:9" x14ac:dyDescent="0.2">
      <c r="A9" t="s">
        <v>178</v>
      </c>
      <c r="B9" s="325"/>
      <c r="C9">
        <f>SUM(Silvia!N:N)+SUM(Silvia!Q:Q)</f>
        <v>185</v>
      </c>
    </row>
    <row r="10" spans="1:9" x14ac:dyDescent="0.2">
      <c r="A10" t="s">
        <v>181</v>
      </c>
      <c r="B10" s="325"/>
      <c r="C10">
        <f>SUM(Eduardo!N:N)+SUM(Eduardo!Q:Q)</f>
        <v>170</v>
      </c>
    </row>
    <row r="11" spans="1:9" x14ac:dyDescent="0.2">
      <c r="A11" t="s">
        <v>201</v>
      </c>
      <c r="B11" s="325"/>
      <c r="C11">
        <f>SUM(Flavio!N:N)+SUM(Flavio!Q:Q)</f>
        <v>170</v>
      </c>
    </row>
    <row r="12" spans="1:9" x14ac:dyDescent="0.2">
      <c r="A12" t="s">
        <v>183</v>
      </c>
      <c r="B12" s="390"/>
      <c r="C12">
        <f>SUM(Girlayne!N:N)+SUM(Girlayne!Q:Q)</f>
        <v>165</v>
      </c>
    </row>
    <row r="13" spans="1:9" x14ac:dyDescent="0.2">
      <c r="A13" t="s">
        <v>202</v>
      </c>
      <c r="B13" s="325"/>
      <c r="C13">
        <f>SUM(Laurindo!N:N)+SUM(Laurindo!Q:Q)</f>
        <v>155</v>
      </c>
    </row>
    <row r="14" spans="1:9" x14ac:dyDescent="0.2">
      <c r="A14" t="s">
        <v>182</v>
      </c>
      <c r="B14" s="325"/>
      <c r="C14">
        <f>SUM(Andrea!N:N)+SUM(Andrea!Q:Q)</f>
        <v>165</v>
      </c>
    </row>
    <row r="15" spans="1:9" x14ac:dyDescent="0.2">
      <c r="A15" t="s">
        <v>203</v>
      </c>
      <c r="B15" s="325"/>
      <c r="C15">
        <f>SUM(Adriano!N:N)+SUM(Adriano!Q:Q)</f>
        <v>160</v>
      </c>
    </row>
    <row r="16" spans="1:9" x14ac:dyDescent="0.2">
      <c r="A16" t="s">
        <v>179</v>
      </c>
      <c r="B16" s="325"/>
      <c r="C16">
        <f>SUM(Rubiane!N:N)+SUM(Rubiane!Q:Q)</f>
        <v>145</v>
      </c>
    </row>
    <row r="17" spans="1:10" x14ac:dyDescent="0.2">
      <c r="A17" t="s">
        <v>199</v>
      </c>
      <c r="B17" s="325"/>
      <c r="C17">
        <f>SUM(Aurea!N:N)+SUM(Aurea!Q:Q)</f>
        <v>115</v>
      </c>
    </row>
    <row r="18" spans="1:10" x14ac:dyDescent="0.2">
      <c r="A18" t="s">
        <v>176</v>
      </c>
      <c r="B18" s="325"/>
      <c r="C18">
        <f>SUM(George!N:N)+SUM(George!$Q$3:$Q$50)</f>
        <v>110</v>
      </c>
    </row>
    <row r="25" spans="1:10" x14ac:dyDescent="0.2">
      <c r="F25" t="str">
        <f>IF(Copa2022!F11="","",IF(Copa2022!F11=Copa2022!H11,"empate",IF(Copa2022!F11&gt;Copa2022!H11,Copa2022!E11,Copa2022!I11)))</f>
        <v>Equador</v>
      </c>
      <c r="G25" t="s">
        <v>205</v>
      </c>
      <c r="I25" t="s">
        <v>165</v>
      </c>
      <c r="J25">
        <v>10</v>
      </c>
    </row>
    <row r="26" spans="1:10" x14ac:dyDescent="0.2">
      <c r="F26" t="str">
        <f>IF(Copa2022!F12="","",IF(Copa2022!F12=Copa2022!H12,"empate",IF(Copa2022!F12&gt;Copa2022!H12,Copa2022!E12,Copa2022!I12)))</f>
        <v>Holanda</v>
      </c>
      <c r="G26" t="s">
        <v>206</v>
      </c>
      <c r="I26" t="s">
        <v>166</v>
      </c>
      <c r="J26">
        <v>5</v>
      </c>
    </row>
    <row r="27" spans="1:10" x14ac:dyDescent="0.2">
      <c r="F27" t="str">
        <f>IF(Copa2022!F13="","",IF(Copa2022!F13=Copa2022!H13,"empate",IF(Copa2022!F13&gt;Copa2022!H13,Copa2022!E13,Copa2022!I13)))</f>
        <v>Senegal</v>
      </c>
      <c r="G27" t="s">
        <v>207</v>
      </c>
      <c r="I27" t="s">
        <v>167</v>
      </c>
      <c r="J27">
        <v>15</v>
      </c>
    </row>
    <row r="28" spans="1:10" x14ac:dyDescent="0.2">
      <c r="F28" t="str">
        <f>IF(Copa2022!F14="","",IF(Copa2022!F14=Copa2022!H14,"empate",IF(Copa2022!F14&gt;Copa2022!H14,Copa2022!E14,Copa2022!I14)))</f>
        <v>empate</v>
      </c>
      <c r="G28" t="s">
        <v>208</v>
      </c>
      <c r="I28" s="319" t="s">
        <v>173</v>
      </c>
    </row>
    <row r="29" spans="1:10" x14ac:dyDescent="0.2">
      <c r="F29" t="str">
        <f>IF(Copa2022!F15="","",IF(Copa2022!F15=Copa2022!H15,"empate",IF(Copa2022!F15&gt;Copa2022!H15,Copa2022!E15,Copa2022!I15)))</f>
        <v>Holanda</v>
      </c>
      <c r="G29" t="s">
        <v>209</v>
      </c>
      <c r="I29" t="s">
        <v>170</v>
      </c>
      <c r="J29">
        <v>25</v>
      </c>
    </row>
    <row r="30" spans="1:10" x14ac:dyDescent="0.2">
      <c r="F30" t="str">
        <f>IF(Copa2022!F16="","",IF(Copa2022!F16=Copa2022!H16,"empate",IF(Copa2022!F16&gt;Copa2022!H16,Copa2022!E16,Copa2022!I16)))</f>
        <v>Senegal</v>
      </c>
      <c r="G30" t="s">
        <v>210</v>
      </c>
      <c r="I30" t="s">
        <v>171</v>
      </c>
      <c r="J30">
        <v>10</v>
      </c>
    </row>
    <row r="31" spans="1:10" x14ac:dyDescent="0.2">
      <c r="F31" t="str">
        <f>IF(Copa2022!F17="","",IF(Copa2022!F17=Copa2022!H17,"empate",IF(Copa2022!F17&gt;Copa2022!H17,Copa2022!E17,Copa2022!I17)))</f>
        <v>Inglaterra</v>
      </c>
      <c r="G31" t="s">
        <v>211</v>
      </c>
      <c r="I31" t="s">
        <v>174</v>
      </c>
      <c r="J31">
        <v>5</v>
      </c>
    </row>
    <row r="32" spans="1:10" x14ac:dyDescent="0.2">
      <c r="F32" t="str">
        <f>IF(Copa2022!F18="","",IF(Copa2022!F18=Copa2022!H18,"empate",IF(Copa2022!F18&gt;Copa2022!H18,Copa2022!E18,Copa2022!I18)))</f>
        <v>empate</v>
      </c>
      <c r="G32" t="s">
        <v>212</v>
      </c>
      <c r="I32" t="s">
        <v>168</v>
      </c>
      <c r="J32">
        <v>50</v>
      </c>
    </row>
    <row r="33" spans="6:10" x14ac:dyDescent="0.2">
      <c r="F33" t="str">
        <f>IF(Copa2022!F19="","",IF(Copa2022!F19=Copa2022!H19,"empate",IF(Copa2022!F19&gt;Copa2022!H19,Copa2022!E19,Copa2022!I19)))</f>
        <v>Irã</v>
      </c>
      <c r="G33" t="s">
        <v>213</v>
      </c>
      <c r="I33" t="s">
        <v>169</v>
      </c>
      <c r="J33">
        <v>30</v>
      </c>
    </row>
    <row r="34" spans="6:10" x14ac:dyDescent="0.2">
      <c r="F34" t="str">
        <f>IF(Copa2022!F20="","",IF(Copa2022!F20=Copa2022!H20,"empate",IF(Copa2022!F20&gt;Copa2022!H20,Copa2022!E20,Copa2022!I20)))</f>
        <v>empate</v>
      </c>
      <c r="G34" t="s">
        <v>214</v>
      </c>
    </row>
    <row r="35" spans="6:10" x14ac:dyDescent="0.2">
      <c r="F35" t="str">
        <f>IF(Copa2022!F21="","",IF(Copa2022!F21=Copa2022!H21,"empate",IF(Copa2022!F21&gt;Copa2022!H21,Copa2022!E21,Copa2022!I21)))</f>
        <v>Inglaterra</v>
      </c>
      <c r="G35" t="s">
        <v>215</v>
      </c>
    </row>
    <row r="36" spans="6:10" x14ac:dyDescent="0.2">
      <c r="F36" t="str">
        <f>IF(Copa2022!F22="","",IF(Copa2022!F22=Copa2022!H22,"empate",IF(Copa2022!F22&gt;Copa2022!H22,Copa2022!E22,Copa2022!I22)))</f>
        <v>Estados Unidos</v>
      </c>
      <c r="G36" t="s">
        <v>216</v>
      </c>
    </row>
    <row r="37" spans="6:10" x14ac:dyDescent="0.2">
      <c r="F37" t="str">
        <f>IF(Copa2022!F23="","",IF(Copa2022!F23=Copa2022!H23,"empate",IF(Copa2022!F23&gt;Copa2022!H23,Copa2022!E23,Copa2022!I23)))</f>
        <v>Arábia Saudita</v>
      </c>
      <c r="G37" t="s">
        <v>217</v>
      </c>
    </row>
    <row r="38" spans="6:10" x14ac:dyDescent="0.2">
      <c r="F38" t="str">
        <f>IF(Copa2022!F24="","",IF(Copa2022!F24=Copa2022!H24,"empate",IF(Copa2022!F24&gt;Copa2022!H24,Copa2022!E24,Copa2022!I24)))</f>
        <v>empate</v>
      </c>
      <c r="G38" t="s">
        <v>218</v>
      </c>
    </row>
    <row r="39" spans="6:10" x14ac:dyDescent="0.2">
      <c r="F39" t="str">
        <f>IF(Copa2022!F25="","",IF(Copa2022!F25=Copa2022!H25,"empate",IF(Copa2022!F25&gt;Copa2022!H25,Copa2022!E25,Copa2022!I25)))</f>
        <v>Polônia</v>
      </c>
      <c r="G39" t="s">
        <v>219</v>
      </c>
    </row>
    <row r="40" spans="6:10" x14ac:dyDescent="0.2">
      <c r="F40" t="str">
        <f>IF(Copa2022!F26="","",IF(Copa2022!F26=Copa2022!H26,"empate",IF(Copa2022!F26&gt;Copa2022!H26,Copa2022!E26,Copa2022!I26)))</f>
        <v>Argentina</v>
      </c>
      <c r="G40" t="s">
        <v>220</v>
      </c>
    </row>
    <row r="41" spans="6:10" x14ac:dyDescent="0.2">
      <c r="F41" t="str">
        <f>IF(Copa2022!F27="","",IF(Copa2022!F27=Copa2022!H27,"empate",IF(Copa2022!F27&gt;Copa2022!H27,Copa2022!E27,Copa2022!I27)))</f>
        <v>Argentina</v>
      </c>
      <c r="G41" t="s">
        <v>221</v>
      </c>
    </row>
    <row r="42" spans="6:10" x14ac:dyDescent="0.2">
      <c r="F42" t="str">
        <f>IF(Copa2022!F28="","",IF(Copa2022!F28=Copa2022!H28,"empate",IF(Copa2022!F28&gt;Copa2022!H28,Copa2022!E28,Copa2022!I28)))</f>
        <v>México</v>
      </c>
      <c r="G42" t="s">
        <v>222</v>
      </c>
    </row>
    <row r="43" spans="6:10" x14ac:dyDescent="0.2">
      <c r="F43" t="str">
        <f>IF(Copa2022!F29="","",IF(Copa2022!F29=Copa2022!H29,"empate",IF(Copa2022!F29&gt;Copa2022!H29,Copa2022!E29,Copa2022!I29)))</f>
        <v>empate</v>
      </c>
      <c r="G43" t="s">
        <v>223</v>
      </c>
    </row>
    <row r="44" spans="6:10" x14ac:dyDescent="0.2">
      <c r="F44" t="str">
        <f>IF(Copa2022!F30="","",IF(Copa2022!F30=Copa2022!H30,"empate",IF(Copa2022!F30&gt;Copa2022!H30,Copa2022!E30,Copa2022!I30)))</f>
        <v>França</v>
      </c>
      <c r="G44" t="s">
        <v>224</v>
      </c>
    </row>
    <row r="45" spans="6:10" x14ac:dyDescent="0.2">
      <c r="F45" t="str">
        <f>IF(Copa2022!F31="","",IF(Copa2022!F31=Copa2022!H31,"empate",IF(Copa2022!F31&gt;Copa2022!H31,Copa2022!E31,Copa2022!I31)))</f>
        <v>Austrália</v>
      </c>
      <c r="G45" t="s">
        <v>225</v>
      </c>
    </row>
    <row r="46" spans="6:10" x14ac:dyDescent="0.2">
      <c r="F46" t="str">
        <f>IF(Copa2022!F32="","",IF(Copa2022!F32=Copa2022!H32,"empate",IF(Copa2022!F32&gt;Copa2022!H32,Copa2022!E32,Copa2022!I32)))</f>
        <v>França</v>
      </c>
      <c r="G46" t="s">
        <v>226</v>
      </c>
    </row>
    <row r="47" spans="6:10" x14ac:dyDescent="0.2">
      <c r="F47" t="str">
        <f>IF(Copa2022!F33="","",IF(Copa2022!F33=Copa2022!H33,"empate",IF(Copa2022!F33&gt;Copa2022!H33,Copa2022!E33,Copa2022!I33)))</f>
        <v>Tunísia</v>
      </c>
      <c r="G47" t="s">
        <v>227</v>
      </c>
    </row>
    <row r="48" spans="6:10" x14ac:dyDescent="0.2">
      <c r="F48" t="str">
        <f>IF(Copa2022!F34="","",IF(Copa2022!F34=Copa2022!H34,"empate",IF(Copa2022!F34&gt;Copa2022!H34,Copa2022!E34,Copa2022!I34)))</f>
        <v>Austrália</v>
      </c>
      <c r="G48" t="s">
        <v>228</v>
      </c>
    </row>
    <row r="49" spans="6:7" x14ac:dyDescent="0.2">
      <c r="F49" t="str">
        <f>IF(Copa2022!F35="","",IF(Copa2022!F35=Copa2022!H35,"empate",IF(Copa2022!F35&gt;Copa2022!H35,Copa2022!E35,Copa2022!I35)))</f>
        <v>Japão</v>
      </c>
      <c r="G49" t="s">
        <v>229</v>
      </c>
    </row>
    <row r="50" spans="6:7" x14ac:dyDescent="0.2">
      <c r="F50" t="str">
        <f>IF(Copa2022!F36="","",IF(Copa2022!F36=Copa2022!H36,"empate",IF(Copa2022!F36&gt;Copa2022!H36,Copa2022!E36,Copa2022!I36)))</f>
        <v>Espanha</v>
      </c>
      <c r="G50" t="s">
        <v>230</v>
      </c>
    </row>
    <row r="51" spans="6:7" x14ac:dyDescent="0.2">
      <c r="F51" t="str">
        <f>IF(Copa2022!F37="","",IF(Copa2022!F37=Copa2022!H37,"empate",IF(Copa2022!F37&gt;Copa2022!H37,Copa2022!E37,Copa2022!I37)))</f>
        <v>Costa Rica</v>
      </c>
      <c r="G51" t="s">
        <v>231</v>
      </c>
    </row>
    <row r="52" spans="6:7" x14ac:dyDescent="0.2">
      <c r="F52" t="str">
        <f>IF(Copa2022!F38="","",IF(Copa2022!F38=Copa2022!H38,"empate",IF(Copa2022!F38&gt;Copa2022!H38,Copa2022!E38,Copa2022!I38)))</f>
        <v>empate</v>
      </c>
      <c r="G52" t="s">
        <v>232</v>
      </c>
    </row>
    <row r="53" spans="6:7" x14ac:dyDescent="0.2">
      <c r="F53" t="str">
        <f>IF(Copa2022!F39="","",IF(Copa2022!F39=Copa2022!H39,"empate",IF(Copa2022!F39&gt;Copa2022!H39,Copa2022!E39,Copa2022!I39)))</f>
        <v/>
      </c>
      <c r="G53" t="s">
        <v>233</v>
      </c>
    </row>
    <row r="54" spans="6:7" x14ac:dyDescent="0.2">
      <c r="F54" t="str">
        <f>IF(Copa2022!F40="","",IF(Copa2022!F40=Copa2022!H40,"empate",IF(Copa2022!F40&gt;Copa2022!H40,Copa2022!E40,Copa2022!I40)))</f>
        <v/>
      </c>
      <c r="G54" t="s">
        <v>234</v>
      </c>
    </row>
    <row r="55" spans="6:7" x14ac:dyDescent="0.2">
      <c r="F55" t="str">
        <f>IF(Copa2022!F41="","",IF(Copa2022!F41=Copa2022!H41,"empate",IF(Copa2022!F41&gt;Copa2022!H41,Copa2022!E41,Copa2022!I41)))</f>
        <v>empate</v>
      </c>
      <c r="G55" t="s">
        <v>235</v>
      </c>
    </row>
    <row r="56" spans="6:7" x14ac:dyDescent="0.2">
      <c r="F56" t="str">
        <f>IF(Copa2022!F42="","",IF(Copa2022!F42=Copa2022!H42,"empate",IF(Copa2022!F42&gt;Copa2022!H42,Copa2022!E42,Copa2022!I42)))</f>
        <v>Bélgica</v>
      </c>
      <c r="G56" t="s">
        <v>236</v>
      </c>
    </row>
    <row r="57" spans="6:7" x14ac:dyDescent="0.2">
      <c r="F57" t="str">
        <f>IF(Copa2022!F43="","",IF(Copa2022!F43=Copa2022!H43,"empate",IF(Copa2022!F43&gt;Copa2022!H43,Copa2022!E43,Copa2022!I43)))</f>
        <v>Marrocos</v>
      </c>
      <c r="G57" t="s">
        <v>237</v>
      </c>
    </row>
    <row r="58" spans="6:7" x14ac:dyDescent="0.2">
      <c r="F58" t="str">
        <f>IF(Copa2022!F44="","",IF(Copa2022!F44=Copa2022!H44,"empate",IF(Copa2022!F44&gt;Copa2022!H44,Copa2022!E44,Copa2022!I44)))</f>
        <v>Croácia</v>
      </c>
      <c r="G58" t="s">
        <v>238</v>
      </c>
    </row>
    <row r="59" spans="6:7" x14ac:dyDescent="0.2">
      <c r="F59" t="str">
        <f>IF(Copa2022!F45="","",IF(Copa2022!F45=Copa2022!H45,"empate",IF(Copa2022!F45&gt;Copa2022!H45,Copa2022!E45,Copa2022!I45)))</f>
        <v/>
      </c>
      <c r="G59" t="s">
        <v>239</v>
      </c>
    </row>
    <row r="60" spans="6:7" x14ac:dyDescent="0.2">
      <c r="F60" t="str">
        <f>IF(Copa2022!F46="","",IF(Copa2022!F46=Copa2022!H46,"empate",IF(Copa2022!F46&gt;Copa2022!H46,Copa2022!E46,Copa2022!I46)))</f>
        <v/>
      </c>
      <c r="G60" t="s">
        <v>240</v>
      </c>
    </row>
    <row r="61" spans="6:7" x14ac:dyDescent="0.2">
      <c r="F61" t="str">
        <f>IF(Copa2022!F47="","",IF(Copa2022!F47=Copa2022!H47,"empate",IF(Copa2022!F47&gt;Copa2022!H47,Copa2022!E47,Copa2022!I47)))</f>
        <v>Suíça</v>
      </c>
      <c r="G61" t="s">
        <v>241</v>
      </c>
    </row>
    <row r="62" spans="6:7" x14ac:dyDescent="0.2">
      <c r="F62" t="str">
        <f>IF(Copa2022!F48="","",IF(Copa2022!F48=Copa2022!H48,"empate",IF(Copa2022!F48&gt;Copa2022!H48,Copa2022!E48,Copa2022!I48)))</f>
        <v>Brasil</v>
      </c>
      <c r="G62" t="s">
        <v>242</v>
      </c>
    </row>
    <row r="63" spans="6:7" x14ac:dyDescent="0.2">
      <c r="F63" t="str">
        <f>IF(Copa2022!F49="","",IF(Copa2022!F49=Copa2022!H49,"empate",IF(Copa2022!F49&gt;Copa2022!H49,Copa2022!E49,Copa2022!I49)))</f>
        <v>empate</v>
      </c>
      <c r="G63" t="s">
        <v>243</v>
      </c>
    </row>
    <row r="64" spans="6:7" x14ac:dyDescent="0.2">
      <c r="F64" t="str">
        <f>IF(Copa2022!F50="","",IF(Copa2022!F50=Copa2022!H50,"empate",IF(Copa2022!F50&gt;Copa2022!H50,Copa2022!E50,Copa2022!I50)))</f>
        <v>Brasil</v>
      </c>
      <c r="G64" t="s">
        <v>244</v>
      </c>
    </row>
    <row r="65" spans="5:7" x14ac:dyDescent="0.2">
      <c r="F65" t="str">
        <f>IF(Copa2022!F51="","",IF(Copa2022!F51=Copa2022!H51,"empate",IF(Copa2022!F51&gt;Copa2022!H51,Copa2022!E51,Copa2022!I51)))</f>
        <v/>
      </c>
      <c r="G65" t="s">
        <v>245</v>
      </c>
    </row>
    <row r="66" spans="5:7" x14ac:dyDescent="0.2">
      <c r="F66" t="str">
        <f>IF(Copa2022!F52="","",IF(Copa2022!F52=Copa2022!H52,"empate",IF(Copa2022!F52&gt;Copa2022!H52,Copa2022!E52,Copa2022!I52)))</f>
        <v/>
      </c>
      <c r="G66" t="s">
        <v>246</v>
      </c>
    </row>
    <row r="67" spans="5:7" x14ac:dyDescent="0.2">
      <c r="F67" t="str">
        <f>IF(Copa2022!F53="","",IF(Copa2022!F53=Copa2022!H53,"empate",IF(Copa2022!F53&gt;Copa2022!H53,Copa2022!E53,Copa2022!I53)))</f>
        <v>empate</v>
      </c>
      <c r="G67" t="s">
        <v>247</v>
      </c>
    </row>
    <row r="68" spans="5:7" x14ac:dyDescent="0.2">
      <c r="F68" t="str">
        <f>IF(Copa2022!F54="","",IF(Copa2022!F54=Copa2022!H54,"empate",IF(Copa2022!F54&gt;Copa2022!H54,Copa2022!E54,Copa2022!I54)))</f>
        <v>Portugal</v>
      </c>
      <c r="G68" t="s">
        <v>248</v>
      </c>
    </row>
    <row r="69" spans="5:7" x14ac:dyDescent="0.2">
      <c r="F69" t="str">
        <f>IF(Copa2022!F55="","",IF(Copa2022!F55=Copa2022!H55,"empate",IF(Copa2022!F55&gt;Copa2022!H55,Copa2022!E55,Copa2022!I55)))</f>
        <v>Gana</v>
      </c>
      <c r="G69" t="s">
        <v>249</v>
      </c>
    </row>
    <row r="70" spans="5:7" x14ac:dyDescent="0.2">
      <c r="F70" t="str">
        <f>IF(Copa2022!F56="","",IF(Copa2022!F56=Copa2022!H56,"empate",IF(Copa2022!F56&gt;Copa2022!H56,Copa2022!E56,Copa2022!I56)))</f>
        <v>Portugal</v>
      </c>
      <c r="G70" t="s">
        <v>250</v>
      </c>
    </row>
    <row r="71" spans="5:7" x14ac:dyDescent="0.2">
      <c r="F71" t="str">
        <f>IF(Copa2022!F57="","",IF(Copa2022!F57=Copa2022!H57,"empate",IF(Copa2022!F57&gt;Copa2022!H57,Copa2022!E57,Copa2022!I57)))</f>
        <v/>
      </c>
      <c r="G71" t="s">
        <v>251</v>
      </c>
    </row>
    <row r="72" spans="5:7" x14ac:dyDescent="0.2">
      <c r="F72" t="str">
        <f>IF(Copa2022!F58="","",
IF(Copa2022!F58=Copa2022!H58,"empate",IF(Copa2022!F58&gt;Copa2022!H58,Copa2022!E58,Copa2022!I58)))</f>
        <v/>
      </c>
      <c r="G72" t="s">
        <v>252</v>
      </c>
    </row>
    <row r="73" spans="5:7" x14ac:dyDescent="0.2">
      <c r="E73" s="513" t="str">
        <f>IF(Copa2022!K62="","",
IF(Copa2022!K62&gt;Copa2022!L62,Copa2022!E62,Copa2022!I62))</f>
        <v/>
      </c>
      <c r="F73" s="508" t="str">
        <f>IF(Copa2022!F62="","",
IF(Copa2022!F62&gt;Copa2022!H62,Copa2022!E62,
IF(Copa2022!F62&lt;Copa2022!H62,Copa2022!I62,"empate")))</f>
        <v/>
      </c>
      <c r="G73" t="s">
        <v>309</v>
      </c>
    </row>
    <row r="74" spans="5:7" x14ac:dyDescent="0.2">
      <c r="E74" s="513" t="str">
        <f>IF(Copa2022!K63="","",
IF(Copa2022!K63&gt;Copa2022!L63,Copa2022!E63,Copa2022!I63))</f>
        <v/>
      </c>
      <c r="F74" s="508" t="str">
        <f>IF(Copa2022!F63="","",
IF(Copa2022!F63&gt;Copa2022!H63,Copa2022!E63,
IF(Copa2022!F63&lt;Copa2022!H63,Copa2022!I63,"empate")))</f>
        <v/>
      </c>
      <c r="G74" t="s">
        <v>310</v>
      </c>
    </row>
    <row r="75" spans="5:7" x14ac:dyDescent="0.2">
      <c r="E75" s="513" t="str">
        <f>IF(Copa2022!K64="","",
IF(Copa2022!K64&gt;Copa2022!L64,Copa2022!E64,Copa2022!I64))</f>
        <v/>
      </c>
      <c r="F75" s="508" t="str">
        <f>IF(Copa2022!F64="","",
IF(Copa2022!F64&gt;Copa2022!H64,Copa2022!E64,
IF(Copa2022!F64&lt;Copa2022!H64,Copa2022!I64,"empate")))</f>
        <v/>
      </c>
      <c r="G75" t="s">
        <v>311</v>
      </c>
    </row>
    <row r="76" spans="5:7" x14ac:dyDescent="0.2">
      <c r="E76" s="513" t="str">
        <f>IF(Copa2022!K65="","",
IF(Copa2022!K65&gt;Copa2022!L65,Copa2022!E65,Copa2022!I65))</f>
        <v/>
      </c>
      <c r="F76" s="508" t="str">
        <f>IF(Copa2022!F65="","",
IF(Copa2022!F65&gt;Copa2022!H65,Copa2022!E65,
IF(Copa2022!F65&lt;Copa2022!H65,Copa2022!I65,"empate")))</f>
        <v/>
      </c>
      <c r="G76" t="s">
        <v>312</v>
      </c>
    </row>
    <row r="77" spans="5:7" x14ac:dyDescent="0.2">
      <c r="E77" s="513" t="str">
        <f>IF(Copa2022!K66="","",
IF(Copa2022!K66&gt;Copa2022!L66,Copa2022!E66,Copa2022!I66))</f>
        <v/>
      </c>
      <c r="F77" s="508" t="str">
        <f>IF(Copa2022!F66="","",
IF(Copa2022!F66&gt;Copa2022!H66,Copa2022!E66,
IF(Copa2022!F66&lt;Copa2022!H66,Copa2022!I66,"empate")))</f>
        <v/>
      </c>
      <c r="G77" t="s">
        <v>313</v>
      </c>
    </row>
    <row r="78" spans="5:7" x14ac:dyDescent="0.2">
      <c r="E78" s="513" t="str">
        <f>IF(Copa2022!K67="","",
IF(Copa2022!K67&gt;Copa2022!L67,Copa2022!E67,Copa2022!I67))</f>
        <v/>
      </c>
      <c r="F78" s="508" t="str">
        <f>IF(Copa2022!F67="","",
IF(Copa2022!F67&gt;Copa2022!H67,Copa2022!E67,
IF(Copa2022!F67&lt;Copa2022!H67,Copa2022!I67,"empate")))</f>
        <v/>
      </c>
      <c r="G78" t="s">
        <v>314</v>
      </c>
    </row>
    <row r="79" spans="5:7" x14ac:dyDescent="0.2">
      <c r="E79" s="513" t="str">
        <f>IF(Copa2022!K68="","",
IF(Copa2022!K68&gt;Copa2022!L68,Copa2022!E68,Copa2022!I68))</f>
        <v/>
      </c>
      <c r="F79" s="508" t="str">
        <f>IF(Copa2022!F68="","",
IF(Copa2022!F68&gt;Copa2022!H68,Copa2022!E68,
IF(Copa2022!F68&lt;Copa2022!H68,Copa2022!I68,"empate")))</f>
        <v/>
      </c>
      <c r="G79" t="s">
        <v>315</v>
      </c>
    </row>
    <row r="80" spans="5:7" x14ac:dyDescent="0.2">
      <c r="E80" s="513" t="str">
        <f>IF(Copa2022!K69="","",
IF(Copa2022!K69&gt;Copa2022!L69,Copa2022!E69,Copa2022!I69))</f>
        <v/>
      </c>
      <c r="F80" s="508" t="str">
        <f>IF(Copa2022!F69="","",
IF(Copa2022!F69&gt;Copa2022!H69,Copa2022!E69,
IF(Copa2022!F69&lt;Copa2022!H69,Copa2022!I69,"empate")))</f>
        <v/>
      </c>
      <c r="G80" t="s">
        <v>316</v>
      </c>
    </row>
    <row r="81" spans="5:7" x14ac:dyDescent="0.2">
      <c r="E81" s="513" t="str">
        <f>IF(Copa2022!K71="","",
IF(Copa2022!K71&gt;Copa2022!L71,Copa2022!E71,Copa2022!I71))</f>
        <v/>
      </c>
      <c r="F81" s="509" t="str">
        <f>IF(Copa2022!F71="","",
IF(Copa2022!F71&gt;Copa2022!H71,Copa2022!E71,
IF(Copa2022!F71&lt;Copa2022!H71,Copa2022!I71,"empate")))</f>
        <v/>
      </c>
      <c r="G81" t="s">
        <v>317</v>
      </c>
    </row>
    <row r="82" spans="5:7" x14ac:dyDescent="0.2">
      <c r="E82" s="513" t="str">
        <f>IF(Copa2022!K72="","",
IF(Copa2022!K72&gt;Copa2022!L72,Copa2022!E72,Copa2022!I72))</f>
        <v/>
      </c>
      <c r="F82" s="509" t="str">
        <f>IF(Copa2022!F72="","",
IF(Copa2022!F72&gt;Copa2022!H72,Copa2022!E72,
IF(Copa2022!F72&lt;Copa2022!H72,Copa2022!I72,"empate")))</f>
        <v/>
      </c>
      <c r="G82" t="s">
        <v>318</v>
      </c>
    </row>
    <row r="83" spans="5:7" x14ac:dyDescent="0.2">
      <c r="E83" s="513" t="str">
        <f>IF(Copa2022!K73="","",
IF(Copa2022!K73&gt;Copa2022!L73,Copa2022!E73,Copa2022!I73))</f>
        <v/>
      </c>
      <c r="F83" s="509" t="str">
        <f>IF(Copa2022!F73="","",
IF(Copa2022!F73&gt;Copa2022!H73,Copa2022!E73,
IF(Copa2022!F73&lt;Copa2022!H73,Copa2022!I73,"empate")))</f>
        <v/>
      </c>
      <c r="G83" t="s">
        <v>319</v>
      </c>
    </row>
    <row r="84" spans="5:7" x14ac:dyDescent="0.2">
      <c r="E84" s="513" t="str">
        <f>IF(Copa2022!K74="","",
IF(Copa2022!K74&gt;Copa2022!L74,Copa2022!E74,Copa2022!I74))</f>
        <v/>
      </c>
      <c r="F84" s="509" t="str">
        <f>IF(Copa2022!F74="","",
IF(Copa2022!F74&gt;Copa2022!H74,Copa2022!E74,
IF(Copa2022!F74&lt;Copa2022!H74,Copa2022!I74,"empate")))</f>
        <v/>
      </c>
      <c r="G84" t="s">
        <v>320</v>
      </c>
    </row>
    <row r="85" spans="5:7" x14ac:dyDescent="0.2">
      <c r="E85" s="513" t="str">
        <f>IF(Copa2022!K76="","",
IF(Copa2022!K76&gt;Copa2022!L76,Copa2022!E76,Copa2022!I76))</f>
        <v/>
      </c>
      <c r="F85" s="510" t="str">
        <f>IF(Copa2022!F76="","",
IF(Copa2022!F76&gt;Copa2022!H76,Copa2022!E76,
IF(Copa2022!F76&lt;Copa2022!H76,Copa2022!I76,"empate")))</f>
        <v/>
      </c>
      <c r="G85" t="s">
        <v>321</v>
      </c>
    </row>
    <row r="86" spans="5:7" x14ac:dyDescent="0.2">
      <c r="E86" s="513" t="str">
        <f>IF(Copa2022!K77="","",
IF(Copa2022!K77&gt;Copa2022!L77,Copa2022!E77,Copa2022!I77))</f>
        <v/>
      </c>
      <c r="F86" s="510" t="str">
        <f>IF(Copa2022!F77="","",
IF(Copa2022!F77&gt;Copa2022!H77,Copa2022!E77,
IF(Copa2022!F77&lt;Copa2022!H77,Copa2022!I77,"empate")))</f>
        <v/>
      </c>
      <c r="G86" t="s">
        <v>322</v>
      </c>
    </row>
    <row r="87" spans="5:7" x14ac:dyDescent="0.2">
      <c r="E87" s="513" t="str">
        <f>IF(Copa2022!K79="","",
IF(Copa2022!K79&gt;Copa2022!L79,Copa2022!E79,Copa2022!I79))</f>
        <v/>
      </c>
      <c r="F87" s="511" t="str">
        <f>IF(Copa2022!F79="","",
IF(Copa2022!F79&gt;Copa2022!H79,Copa2022!E79,
IF(Copa2022!F79&lt;Copa2022!H79,Copa2022!I79,"empate")))</f>
        <v/>
      </c>
      <c r="G87" t="s">
        <v>323</v>
      </c>
    </row>
    <row r="88" spans="5:7" x14ac:dyDescent="0.2">
      <c r="E88" s="513" t="str">
        <f>IF(Copa2022!K81="","",
IF(Copa2022!K81&gt;Copa2022!L81,Copa2022!E81,Copa2022!I81))</f>
        <v/>
      </c>
      <c r="F88" s="512" t="str">
        <f>IF(Copa2022!F81="","",
IF(Copa2022!F81&gt;Copa2022!H81,Copa2022!E81,
IF(Copa2022!F81&lt;Copa2022!H81,Copa2022!I81,"empate")))</f>
        <v/>
      </c>
      <c r="G88" t="s">
        <v>324</v>
      </c>
    </row>
  </sheetData>
  <sortState xmlns:xlrd2="http://schemas.microsoft.com/office/spreadsheetml/2017/richdata2"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37"/>
  <sheetViews>
    <sheetView workbookViewId="0">
      <selection activeCell="A2" sqref="A2:XFD2"/>
    </sheetView>
  </sheetViews>
  <sheetFormatPr defaultColWidth="9.14453125" defaultRowHeight="14.25" x14ac:dyDescent="0.2"/>
  <cols>
    <col min="1" max="1" width="9.14453125" style="479"/>
    <col min="2" max="2" width="11.97265625" style="479" customWidth="1"/>
    <col min="3" max="6" width="9.14453125" style="479"/>
    <col min="7" max="7" width="13.31640625" style="479" bestFit="1" customWidth="1"/>
    <col min="8" max="8" width="9.68359375" style="479" bestFit="1" customWidth="1"/>
    <col min="9" max="16384" width="9.14453125" style="476"/>
  </cols>
  <sheetData>
    <row r="1" spans="1:8" x14ac:dyDescent="0.2">
      <c r="A1" s="479" t="s">
        <v>76</v>
      </c>
      <c r="B1" s="479" t="s">
        <v>95</v>
      </c>
      <c r="C1" s="479" t="s">
        <v>255</v>
      </c>
      <c r="D1" s="479" t="s">
        <v>307</v>
      </c>
      <c r="E1" s="479" t="s">
        <v>0</v>
      </c>
      <c r="F1" s="479" t="s">
        <v>308</v>
      </c>
      <c r="G1" s="479" t="s">
        <v>256</v>
      </c>
      <c r="H1" s="479" t="s">
        <v>257</v>
      </c>
    </row>
    <row r="2" spans="1:8" x14ac:dyDescent="0.2">
      <c r="A2" s="478" t="s">
        <v>286</v>
      </c>
      <c r="B2" s="477">
        <v>44896</v>
      </c>
      <c r="C2" s="479" t="s">
        <v>8</v>
      </c>
      <c r="D2" s="479">
        <v>2</v>
      </c>
      <c r="E2" s="479" t="s">
        <v>0</v>
      </c>
      <c r="F2" s="479">
        <v>1</v>
      </c>
      <c r="G2" s="479" t="s">
        <v>11</v>
      </c>
      <c r="H2" s="479" t="s">
        <v>176</v>
      </c>
    </row>
    <row r="3" spans="1:8" x14ac:dyDescent="0.2">
      <c r="A3" s="478" t="s">
        <v>286</v>
      </c>
      <c r="B3" s="477">
        <v>44896</v>
      </c>
      <c r="C3" s="479" t="s">
        <v>8</v>
      </c>
      <c r="D3" s="479">
        <v>1</v>
      </c>
      <c r="E3" s="479" t="s">
        <v>0</v>
      </c>
      <c r="F3" s="479">
        <v>3</v>
      </c>
      <c r="G3" s="479" t="s">
        <v>11</v>
      </c>
      <c r="H3" s="479" t="s">
        <v>202</v>
      </c>
    </row>
    <row r="4" spans="1:8" x14ac:dyDescent="0.2">
      <c r="A4" s="478" t="s">
        <v>286</v>
      </c>
      <c r="B4" s="477">
        <v>44896</v>
      </c>
      <c r="C4" s="479" t="s">
        <v>8</v>
      </c>
      <c r="D4" s="479">
        <v>1</v>
      </c>
      <c r="E4" s="479" t="s">
        <v>0</v>
      </c>
      <c r="F4" s="479">
        <v>3</v>
      </c>
      <c r="G4" s="479" t="s">
        <v>11</v>
      </c>
      <c r="H4" s="479" t="s">
        <v>204</v>
      </c>
    </row>
    <row r="5" spans="1:8" x14ac:dyDescent="0.2">
      <c r="A5" s="478" t="s">
        <v>286</v>
      </c>
      <c r="B5" s="477">
        <v>44896</v>
      </c>
      <c r="C5" s="479" t="s">
        <v>8</v>
      </c>
      <c r="D5" s="479">
        <v>1</v>
      </c>
      <c r="E5" s="479" t="s">
        <v>0</v>
      </c>
      <c r="F5" s="479">
        <v>2</v>
      </c>
      <c r="G5" s="479" t="s">
        <v>11</v>
      </c>
      <c r="H5" s="479" t="s">
        <v>179</v>
      </c>
    </row>
    <row r="6" spans="1:8" x14ac:dyDescent="0.2">
      <c r="A6" s="478" t="s">
        <v>286</v>
      </c>
      <c r="B6" s="477">
        <v>44896</v>
      </c>
      <c r="C6" s="479" t="s">
        <v>8</v>
      </c>
      <c r="D6" s="479">
        <v>1</v>
      </c>
      <c r="E6" s="479" t="s">
        <v>0</v>
      </c>
      <c r="F6" s="479">
        <v>3</v>
      </c>
      <c r="G6" s="479" t="s">
        <v>11</v>
      </c>
      <c r="H6" s="479" t="s">
        <v>199</v>
      </c>
    </row>
    <row r="7" spans="1:8" x14ac:dyDescent="0.2">
      <c r="A7" s="478" t="s">
        <v>286</v>
      </c>
      <c r="B7" s="477">
        <v>44896</v>
      </c>
      <c r="C7" s="479" t="s">
        <v>8</v>
      </c>
      <c r="D7" s="479">
        <v>1</v>
      </c>
      <c r="E7" s="479" t="s">
        <v>0</v>
      </c>
      <c r="F7" s="479">
        <v>2</v>
      </c>
      <c r="G7" s="479" t="s">
        <v>11</v>
      </c>
      <c r="H7" s="479" t="s">
        <v>186</v>
      </c>
    </row>
    <row r="8" spans="1:8" x14ac:dyDescent="0.2">
      <c r="A8" s="478" t="s">
        <v>286</v>
      </c>
      <c r="B8" s="477">
        <v>44896</v>
      </c>
      <c r="C8" s="479" t="s">
        <v>8</v>
      </c>
      <c r="D8" s="479">
        <v>0</v>
      </c>
      <c r="E8" s="479" t="s">
        <v>0</v>
      </c>
      <c r="F8" s="479">
        <v>1</v>
      </c>
      <c r="G8" s="479" t="s">
        <v>11</v>
      </c>
      <c r="H8" s="479" t="s">
        <v>180</v>
      </c>
    </row>
    <row r="9" spans="1:8" x14ac:dyDescent="0.2">
      <c r="A9" s="478" t="s">
        <v>286</v>
      </c>
      <c r="B9" s="477">
        <v>44896</v>
      </c>
      <c r="C9" s="479" t="s">
        <v>8</v>
      </c>
      <c r="D9" s="479">
        <v>0</v>
      </c>
      <c r="E9" s="479" t="s">
        <v>0</v>
      </c>
      <c r="F9" s="479">
        <v>1</v>
      </c>
      <c r="G9" s="479" t="s">
        <v>11</v>
      </c>
      <c r="H9" s="479" t="s">
        <v>201</v>
      </c>
    </row>
    <row r="10" spans="1:8" x14ac:dyDescent="0.2">
      <c r="A10" s="478" t="s">
        <v>286</v>
      </c>
      <c r="B10" s="477">
        <v>44896</v>
      </c>
      <c r="C10" s="479" t="s">
        <v>8</v>
      </c>
      <c r="D10" s="479">
        <v>1</v>
      </c>
      <c r="E10" s="479" t="s">
        <v>0</v>
      </c>
      <c r="F10" s="479">
        <v>1</v>
      </c>
      <c r="G10" s="479" t="s">
        <v>11</v>
      </c>
      <c r="H10" s="479" t="s">
        <v>200</v>
      </c>
    </row>
    <row r="11" spans="1:8" x14ac:dyDescent="0.2">
      <c r="A11" s="478" t="s">
        <v>286</v>
      </c>
      <c r="B11" s="477">
        <v>44896</v>
      </c>
      <c r="C11" s="479" t="s">
        <v>8</v>
      </c>
      <c r="D11" s="479">
        <v>0</v>
      </c>
      <c r="E11" s="479" t="s">
        <v>0</v>
      </c>
      <c r="F11" s="479">
        <v>1</v>
      </c>
      <c r="G11" s="479" t="s">
        <v>11</v>
      </c>
      <c r="H11" s="479" t="s">
        <v>181</v>
      </c>
    </row>
    <row r="12" spans="1:8" x14ac:dyDescent="0.2">
      <c r="A12" s="478" t="s">
        <v>286</v>
      </c>
      <c r="B12" s="477">
        <v>44896</v>
      </c>
      <c r="C12" s="479" t="s">
        <v>8</v>
      </c>
      <c r="D12" s="479">
        <v>1</v>
      </c>
      <c r="E12" s="479" t="s">
        <v>0</v>
      </c>
      <c r="F12" s="479">
        <v>2</v>
      </c>
      <c r="G12" s="479" t="s">
        <v>11</v>
      </c>
      <c r="H12" s="479" t="s">
        <v>177</v>
      </c>
    </row>
    <row r="13" spans="1:8" x14ac:dyDescent="0.2">
      <c r="A13" s="478" t="s">
        <v>286</v>
      </c>
      <c r="B13" s="477">
        <v>44896</v>
      </c>
      <c r="C13" s="479" t="s">
        <v>8</v>
      </c>
      <c r="D13" s="479">
        <v>0</v>
      </c>
      <c r="E13" s="479" t="s">
        <v>0</v>
      </c>
      <c r="F13" s="479">
        <v>2</v>
      </c>
      <c r="G13" s="479" t="s">
        <v>11</v>
      </c>
      <c r="H13" s="479" t="s">
        <v>184</v>
      </c>
    </row>
    <row r="14" spans="1:8" x14ac:dyDescent="0.2">
      <c r="A14" s="478" t="s">
        <v>286</v>
      </c>
      <c r="B14" s="477">
        <v>44896</v>
      </c>
      <c r="C14" s="479" t="s">
        <v>8</v>
      </c>
      <c r="D14" s="479">
        <v>1</v>
      </c>
      <c r="E14" s="479" t="s">
        <v>0</v>
      </c>
      <c r="F14" s="479">
        <v>1</v>
      </c>
      <c r="G14" s="479" t="s">
        <v>11</v>
      </c>
      <c r="H14" s="479" t="s">
        <v>203</v>
      </c>
    </row>
    <row r="15" spans="1:8" x14ac:dyDescent="0.2">
      <c r="A15" s="478" t="s">
        <v>286</v>
      </c>
      <c r="B15" s="477">
        <v>44896</v>
      </c>
      <c r="C15" s="479" t="s">
        <v>8</v>
      </c>
      <c r="D15" s="479">
        <v>1</v>
      </c>
      <c r="E15" s="479" t="s">
        <v>0</v>
      </c>
      <c r="F15" s="479">
        <v>2</v>
      </c>
      <c r="G15" s="479" t="s">
        <v>11</v>
      </c>
      <c r="H15" s="479" t="s">
        <v>183</v>
      </c>
    </row>
    <row r="16" spans="1:8" x14ac:dyDescent="0.2">
      <c r="A16" s="478" t="s">
        <v>286</v>
      </c>
      <c r="B16" s="477">
        <v>44896</v>
      </c>
      <c r="C16" s="479" t="s">
        <v>8</v>
      </c>
      <c r="D16" s="479">
        <v>0</v>
      </c>
      <c r="E16" s="479" t="s">
        <v>0</v>
      </c>
      <c r="F16" s="479">
        <v>2</v>
      </c>
      <c r="G16" s="479" t="s">
        <v>11</v>
      </c>
      <c r="H16" s="479" t="s">
        <v>185</v>
      </c>
    </row>
    <row r="17" spans="1:8" x14ac:dyDescent="0.2">
      <c r="A17" s="478" t="s">
        <v>286</v>
      </c>
      <c r="B17" s="477">
        <v>44896</v>
      </c>
      <c r="C17" s="479" t="s">
        <v>8</v>
      </c>
      <c r="D17" s="479">
        <v>0</v>
      </c>
      <c r="E17" s="479" t="s">
        <v>0</v>
      </c>
      <c r="F17" s="479">
        <v>2</v>
      </c>
      <c r="G17" s="479" t="s">
        <v>11</v>
      </c>
      <c r="H17" s="479" t="s">
        <v>306</v>
      </c>
    </row>
    <row r="18" spans="1:8" x14ac:dyDescent="0.2">
      <c r="A18" s="478" t="s">
        <v>286</v>
      </c>
      <c r="B18" s="477">
        <v>44896</v>
      </c>
      <c r="C18" s="480" t="s">
        <v>8</v>
      </c>
      <c r="D18" s="480">
        <v>0</v>
      </c>
      <c r="E18" s="480" t="s">
        <v>0</v>
      </c>
      <c r="F18" s="480">
        <v>1</v>
      </c>
      <c r="G18" s="480" t="s">
        <v>11</v>
      </c>
      <c r="H18" s="479" t="s">
        <v>182</v>
      </c>
    </row>
    <row r="19" spans="1:8" x14ac:dyDescent="0.2">
      <c r="A19" s="478" t="s">
        <v>292</v>
      </c>
      <c r="B19" s="477">
        <v>44896</v>
      </c>
      <c r="C19" s="479" t="s">
        <v>70</v>
      </c>
      <c r="D19" s="479">
        <v>2</v>
      </c>
      <c r="E19" s="479" t="s">
        <v>0</v>
      </c>
      <c r="F19" s="479">
        <v>1</v>
      </c>
      <c r="G19" s="479" t="s">
        <v>104</v>
      </c>
      <c r="H19" s="479" t="s">
        <v>176</v>
      </c>
    </row>
    <row r="20" spans="1:8" x14ac:dyDescent="0.2">
      <c r="A20" s="478" t="s">
        <v>292</v>
      </c>
      <c r="B20" s="477">
        <v>44896</v>
      </c>
      <c r="C20" s="479" t="s">
        <v>70</v>
      </c>
      <c r="D20" s="479">
        <v>0</v>
      </c>
      <c r="E20" s="479" t="s">
        <v>0</v>
      </c>
      <c r="F20" s="479">
        <v>2</v>
      </c>
      <c r="G20" s="479" t="s">
        <v>104</v>
      </c>
      <c r="H20" s="479" t="s">
        <v>202</v>
      </c>
    </row>
    <row r="21" spans="1:8" x14ac:dyDescent="0.2">
      <c r="A21" s="478" t="s">
        <v>292</v>
      </c>
      <c r="B21" s="477">
        <v>44896</v>
      </c>
      <c r="C21" s="479" t="s">
        <v>70</v>
      </c>
      <c r="D21" s="479">
        <v>2</v>
      </c>
      <c r="E21" s="479" t="s">
        <v>0</v>
      </c>
      <c r="F21" s="479">
        <v>3</v>
      </c>
      <c r="G21" s="479" t="s">
        <v>104</v>
      </c>
      <c r="H21" s="479" t="s">
        <v>204</v>
      </c>
    </row>
    <row r="22" spans="1:8" x14ac:dyDescent="0.2">
      <c r="A22" s="478" t="s">
        <v>292</v>
      </c>
      <c r="B22" s="477">
        <v>44896</v>
      </c>
      <c r="C22" s="479" t="s">
        <v>70</v>
      </c>
      <c r="D22" s="479">
        <v>2</v>
      </c>
      <c r="E22" s="479" t="s">
        <v>0</v>
      </c>
      <c r="F22" s="479">
        <v>1</v>
      </c>
      <c r="G22" s="479" t="s">
        <v>104</v>
      </c>
      <c r="H22" s="479" t="s">
        <v>179</v>
      </c>
    </row>
    <row r="23" spans="1:8" x14ac:dyDescent="0.2">
      <c r="A23" s="478" t="s">
        <v>292</v>
      </c>
      <c r="B23" s="477">
        <v>44896</v>
      </c>
      <c r="C23" s="479" t="s">
        <v>70</v>
      </c>
      <c r="D23" s="479">
        <v>2</v>
      </c>
      <c r="E23" s="479" t="s">
        <v>0</v>
      </c>
      <c r="F23" s="479">
        <v>1</v>
      </c>
      <c r="G23" s="479" t="s">
        <v>104</v>
      </c>
      <c r="H23" s="479" t="s">
        <v>199</v>
      </c>
    </row>
    <row r="24" spans="1:8" x14ac:dyDescent="0.2">
      <c r="A24" s="478" t="s">
        <v>292</v>
      </c>
      <c r="B24" s="477">
        <v>44896</v>
      </c>
      <c r="C24" s="479" t="s">
        <v>70</v>
      </c>
      <c r="D24" s="479">
        <v>1</v>
      </c>
      <c r="E24" s="479" t="s">
        <v>0</v>
      </c>
      <c r="F24" s="479">
        <v>2</v>
      </c>
      <c r="G24" s="479" t="s">
        <v>104</v>
      </c>
      <c r="H24" s="479" t="s">
        <v>186</v>
      </c>
    </row>
    <row r="25" spans="1:8" x14ac:dyDescent="0.2">
      <c r="A25" s="478" t="s">
        <v>292</v>
      </c>
      <c r="B25" s="477">
        <v>44896</v>
      </c>
      <c r="C25" s="479" t="s">
        <v>70</v>
      </c>
      <c r="D25" s="479">
        <v>1</v>
      </c>
      <c r="E25" s="479" t="s">
        <v>0</v>
      </c>
      <c r="F25" s="479">
        <v>1</v>
      </c>
      <c r="G25" s="479" t="s">
        <v>104</v>
      </c>
      <c r="H25" s="479" t="s">
        <v>180</v>
      </c>
    </row>
    <row r="26" spans="1:8" x14ac:dyDescent="0.2">
      <c r="A26" s="478" t="s">
        <v>292</v>
      </c>
      <c r="B26" s="477">
        <v>44896</v>
      </c>
      <c r="C26" s="479" t="s">
        <v>70</v>
      </c>
      <c r="D26" s="479">
        <v>1</v>
      </c>
      <c r="E26" s="479" t="s">
        <v>0</v>
      </c>
      <c r="F26" s="479">
        <v>1</v>
      </c>
      <c r="G26" s="479" t="s">
        <v>104</v>
      </c>
      <c r="H26" s="479" t="s">
        <v>201</v>
      </c>
    </row>
    <row r="27" spans="1:8" x14ac:dyDescent="0.2">
      <c r="A27" s="478" t="s">
        <v>292</v>
      </c>
      <c r="B27" s="477">
        <v>44896</v>
      </c>
      <c r="C27" s="479" t="s">
        <v>70</v>
      </c>
      <c r="D27" s="479">
        <v>1</v>
      </c>
      <c r="E27" s="479" t="s">
        <v>0</v>
      </c>
      <c r="F27" s="479">
        <v>2</v>
      </c>
      <c r="G27" s="479" t="s">
        <v>104</v>
      </c>
      <c r="H27" s="479" t="s">
        <v>200</v>
      </c>
    </row>
    <row r="28" spans="1:8" x14ac:dyDescent="0.2">
      <c r="A28" s="478" t="s">
        <v>292</v>
      </c>
      <c r="B28" s="477">
        <v>44896</v>
      </c>
      <c r="C28" s="479" t="s">
        <v>70</v>
      </c>
      <c r="D28" s="479">
        <v>0</v>
      </c>
      <c r="E28" s="479" t="s">
        <v>0</v>
      </c>
      <c r="F28" s="479">
        <v>1</v>
      </c>
      <c r="G28" s="479" t="s">
        <v>104</v>
      </c>
      <c r="H28" s="479" t="s">
        <v>181</v>
      </c>
    </row>
    <row r="29" spans="1:8" x14ac:dyDescent="0.2">
      <c r="A29" s="478" t="s">
        <v>292</v>
      </c>
      <c r="B29" s="477">
        <v>44896</v>
      </c>
      <c r="C29" s="479" t="s">
        <v>70</v>
      </c>
      <c r="D29" s="479">
        <v>1</v>
      </c>
      <c r="E29" s="479" t="s">
        <v>0</v>
      </c>
      <c r="F29" s="479">
        <v>2</v>
      </c>
      <c r="G29" s="479" t="s">
        <v>104</v>
      </c>
      <c r="H29" s="479" t="s">
        <v>177</v>
      </c>
    </row>
    <row r="30" spans="1:8" x14ac:dyDescent="0.2">
      <c r="A30" s="478" t="s">
        <v>292</v>
      </c>
      <c r="B30" s="477">
        <v>44896</v>
      </c>
      <c r="C30" s="479" t="s">
        <v>70</v>
      </c>
      <c r="D30" s="479">
        <v>1</v>
      </c>
      <c r="E30" s="479" t="s">
        <v>0</v>
      </c>
      <c r="F30" s="479">
        <v>3</v>
      </c>
      <c r="G30" s="479" t="s">
        <v>104</v>
      </c>
      <c r="H30" s="479" t="s">
        <v>184</v>
      </c>
    </row>
    <row r="31" spans="1:8" x14ac:dyDescent="0.2">
      <c r="A31" s="478" t="s">
        <v>292</v>
      </c>
      <c r="B31" s="477">
        <v>44896</v>
      </c>
      <c r="C31" s="479" t="s">
        <v>70</v>
      </c>
      <c r="D31" s="479">
        <v>1</v>
      </c>
      <c r="E31" s="479" t="s">
        <v>0</v>
      </c>
      <c r="F31" s="479">
        <v>1</v>
      </c>
      <c r="G31" s="479" t="s">
        <v>104</v>
      </c>
      <c r="H31" s="479" t="s">
        <v>203</v>
      </c>
    </row>
    <row r="32" spans="1:8" x14ac:dyDescent="0.2">
      <c r="A32" s="478" t="s">
        <v>292</v>
      </c>
      <c r="B32" s="477">
        <v>44896</v>
      </c>
      <c r="C32" s="479" t="s">
        <v>70</v>
      </c>
      <c r="D32" s="479">
        <v>2</v>
      </c>
      <c r="E32" s="479" t="s">
        <v>0</v>
      </c>
      <c r="F32" s="479">
        <v>1</v>
      </c>
      <c r="G32" s="479" t="s">
        <v>104</v>
      </c>
      <c r="H32" s="479" t="s">
        <v>183</v>
      </c>
    </row>
    <row r="33" spans="1:8" x14ac:dyDescent="0.2">
      <c r="A33" s="478" t="s">
        <v>292</v>
      </c>
      <c r="B33" s="477">
        <v>44896</v>
      </c>
      <c r="C33" s="479" t="s">
        <v>70</v>
      </c>
      <c r="D33" s="479">
        <v>0</v>
      </c>
      <c r="E33" s="479" t="s">
        <v>0</v>
      </c>
      <c r="F33" s="479">
        <v>1</v>
      </c>
      <c r="G33" s="479" t="s">
        <v>104</v>
      </c>
      <c r="H33" s="479" t="s">
        <v>185</v>
      </c>
    </row>
    <row r="34" spans="1:8" x14ac:dyDescent="0.2">
      <c r="A34" s="478" t="s">
        <v>292</v>
      </c>
      <c r="B34" s="477">
        <v>44896</v>
      </c>
      <c r="C34" s="479" t="s">
        <v>70</v>
      </c>
      <c r="D34" s="479">
        <v>1</v>
      </c>
      <c r="E34" s="479" t="s">
        <v>0</v>
      </c>
      <c r="F34" s="479">
        <v>2</v>
      </c>
      <c r="G34" s="479" t="s">
        <v>104</v>
      </c>
      <c r="H34" s="479" t="s">
        <v>306</v>
      </c>
    </row>
    <row r="35" spans="1:8" x14ac:dyDescent="0.2">
      <c r="A35" s="478" t="s">
        <v>292</v>
      </c>
      <c r="B35" s="477">
        <v>44896</v>
      </c>
      <c r="C35" s="480" t="s">
        <v>70</v>
      </c>
      <c r="D35" s="480">
        <v>0</v>
      </c>
      <c r="E35" s="480" t="s">
        <v>0</v>
      </c>
      <c r="F35" s="480">
        <v>1</v>
      </c>
      <c r="G35" s="480" t="s">
        <v>104</v>
      </c>
      <c r="H35" s="479" t="s">
        <v>182</v>
      </c>
    </row>
    <row r="36" spans="1:8" x14ac:dyDescent="0.2">
      <c r="A36" s="478" t="s">
        <v>287</v>
      </c>
      <c r="B36" s="477">
        <v>44896</v>
      </c>
      <c r="C36" s="479" t="s">
        <v>160</v>
      </c>
      <c r="D36" s="479">
        <v>0</v>
      </c>
      <c r="E36" s="479" t="s">
        <v>0</v>
      </c>
      <c r="F36" s="479">
        <v>2</v>
      </c>
      <c r="G36" s="479" t="s">
        <v>7</v>
      </c>
      <c r="H36" s="479" t="s">
        <v>176</v>
      </c>
    </row>
    <row r="37" spans="1:8" x14ac:dyDescent="0.2">
      <c r="A37" s="478" t="s">
        <v>287</v>
      </c>
      <c r="B37" s="477">
        <v>44896</v>
      </c>
      <c r="C37" s="479" t="s">
        <v>160</v>
      </c>
      <c r="D37" s="479">
        <v>1</v>
      </c>
      <c r="E37" s="479" t="s">
        <v>0</v>
      </c>
      <c r="F37" s="479">
        <v>3</v>
      </c>
      <c r="G37" s="479" t="s">
        <v>7</v>
      </c>
      <c r="H37" s="479" t="s">
        <v>202</v>
      </c>
    </row>
    <row r="38" spans="1:8" x14ac:dyDescent="0.2">
      <c r="A38" s="478" t="s">
        <v>287</v>
      </c>
      <c r="B38" s="477">
        <v>44896</v>
      </c>
      <c r="C38" s="479" t="s">
        <v>160</v>
      </c>
      <c r="D38" s="479">
        <v>1</v>
      </c>
      <c r="E38" s="479" t="s">
        <v>0</v>
      </c>
      <c r="F38" s="479">
        <v>2</v>
      </c>
      <c r="G38" s="479" t="s">
        <v>7</v>
      </c>
      <c r="H38" s="479" t="s">
        <v>204</v>
      </c>
    </row>
    <row r="39" spans="1:8" x14ac:dyDescent="0.2">
      <c r="A39" s="478" t="s">
        <v>287</v>
      </c>
      <c r="B39" s="477">
        <v>44896</v>
      </c>
      <c r="C39" s="479" t="s">
        <v>160</v>
      </c>
      <c r="D39" s="479">
        <v>0</v>
      </c>
      <c r="E39" s="479" t="s">
        <v>0</v>
      </c>
      <c r="F39" s="479">
        <v>1</v>
      </c>
      <c r="G39" s="479" t="s">
        <v>7</v>
      </c>
      <c r="H39" s="479" t="s">
        <v>179</v>
      </c>
    </row>
    <row r="40" spans="1:8" x14ac:dyDescent="0.2">
      <c r="A40" s="478" t="s">
        <v>287</v>
      </c>
      <c r="B40" s="477">
        <v>44896</v>
      </c>
      <c r="C40" s="479" t="s">
        <v>160</v>
      </c>
      <c r="D40" s="479">
        <v>0</v>
      </c>
      <c r="E40" s="479" t="s">
        <v>0</v>
      </c>
      <c r="F40" s="479">
        <v>2</v>
      </c>
      <c r="G40" s="479" t="s">
        <v>7</v>
      </c>
      <c r="H40" s="479" t="s">
        <v>199</v>
      </c>
    </row>
    <row r="41" spans="1:8" x14ac:dyDescent="0.2">
      <c r="A41" s="478" t="s">
        <v>287</v>
      </c>
      <c r="B41" s="477">
        <v>44896</v>
      </c>
      <c r="C41" s="479" t="s">
        <v>160</v>
      </c>
      <c r="D41" s="479">
        <v>0</v>
      </c>
      <c r="E41" s="479" t="s">
        <v>0</v>
      </c>
      <c r="F41" s="479">
        <v>3</v>
      </c>
      <c r="G41" s="479" t="s">
        <v>7</v>
      </c>
      <c r="H41" s="479" t="s">
        <v>186</v>
      </c>
    </row>
    <row r="42" spans="1:8" x14ac:dyDescent="0.2">
      <c r="A42" s="478" t="s">
        <v>287</v>
      </c>
      <c r="B42" s="477">
        <v>44896</v>
      </c>
      <c r="C42" s="479" t="s">
        <v>160</v>
      </c>
      <c r="D42" s="479">
        <v>1</v>
      </c>
      <c r="E42" s="479" t="s">
        <v>0</v>
      </c>
      <c r="F42" s="479">
        <v>3</v>
      </c>
      <c r="G42" s="479" t="s">
        <v>7</v>
      </c>
      <c r="H42" s="479" t="s">
        <v>180</v>
      </c>
    </row>
    <row r="43" spans="1:8" x14ac:dyDescent="0.2">
      <c r="A43" s="478" t="s">
        <v>287</v>
      </c>
      <c r="B43" s="477">
        <v>44896</v>
      </c>
      <c r="C43" s="479" t="s">
        <v>160</v>
      </c>
      <c r="D43" s="479">
        <v>0</v>
      </c>
      <c r="E43" s="479" t="s">
        <v>0</v>
      </c>
      <c r="F43" s="479">
        <v>2</v>
      </c>
      <c r="G43" s="479" t="s">
        <v>7</v>
      </c>
      <c r="H43" s="479" t="s">
        <v>201</v>
      </c>
    </row>
    <row r="44" spans="1:8" x14ac:dyDescent="0.2">
      <c r="A44" s="478" t="s">
        <v>287</v>
      </c>
      <c r="B44" s="477">
        <v>44896</v>
      </c>
      <c r="C44" s="479" t="s">
        <v>160</v>
      </c>
      <c r="D44" s="479">
        <v>0</v>
      </c>
      <c r="E44" s="479" t="s">
        <v>0</v>
      </c>
      <c r="F44" s="479">
        <v>2</v>
      </c>
      <c r="G44" s="479" t="s">
        <v>7</v>
      </c>
      <c r="H44" s="479" t="s">
        <v>200</v>
      </c>
    </row>
    <row r="45" spans="1:8" x14ac:dyDescent="0.2">
      <c r="A45" s="478" t="s">
        <v>287</v>
      </c>
      <c r="B45" s="477">
        <v>44896</v>
      </c>
      <c r="C45" s="479" t="s">
        <v>160</v>
      </c>
      <c r="D45" s="479">
        <v>0</v>
      </c>
      <c r="E45" s="479" t="s">
        <v>0</v>
      </c>
      <c r="F45" s="479">
        <v>2</v>
      </c>
      <c r="G45" s="479" t="s">
        <v>7</v>
      </c>
      <c r="H45" s="479" t="s">
        <v>181</v>
      </c>
    </row>
    <row r="46" spans="1:8" x14ac:dyDescent="0.2">
      <c r="A46" s="478" t="s">
        <v>287</v>
      </c>
      <c r="B46" s="477">
        <v>44896</v>
      </c>
      <c r="C46" s="479" t="s">
        <v>160</v>
      </c>
      <c r="D46" s="479">
        <v>0</v>
      </c>
      <c r="E46" s="479" t="s">
        <v>0</v>
      </c>
      <c r="F46" s="479">
        <v>3</v>
      </c>
      <c r="G46" s="479" t="s">
        <v>7</v>
      </c>
      <c r="H46" s="479" t="s">
        <v>177</v>
      </c>
    </row>
    <row r="47" spans="1:8" x14ac:dyDescent="0.2">
      <c r="A47" s="478" t="s">
        <v>287</v>
      </c>
      <c r="B47" s="477">
        <v>44896</v>
      </c>
      <c r="C47" s="479" t="s">
        <v>160</v>
      </c>
      <c r="D47" s="479">
        <v>1</v>
      </c>
      <c r="E47" s="479" t="s">
        <v>0</v>
      </c>
      <c r="F47" s="479">
        <v>5</v>
      </c>
      <c r="G47" s="479" t="s">
        <v>7</v>
      </c>
      <c r="H47" s="479" t="s">
        <v>184</v>
      </c>
    </row>
    <row r="48" spans="1:8" x14ac:dyDescent="0.2">
      <c r="A48" s="478" t="s">
        <v>287</v>
      </c>
      <c r="B48" s="477">
        <v>44896</v>
      </c>
      <c r="C48" s="479" t="s">
        <v>160</v>
      </c>
      <c r="D48" s="479">
        <v>0</v>
      </c>
      <c r="E48" s="479" t="s">
        <v>0</v>
      </c>
      <c r="F48" s="479">
        <v>2</v>
      </c>
      <c r="G48" s="479" t="s">
        <v>7</v>
      </c>
      <c r="H48" s="479" t="s">
        <v>203</v>
      </c>
    </row>
    <row r="49" spans="1:8" x14ac:dyDescent="0.2">
      <c r="A49" s="478" t="s">
        <v>287</v>
      </c>
      <c r="B49" s="477">
        <v>44896</v>
      </c>
      <c r="C49" s="479" t="s">
        <v>160</v>
      </c>
      <c r="D49" s="479">
        <v>2</v>
      </c>
      <c r="E49" s="479" t="s">
        <v>0</v>
      </c>
      <c r="F49" s="479">
        <v>3</v>
      </c>
      <c r="G49" s="479" t="s">
        <v>7</v>
      </c>
      <c r="H49" s="479" t="s">
        <v>183</v>
      </c>
    </row>
    <row r="50" spans="1:8" x14ac:dyDescent="0.2">
      <c r="A50" s="478" t="s">
        <v>287</v>
      </c>
      <c r="B50" s="477">
        <v>44896</v>
      </c>
      <c r="C50" s="479" t="s">
        <v>160</v>
      </c>
      <c r="D50" s="479">
        <v>1</v>
      </c>
      <c r="E50" s="479" t="s">
        <v>0</v>
      </c>
      <c r="F50" s="479">
        <v>2</v>
      </c>
      <c r="G50" s="479" t="s">
        <v>7</v>
      </c>
      <c r="H50" s="479" t="s">
        <v>185</v>
      </c>
    </row>
    <row r="51" spans="1:8" x14ac:dyDescent="0.2">
      <c r="A51" s="478" t="s">
        <v>287</v>
      </c>
      <c r="B51" s="477">
        <v>44896</v>
      </c>
      <c r="C51" s="479" t="s">
        <v>160</v>
      </c>
      <c r="D51" s="479">
        <v>0</v>
      </c>
      <c r="E51" s="479" t="s">
        <v>0</v>
      </c>
      <c r="F51" s="479">
        <v>2</v>
      </c>
      <c r="G51" s="479" t="s">
        <v>7</v>
      </c>
      <c r="H51" s="479" t="s">
        <v>306</v>
      </c>
    </row>
    <row r="52" spans="1:8" x14ac:dyDescent="0.2">
      <c r="A52" s="478" t="s">
        <v>287</v>
      </c>
      <c r="B52" s="477">
        <v>44896</v>
      </c>
      <c r="C52" s="480" t="s">
        <v>160</v>
      </c>
      <c r="D52" s="480">
        <v>0</v>
      </c>
      <c r="E52" s="480" t="s">
        <v>0</v>
      </c>
      <c r="F52" s="480">
        <v>2</v>
      </c>
      <c r="G52" s="480" t="s">
        <v>7</v>
      </c>
      <c r="H52" s="479" t="s">
        <v>182</v>
      </c>
    </row>
    <row r="53" spans="1:8" x14ac:dyDescent="0.2">
      <c r="A53" s="478" t="s">
        <v>293</v>
      </c>
      <c r="B53" s="477">
        <v>44896</v>
      </c>
      <c r="C53" s="479" t="s">
        <v>150</v>
      </c>
      <c r="D53" s="479">
        <v>3</v>
      </c>
      <c r="E53" s="479" t="s">
        <v>0</v>
      </c>
      <c r="F53" s="479">
        <v>1</v>
      </c>
      <c r="G53" s="479" t="s">
        <v>126</v>
      </c>
      <c r="H53" s="479" t="s">
        <v>176</v>
      </c>
    </row>
    <row r="54" spans="1:8" x14ac:dyDescent="0.2">
      <c r="A54" s="478" t="s">
        <v>293</v>
      </c>
      <c r="B54" s="477">
        <v>44896</v>
      </c>
      <c r="C54" s="479" t="s">
        <v>150</v>
      </c>
      <c r="D54" s="479">
        <v>1</v>
      </c>
      <c r="E54" s="479" t="s">
        <v>0</v>
      </c>
      <c r="F54" s="479">
        <v>1</v>
      </c>
      <c r="G54" s="479" t="s">
        <v>126</v>
      </c>
      <c r="H54" s="479" t="s">
        <v>202</v>
      </c>
    </row>
    <row r="55" spans="1:8" x14ac:dyDescent="0.2">
      <c r="A55" s="478" t="s">
        <v>293</v>
      </c>
      <c r="B55" s="477">
        <v>44896</v>
      </c>
      <c r="C55" s="479" t="s">
        <v>150</v>
      </c>
      <c r="D55" s="479">
        <v>1</v>
      </c>
      <c r="E55" s="479" t="s">
        <v>0</v>
      </c>
      <c r="F55" s="479">
        <v>2</v>
      </c>
      <c r="G55" s="479" t="s">
        <v>126</v>
      </c>
      <c r="H55" s="479" t="s">
        <v>204</v>
      </c>
    </row>
    <row r="56" spans="1:8" x14ac:dyDescent="0.2">
      <c r="A56" s="478" t="s">
        <v>293</v>
      </c>
      <c r="B56" s="477">
        <v>44896</v>
      </c>
      <c r="C56" s="479" t="s">
        <v>150</v>
      </c>
      <c r="D56" s="479">
        <v>1</v>
      </c>
      <c r="E56" s="479" t="s">
        <v>0</v>
      </c>
      <c r="F56" s="479">
        <v>1</v>
      </c>
      <c r="G56" s="479" t="s">
        <v>126</v>
      </c>
      <c r="H56" s="479" t="s">
        <v>179</v>
      </c>
    </row>
    <row r="57" spans="1:8" x14ac:dyDescent="0.2">
      <c r="A57" s="478" t="s">
        <v>293</v>
      </c>
      <c r="B57" s="477">
        <v>44896</v>
      </c>
      <c r="C57" s="479" t="s">
        <v>150</v>
      </c>
      <c r="D57" s="479">
        <v>2</v>
      </c>
      <c r="E57" s="479" t="s">
        <v>0</v>
      </c>
      <c r="F57" s="479">
        <v>2</v>
      </c>
      <c r="G57" s="479" t="s">
        <v>126</v>
      </c>
      <c r="H57" s="479" t="s">
        <v>199</v>
      </c>
    </row>
    <row r="58" spans="1:8" x14ac:dyDescent="0.2">
      <c r="A58" s="478" t="s">
        <v>293</v>
      </c>
      <c r="B58" s="477">
        <v>44896</v>
      </c>
      <c r="C58" s="479" t="s">
        <v>150</v>
      </c>
      <c r="D58" s="479">
        <v>0</v>
      </c>
      <c r="E58" s="479" t="s">
        <v>0</v>
      </c>
      <c r="F58" s="479">
        <v>0</v>
      </c>
      <c r="G58" s="479" t="s">
        <v>126</v>
      </c>
      <c r="H58" s="479" t="s">
        <v>186</v>
      </c>
    </row>
    <row r="59" spans="1:8" x14ac:dyDescent="0.2">
      <c r="A59" s="478" t="s">
        <v>293</v>
      </c>
      <c r="B59" s="477">
        <v>44896</v>
      </c>
      <c r="C59" s="479" t="s">
        <v>150</v>
      </c>
      <c r="D59" s="479">
        <v>2</v>
      </c>
      <c r="E59" s="479" t="s">
        <v>0</v>
      </c>
      <c r="F59" s="479">
        <v>3</v>
      </c>
      <c r="G59" s="479" t="s">
        <v>126</v>
      </c>
      <c r="H59" s="479" t="s">
        <v>180</v>
      </c>
    </row>
    <row r="60" spans="1:8" x14ac:dyDescent="0.2">
      <c r="A60" s="478" t="s">
        <v>293</v>
      </c>
      <c r="B60" s="477">
        <v>44896</v>
      </c>
      <c r="C60" s="479" t="s">
        <v>150</v>
      </c>
      <c r="D60" s="479">
        <v>1</v>
      </c>
      <c r="E60" s="479" t="s">
        <v>0</v>
      </c>
      <c r="F60" s="479">
        <v>0</v>
      </c>
      <c r="G60" s="479" t="s">
        <v>126</v>
      </c>
      <c r="H60" s="479" t="s">
        <v>201</v>
      </c>
    </row>
    <row r="61" spans="1:8" x14ac:dyDescent="0.2">
      <c r="A61" s="478" t="s">
        <v>293</v>
      </c>
      <c r="B61" s="477">
        <v>44896</v>
      </c>
      <c r="C61" s="479" t="s">
        <v>150</v>
      </c>
      <c r="D61" s="479">
        <v>1</v>
      </c>
      <c r="E61" s="479" t="s">
        <v>0</v>
      </c>
      <c r="F61" s="479">
        <v>0</v>
      </c>
      <c r="G61" s="479" t="s">
        <v>126</v>
      </c>
      <c r="H61" s="479" t="s">
        <v>200</v>
      </c>
    </row>
    <row r="62" spans="1:8" x14ac:dyDescent="0.2">
      <c r="A62" s="478" t="s">
        <v>293</v>
      </c>
      <c r="B62" s="477">
        <v>44896</v>
      </c>
      <c r="C62" s="479" t="s">
        <v>150</v>
      </c>
      <c r="D62" s="479">
        <v>1</v>
      </c>
      <c r="E62" s="479" t="s">
        <v>0</v>
      </c>
      <c r="F62" s="479">
        <v>0</v>
      </c>
      <c r="G62" s="479" t="s">
        <v>126</v>
      </c>
      <c r="H62" s="479" t="s">
        <v>181</v>
      </c>
    </row>
    <row r="63" spans="1:8" x14ac:dyDescent="0.2">
      <c r="A63" s="478" t="s">
        <v>293</v>
      </c>
      <c r="B63" s="477">
        <v>44896</v>
      </c>
      <c r="C63" s="479" t="s">
        <v>150</v>
      </c>
      <c r="D63" s="479">
        <v>0</v>
      </c>
      <c r="E63" s="479" t="s">
        <v>0</v>
      </c>
      <c r="F63" s="479">
        <v>0</v>
      </c>
      <c r="G63" s="479" t="s">
        <v>126</v>
      </c>
      <c r="H63" s="479" t="s">
        <v>177</v>
      </c>
    </row>
    <row r="64" spans="1:8" x14ac:dyDescent="0.2">
      <c r="A64" s="478" t="s">
        <v>293</v>
      </c>
      <c r="B64" s="477">
        <v>44896</v>
      </c>
      <c r="C64" s="479" t="s">
        <v>150</v>
      </c>
      <c r="D64" s="479">
        <v>2</v>
      </c>
      <c r="E64" s="479" t="s">
        <v>0</v>
      </c>
      <c r="F64" s="479">
        <v>0</v>
      </c>
      <c r="G64" s="479" t="s">
        <v>126</v>
      </c>
      <c r="H64" s="479" t="s">
        <v>184</v>
      </c>
    </row>
    <row r="65" spans="1:8" x14ac:dyDescent="0.2">
      <c r="A65" s="478" t="s">
        <v>293</v>
      </c>
      <c r="B65" s="477">
        <v>44896</v>
      </c>
      <c r="C65" s="479" t="s">
        <v>150</v>
      </c>
      <c r="D65" s="479">
        <v>1</v>
      </c>
      <c r="E65" s="479" t="s">
        <v>0</v>
      </c>
      <c r="F65" s="479">
        <v>2</v>
      </c>
      <c r="G65" s="479" t="s">
        <v>126</v>
      </c>
      <c r="H65" s="479" t="s">
        <v>203</v>
      </c>
    </row>
    <row r="66" spans="1:8" x14ac:dyDescent="0.2">
      <c r="A66" s="478" t="s">
        <v>293</v>
      </c>
      <c r="B66" s="477">
        <v>44896</v>
      </c>
      <c r="C66" s="479" t="s">
        <v>150</v>
      </c>
      <c r="D66" s="479">
        <v>2</v>
      </c>
      <c r="E66" s="479" t="s">
        <v>0</v>
      </c>
      <c r="F66" s="479">
        <v>1</v>
      </c>
      <c r="G66" s="479" t="s">
        <v>126</v>
      </c>
      <c r="H66" s="479" t="s">
        <v>183</v>
      </c>
    </row>
    <row r="67" spans="1:8" x14ac:dyDescent="0.2">
      <c r="A67" s="478" t="s">
        <v>293</v>
      </c>
      <c r="B67" s="477">
        <v>44896</v>
      </c>
      <c r="C67" s="479" t="s">
        <v>150</v>
      </c>
      <c r="D67" s="479">
        <v>0</v>
      </c>
      <c r="E67" s="479" t="s">
        <v>0</v>
      </c>
      <c r="F67" s="479">
        <v>1</v>
      </c>
      <c r="G67" s="479" t="s">
        <v>126</v>
      </c>
      <c r="H67" s="479" t="s">
        <v>185</v>
      </c>
    </row>
    <row r="68" spans="1:8" x14ac:dyDescent="0.2">
      <c r="A68" s="478" t="s">
        <v>293</v>
      </c>
      <c r="B68" s="477">
        <v>44896</v>
      </c>
      <c r="C68" s="479" t="s">
        <v>150</v>
      </c>
      <c r="D68" s="479">
        <v>2</v>
      </c>
      <c r="E68" s="479" t="s">
        <v>0</v>
      </c>
      <c r="F68" s="479">
        <v>1</v>
      </c>
      <c r="G68" s="479" t="s">
        <v>126</v>
      </c>
      <c r="H68" s="479" t="s">
        <v>306</v>
      </c>
    </row>
    <row r="69" spans="1:8" x14ac:dyDescent="0.2">
      <c r="A69" s="478" t="s">
        <v>293</v>
      </c>
      <c r="B69" s="477">
        <v>44896</v>
      </c>
      <c r="C69" s="480" t="s">
        <v>150</v>
      </c>
      <c r="D69" s="480">
        <v>2</v>
      </c>
      <c r="E69" s="480" t="s">
        <v>0</v>
      </c>
      <c r="F69" s="480">
        <v>0</v>
      </c>
      <c r="G69" s="480" t="s">
        <v>126</v>
      </c>
      <c r="H69" s="479" t="s">
        <v>182</v>
      </c>
    </row>
    <row r="70" spans="1:8" x14ac:dyDescent="0.2">
      <c r="A70" s="478" t="s">
        <v>298</v>
      </c>
      <c r="B70" s="477">
        <v>44897</v>
      </c>
      <c r="C70" s="479" t="s">
        <v>151</v>
      </c>
      <c r="D70" s="479">
        <v>0</v>
      </c>
      <c r="E70" s="479" t="s">
        <v>0</v>
      </c>
      <c r="F70" s="479">
        <v>4</v>
      </c>
      <c r="G70" s="479" t="s">
        <v>10</v>
      </c>
      <c r="H70" s="479" t="s">
        <v>176</v>
      </c>
    </row>
    <row r="71" spans="1:8" x14ac:dyDescent="0.2">
      <c r="A71" s="478" t="s">
        <v>298</v>
      </c>
      <c r="B71" s="477">
        <v>44897</v>
      </c>
      <c r="C71" s="479" t="s">
        <v>151</v>
      </c>
      <c r="D71" s="479">
        <v>1</v>
      </c>
      <c r="E71" s="479" t="s">
        <v>0</v>
      </c>
      <c r="F71" s="479">
        <v>3</v>
      </c>
      <c r="G71" s="479" t="s">
        <v>10</v>
      </c>
      <c r="H71" s="479" t="s">
        <v>202</v>
      </c>
    </row>
    <row r="72" spans="1:8" x14ac:dyDescent="0.2">
      <c r="A72" s="478" t="s">
        <v>298</v>
      </c>
      <c r="B72" s="477">
        <v>44897</v>
      </c>
      <c r="C72" s="479" t="s">
        <v>151</v>
      </c>
      <c r="D72" s="479">
        <v>0</v>
      </c>
      <c r="E72" s="479" t="s">
        <v>0</v>
      </c>
      <c r="F72" s="479">
        <v>2</v>
      </c>
      <c r="G72" s="479" t="s">
        <v>10</v>
      </c>
      <c r="H72" s="479" t="s">
        <v>204</v>
      </c>
    </row>
    <row r="73" spans="1:8" x14ac:dyDescent="0.2">
      <c r="A73" s="478" t="s">
        <v>298</v>
      </c>
      <c r="B73" s="477">
        <v>44897</v>
      </c>
      <c r="C73" s="479" t="s">
        <v>151</v>
      </c>
      <c r="D73" s="479">
        <v>1</v>
      </c>
      <c r="E73" s="479" t="s">
        <v>0</v>
      </c>
      <c r="F73" s="479">
        <v>2</v>
      </c>
      <c r="G73" s="479" t="s">
        <v>10</v>
      </c>
      <c r="H73" s="479" t="s">
        <v>179</v>
      </c>
    </row>
    <row r="74" spans="1:8" x14ac:dyDescent="0.2">
      <c r="A74" s="478" t="s">
        <v>298</v>
      </c>
      <c r="B74" s="477">
        <v>44897</v>
      </c>
      <c r="C74" s="479" t="s">
        <v>151</v>
      </c>
      <c r="D74" s="479">
        <v>1</v>
      </c>
      <c r="E74" s="479" t="s">
        <v>0</v>
      </c>
      <c r="F74" s="479">
        <v>2</v>
      </c>
      <c r="G74" s="479" t="s">
        <v>10</v>
      </c>
      <c r="H74" s="479" t="s">
        <v>199</v>
      </c>
    </row>
    <row r="75" spans="1:8" x14ac:dyDescent="0.2">
      <c r="A75" s="478" t="s">
        <v>298</v>
      </c>
      <c r="B75" s="477">
        <v>44897</v>
      </c>
      <c r="C75" s="479" t="s">
        <v>151</v>
      </c>
      <c r="D75" s="479">
        <v>0</v>
      </c>
      <c r="E75" s="479" t="s">
        <v>0</v>
      </c>
      <c r="F75" s="479">
        <v>3</v>
      </c>
      <c r="G75" s="479" t="s">
        <v>10</v>
      </c>
      <c r="H75" s="479" t="s">
        <v>186</v>
      </c>
    </row>
    <row r="76" spans="1:8" x14ac:dyDescent="0.2">
      <c r="A76" s="478" t="s">
        <v>298</v>
      </c>
      <c r="B76" s="477">
        <v>44897</v>
      </c>
      <c r="C76" s="479" t="s">
        <v>151</v>
      </c>
      <c r="D76" s="479">
        <v>0</v>
      </c>
      <c r="E76" s="479" t="s">
        <v>0</v>
      </c>
      <c r="F76" s="479">
        <v>3</v>
      </c>
      <c r="G76" s="479" t="s">
        <v>10</v>
      </c>
      <c r="H76" s="479" t="s">
        <v>180</v>
      </c>
    </row>
    <row r="77" spans="1:8" x14ac:dyDescent="0.2">
      <c r="A77" s="478" t="s">
        <v>298</v>
      </c>
      <c r="B77" s="477">
        <v>44897</v>
      </c>
      <c r="C77" s="479" t="s">
        <v>151</v>
      </c>
      <c r="D77" s="479">
        <v>0</v>
      </c>
      <c r="E77" s="479" t="s">
        <v>0</v>
      </c>
      <c r="F77" s="479">
        <v>2</v>
      </c>
      <c r="G77" s="479" t="s">
        <v>10</v>
      </c>
      <c r="H77" s="479" t="s">
        <v>201</v>
      </c>
    </row>
    <row r="78" spans="1:8" x14ac:dyDescent="0.2">
      <c r="A78" s="478" t="s">
        <v>298</v>
      </c>
      <c r="B78" s="477">
        <v>44897</v>
      </c>
      <c r="C78" s="479" t="s">
        <v>151</v>
      </c>
      <c r="D78" s="479">
        <v>1</v>
      </c>
      <c r="E78" s="479" t="s">
        <v>0</v>
      </c>
      <c r="F78" s="479">
        <v>3</v>
      </c>
      <c r="G78" s="479" t="s">
        <v>10</v>
      </c>
      <c r="H78" s="479" t="s">
        <v>200</v>
      </c>
    </row>
    <row r="79" spans="1:8" x14ac:dyDescent="0.2">
      <c r="A79" s="478" t="s">
        <v>298</v>
      </c>
      <c r="B79" s="477">
        <v>44897</v>
      </c>
      <c r="C79" s="479" t="s">
        <v>151</v>
      </c>
      <c r="D79" s="479">
        <v>0</v>
      </c>
      <c r="E79" s="479" t="s">
        <v>0</v>
      </c>
      <c r="F79" s="479">
        <v>3</v>
      </c>
      <c r="G79" s="479" t="s">
        <v>10</v>
      </c>
      <c r="H79" s="479" t="s">
        <v>181</v>
      </c>
    </row>
    <row r="80" spans="1:8" x14ac:dyDescent="0.2">
      <c r="A80" s="478" t="s">
        <v>298</v>
      </c>
      <c r="B80" s="477">
        <v>44897</v>
      </c>
      <c r="C80" s="479" t="s">
        <v>151</v>
      </c>
      <c r="D80" s="479">
        <v>1</v>
      </c>
      <c r="E80" s="479" t="s">
        <v>0</v>
      </c>
      <c r="F80" s="479">
        <v>3</v>
      </c>
      <c r="G80" s="479" t="s">
        <v>10</v>
      </c>
      <c r="H80" s="479" t="s">
        <v>177</v>
      </c>
    </row>
    <row r="81" spans="1:8" x14ac:dyDescent="0.2">
      <c r="A81" s="478" t="s">
        <v>298</v>
      </c>
      <c r="B81" s="477">
        <v>44897</v>
      </c>
      <c r="C81" s="479" t="s">
        <v>151</v>
      </c>
      <c r="D81" s="479">
        <v>1</v>
      </c>
      <c r="E81" s="479" t="s">
        <v>0</v>
      </c>
      <c r="F81" s="479">
        <v>3</v>
      </c>
      <c r="G81" s="479" t="s">
        <v>10</v>
      </c>
      <c r="H81" s="479" t="s">
        <v>184</v>
      </c>
    </row>
    <row r="82" spans="1:8" x14ac:dyDescent="0.2">
      <c r="A82" s="478" t="s">
        <v>298</v>
      </c>
      <c r="B82" s="477">
        <v>44897</v>
      </c>
      <c r="C82" s="479" t="s">
        <v>151</v>
      </c>
      <c r="D82" s="479">
        <v>1</v>
      </c>
      <c r="E82" s="479" t="s">
        <v>0</v>
      </c>
      <c r="F82" s="479">
        <v>3</v>
      </c>
      <c r="G82" s="479" t="s">
        <v>10</v>
      </c>
      <c r="H82" s="479" t="s">
        <v>203</v>
      </c>
    </row>
    <row r="83" spans="1:8" x14ac:dyDescent="0.2">
      <c r="A83" s="478" t="s">
        <v>298</v>
      </c>
      <c r="B83" s="477">
        <v>44897</v>
      </c>
      <c r="C83" s="479" t="s">
        <v>151</v>
      </c>
      <c r="D83" s="479">
        <v>1</v>
      </c>
      <c r="E83" s="479" t="s">
        <v>0</v>
      </c>
      <c r="F83" s="479">
        <v>2</v>
      </c>
      <c r="G83" s="479" t="s">
        <v>10</v>
      </c>
      <c r="H83" s="479" t="s">
        <v>183</v>
      </c>
    </row>
    <row r="84" spans="1:8" x14ac:dyDescent="0.2">
      <c r="A84" s="478" t="s">
        <v>298</v>
      </c>
      <c r="B84" s="477">
        <v>44897</v>
      </c>
      <c r="C84" s="479" t="s">
        <v>151</v>
      </c>
      <c r="D84" s="479">
        <v>0</v>
      </c>
      <c r="E84" s="479" t="s">
        <v>0</v>
      </c>
      <c r="F84" s="479">
        <v>3</v>
      </c>
      <c r="G84" s="479" t="s">
        <v>10</v>
      </c>
      <c r="H84" s="479" t="s">
        <v>185</v>
      </c>
    </row>
    <row r="85" spans="1:8" x14ac:dyDescent="0.2">
      <c r="A85" s="478" t="s">
        <v>298</v>
      </c>
      <c r="B85" s="477">
        <v>44897</v>
      </c>
      <c r="C85" s="479" t="s">
        <v>151</v>
      </c>
      <c r="D85" s="479">
        <v>0</v>
      </c>
      <c r="E85" s="479" t="s">
        <v>0</v>
      </c>
      <c r="F85" s="479">
        <v>3</v>
      </c>
      <c r="G85" s="479" t="s">
        <v>10</v>
      </c>
      <c r="H85" s="479" t="s">
        <v>306</v>
      </c>
    </row>
    <row r="86" spans="1:8" x14ac:dyDescent="0.2">
      <c r="A86" s="478" t="s">
        <v>298</v>
      </c>
      <c r="B86" s="477">
        <v>44897</v>
      </c>
      <c r="C86" s="480" t="s">
        <v>151</v>
      </c>
      <c r="D86" s="480">
        <v>0</v>
      </c>
      <c r="E86" s="480" t="s">
        <v>0</v>
      </c>
      <c r="F86" s="480">
        <v>2</v>
      </c>
      <c r="G86" s="480" t="s">
        <v>10</v>
      </c>
      <c r="H86" s="479" t="s">
        <v>182</v>
      </c>
    </row>
    <row r="87" spans="1:8" x14ac:dyDescent="0.2">
      <c r="A87" s="478" t="s">
        <v>304</v>
      </c>
      <c r="B87" s="477">
        <v>44897</v>
      </c>
      <c r="C87" s="479" t="s">
        <v>5</v>
      </c>
      <c r="D87" s="479">
        <v>1</v>
      </c>
      <c r="E87" s="479" t="s">
        <v>0</v>
      </c>
      <c r="F87" s="479">
        <v>2</v>
      </c>
      <c r="G87" s="479" t="s">
        <v>9</v>
      </c>
      <c r="H87" s="479" t="s">
        <v>176</v>
      </c>
    </row>
    <row r="88" spans="1:8" x14ac:dyDescent="0.2">
      <c r="A88" s="478" t="s">
        <v>304</v>
      </c>
      <c r="B88" s="477">
        <v>44897</v>
      </c>
      <c r="C88" s="479" t="s">
        <v>5</v>
      </c>
      <c r="D88" s="479">
        <v>1</v>
      </c>
      <c r="E88" s="479" t="s">
        <v>0</v>
      </c>
      <c r="F88" s="479">
        <v>3</v>
      </c>
      <c r="G88" s="479" t="s">
        <v>9</v>
      </c>
      <c r="H88" s="479" t="s">
        <v>202</v>
      </c>
    </row>
    <row r="89" spans="1:8" x14ac:dyDescent="0.2">
      <c r="A89" s="478" t="s">
        <v>304</v>
      </c>
      <c r="B89" s="477">
        <v>44897</v>
      </c>
      <c r="C89" s="479" t="s">
        <v>5</v>
      </c>
      <c r="D89" s="479">
        <v>0</v>
      </c>
      <c r="E89" s="479" t="s">
        <v>0</v>
      </c>
      <c r="F89" s="479">
        <v>2</v>
      </c>
      <c r="G89" s="479" t="s">
        <v>9</v>
      </c>
      <c r="H89" s="479" t="s">
        <v>204</v>
      </c>
    </row>
    <row r="90" spans="1:8" x14ac:dyDescent="0.2">
      <c r="A90" s="478" t="s">
        <v>304</v>
      </c>
      <c r="B90" s="477">
        <v>44897</v>
      </c>
      <c r="C90" s="479" t="s">
        <v>5</v>
      </c>
      <c r="D90" s="479">
        <v>1</v>
      </c>
      <c r="E90" s="479" t="s">
        <v>0</v>
      </c>
      <c r="F90" s="479">
        <v>2</v>
      </c>
      <c r="G90" s="479" t="s">
        <v>9</v>
      </c>
      <c r="H90" s="479" t="s">
        <v>179</v>
      </c>
    </row>
    <row r="91" spans="1:8" x14ac:dyDescent="0.2">
      <c r="A91" s="478" t="s">
        <v>304</v>
      </c>
      <c r="B91" s="477">
        <v>44897</v>
      </c>
      <c r="C91" s="479" t="s">
        <v>5</v>
      </c>
      <c r="D91" s="479">
        <v>1</v>
      </c>
      <c r="E91" s="479" t="s">
        <v>0</v>
      </c>
      <c r="F91" s="479">
        <v>3</v>
      </c>
      <c r="G91" s="479" t="s">
        <v>9</v>
      </c>
      <c r="H91" s="479" t="s">
        <v>199</v>
      </c>
    </row>
    <row r="92" spans="1:8" x14ac:dyDescent="0.2">
      <c r="A92" s="478" t="s">
        <v>304</v>
      </c>
      <c r="B92" s="477">
        <v>44897</v>
      </c>
      <c r="C92" s="479" t="s">
        <v>5</v>
      </c>
      <c r="D92" s="479">
        <v>0</v>
      </c>
      <c r="E92" s="479" t="s">
        <v>0</v>
      </c>
      <c r="F92" s="479">
        <v>1</v>
      </c>
      <c r="G92" s="479" t="s">
        <v>9</v>
      </c>
      <c r="H92" s="479" t="s">
        <v>186</v>
      </c>
    </row>
    <row r="93" spans="1:8" x14ac:dyDescent="0.2">
      <c r="A93" s="478" t="s">
        <v>304</v>
      </c>
      <c r="B93" s="477">
        <v>44897</v>
      </c>
      <c r="C93" s="479" t="s">
        <v>5</v>
      </c>
      <c r="D93" s="479">
        <v>0</v>
      </c>
      <c r="E93" s="479" t="s">
        <v>0</v>
      </c>
      <c r="F93" s="479">
        <v>2</v>
      </c>
      <c r="G93" s="479" t="s">
        <v>9</v>
      </c>
      <c r="H93" s="479" t="s">
        <v>180</v>
      </c>
    </row>
    <row r="94" spans="1:8" x14ac:dyDescent="0.2">
      <c r="A94" s="478" t="s">
        <v>304</v>
      </c>
      <c r="B94" s="477">
        <v>44897</v>
      </c>
      <c r="C94" s="479" t="s">
        <v>5</v>
      </c>
      <c r="D94" s="479">
        <v>0</v>
      </c>
      <c r="E94" s="479" t="s">
        <v>0</v>
      </c>
      <c r="F94" s="479">
        <v>2</v>
      </c>
      <c r="G94" s="479" t="s">
        <v>9</v>
      </c>
      <c r="H94" s="479" t="s">
        <v>201</v>
      </c>
    </row>
    <row r="95" spans="1:8" x14ac:dyDescent="0.2">
      <c r="A95" s="478" t="s">
        <v>304</v>
      </c>
      <c r="B95" s="477">
        <v>44897</v>
      </c>
      <c r="C95" s="479" t="s">
        <v>5</v>
      </c>
      <c r="D95" s="479">
        <v>0</v>
      </c>
      <c r="E95" s="479" t="s">
        <v>0</v>
      </c>
      <c r="F95" s="479">
        <v>2</v>
      </c>
      <c r="G95" s="479" t="s">
        <v>9</v>
      </c>
      <c r="H95" s="479" t="s">
        <v>200</v>
      </c>
    </row>
    <row r="96" spans="1:8" x14ac:dyDescent="0.2">
      <c r="A96" s="478" t="s">
        <v>304</v>
      </c>
      <c r="B96" s="477">
        <v>44897</v>
      </c>
      <c r="C96" s="479" t="s">
        <v>5</v>
      </c>
      <c r="D96" s="479">
        <v>0</v>
      </c>
      <c r="E96" s="479" t="s">
        <v>0</v>
      </c>
      <c r="F96" s="479">
        <v>2</v>
      </c>
      <c r="G96" s="479" t="s">
        <v>9</v>
      </c>
      <c r="H96" s="479" t="s">
        <v>181</v>
      </c>
    </row>
    <row r="97" spans="1:8" x14ac:dyDescent="0.2">
      <c r="A97" s="478" t="s">
        <v>304</v>
      </c>
      <c r="B97" s="477">
        <v>44897</v>
      </c>
      <c r="C97" s="479" t="s">
        <v>5</v>
      </c>
      <c r="D97" s="479">
        <v>1</v>
      </c>
      <c r="E97" s="479" t="s">
        <v>0</v>
      </c>
      <c r="F97" s="479">
        <v>2</v>
      </c>
      <c r="G97" s="479" t="s">
        <v>9</v>
      </c>
      <c r="H97" s="479" t="s">
        <v>177</v>
      </c>
    </row>
    <row r="98" spans="1:8" x14ac:dyDescent="0.2">
      <c r="A98" s="478" t="s">
        <v>304</v>
      </c>
      <c r="B98" s="477">
        <v>44897</v>
      </c>
      <c r="C98" s="479" t="s">
        <v>5</v>
      </c>
      <c r="D98" s="479">
        <v>1</v>
      </c>
      <c r="E98" s="479" t="s">
        <v>0</v>
      </c>
      <c r="F98" s="479">
        <v>3</v>
      </c>
      <c r="G98" s="479" t="s">
        <v>9</v>
      </c>
      <c r="H98" s="479" t="s">
        <v>184</v>
      </c>
    </row>
    <row r="99" spans="1:8" x14ac:dyDescent="0.2">
      <c r="A99" s="478" t="s">
        <v>304</v>
      </c>
      <c r="B99" s="477">
        <v>44897</v>
      </c>
      <c r="C99" s="479" t="s">
        <v>5</v>
      </c>
      <c r="D99" s="479">
        <v>0</v>
      </c>
      <c r="E99" s="479" t="s">
        <v>0</v>
      </c>
      <c r="F99" s="479">
        <v>2</v>
      </c>
      <c r="G99" s="479" t="s">
        <v>9</v>
      </c>
      <c r="H99" s="479" t="s">
        <v>203</v>
      </c>
    </row>
    <row r="100" spans="1:8" x14ac:dyDescent="0.2">
      <c r="A100" s="478" t="s">
        <v>304</v>
      </c>
      <c r="B100" s="477">
        <v>44897</v>
      </c>
      <c r="C100" s="479" t="s">
        <v>5</v>
      </c>
      <c r="D100" s="479">
        <v>0</v>
      </c>
      <c r="E100" s="479" t="s">
        <v>0</v>
      </c>
      <c r="F100" s="479">
        <v>3</v>
      </c>
      <c r="G100" s="479" t="s">
        <v>9</v>
      </c>
      <c r="H100" s="479" t="s">
        <v>183</v>
      </c>
    </row>
    <row r="101" spans="1:8" x14ac:dyDescent="0.2">
      <c r="A101" s="478" t="s">
        <v>304</v>
      </c>
      <c r="B101" s="477">
        <v>44897</v>
      </c>
      <c r="C101" s="479" t="s">
        <v>5</v>
      </c>
      <c r="D101" s="479">
        <v>0</v>
      </c>
      <c r="E101" s="479" t="s">
        <v>0</v>
      </c>
      <c r="F101" s="479">
        <v>2</v>
      </c>
      <c r="G101" s="479" t="s">
        <v>9</v>
      </c>
      <c r="H101" s="479" t="s">
        <v>185</v>
      </c>
    </row>
    <row r="102" spans="1:8" x14ac:dyDescent="0.2">
      <c r="A102" s="478" t="s">
        <v>304</v>
      </c>
      <c r="B102" s="477">
        <v>44897</v>
      </c>
      <c r="C102" s="479" t="s">
        <v>5</v>
      </c>
      <c r="D102" s="479">
        <v>0</v>
      </c>
      <c r="E102" s="479" t="s">
        <v>0</v>
      </c>
      <c r="F102" s="479">
        <v>2</v>
      </c>
      <c r="G102" s="479" t="s">
        <v>9</v>
      </c>
      <c r="H102" s="479" t="s">
        <v>306</v>
      </c>
    </row>
    <row r="103" spans="1:8" x14ac:dyDescent="0.2">
      <c r="A103" s="478" t="s">
        <v>304</v>
      </c>
      <c r="B103" s="477">
        <v>44897</v>
      </c>
      <c r="C103" s="480" t="s">
        <v>5</v>
      </c>
      <c r="D103" s="480">
        <v>0</v>
      </c>
      <c r="E103" s="480" t="s">
        <v>0</v>
      </c>
      <c r="F103" s="480">
        <v>1</v>
      </c>
      <c r="G103" s="480" t="s">
        <v>9</v>
      </c>
      <c r="H103" s="479" t="s">
        <v>182</v>
      </c>
    </row>
    <row r="104" spans="1:8" x14ac:dyDescent="0.2">
      <c r="A104" s="478" t="s">
        <v>299</v>
      </c>
      <c r="B104" s="477">
        <v>44897</v>
      </c>
      <c r="C104" s="479" t="s">
        <v>128</v>
      </c>
      <c r="D104" s="479">
        <v>2</v>
      </c>
      <c r="E104" s="479" t="s">
        <v>0</v>
      </c>
      <c r="F104" s="479">
        <v>2</v>
      </c>
      <c r="G104" s="479" t="s">
        <v>12</v>
      </c>
      <c r="H104" s="479" t="s">
        <v>176</v>
      </c>
    </row>
    <row r="105" spans="1:8" x14ac:dyDescent="0.2">
      <c r="A105" s="478" t="s">
        <v>299</v>
      </c>
      <c r="B105" s="477">
        <v>44897</v>
      </c>
      <c r="C105" s="479" t="s">
        <v>128</v>
      </c>
      <c r="D105" s="479">
        <v>0</v>
      </c>
      <c r="E105" s="479" t="s">
        <v>0</v>
      </c>
      <c r="F105" s="479">
        <v>1</v>
      </c>
      <c r="G105" s="479" t="s">
        <v>12</v>
      </c>
      <c r="H105" s="479" t="s">
        <v>202</v>
      </c>
    </row>
    <row r="106" spans="1:8" x14ac:dyDescent="0.2">
      <c r="A106" s="478" t="s">
        <v>299</v>
      </c>
      <c r="B106" s="477">
        <v>44897</v>
      </c>
      <c r="C106" s="479" t="s">
        <v>128</v>
      </c>
      <c r="D106" s="479">
        <v>1</v>
      </c>
      <c r="E106" s="479" t="s">
        <v>0</v>
      </c>
      <c r="F106" s="479">
        <v>2</v>
      </c>
      <c r="G106" s="479" t="s">
        <v>12</v>
      </c>
      <c r="H106" s="479" t="s">
        <v>204</v>
      </c>
    </row>
    <row r="107" spans="1:8" x14ac:dyDescent="0.2">
      <c r="A107" s="478" t="s">
        <v>299</v>
      </c>
      <c r="B107" s="477">
        <v>44897</v>
      </c>
      <c r="C107" s="479" t="s">
        <v>128</v>
      </c>
      <c r="D107" s="479">
        <v>1</v>
      </c>
      <c r="E107" s="479" t="s">
        <v>0</v>
      </c>
      <c r="F107" s="479">
        <v>1</v>
      </c>
      <c r="G107" s="479" t="s">
        <v>12</v>
      </c>
      <c r="H107" s="479" t="s">
        <v>179</v>
      </c>
    </row>
    <row r="108" spans="1:8" x14ac:dyDescent="0.2">
      <c r="A108" s="478" t="s">
        <v>299</v>
      </c>
      <c r="B108" s="477">
        <v>44897</v>
      </c>
      <c r="C108" s="479" t="s">
        <v>128</v>
      </c>
      <c r="D108" s="479">
        <v>1</v>
      </c>
      <c r="E108" s="479" t="s">
        <v>0</v>
      </c>
      <c r="F108" s="479">
        <v>3</v>
      </c>
      <c r="G108" s="479" t="s">
        <v>12</v>
      </c>
      <c r="H108" s="479" t="s">
        <v>199</v>
      </c>
    </row>
    <row r="109" spans="1:8" x14ac:dyDescent="0.2">
      <c r="A109" s="478" t="s">
        <v>299</v>
      </c>
      <c r="B109" s="477">
        <v>44897</v>
      </c>
      <c r="C109" s="479" t="s">
        <v>128</v>
      </c>
      <c r="D109" s="479">
        <v>2</v>
      </c>
      <c r="E109" s="479" t="s">
        <v>0</v>
      </c>
      <c r="F109" s="479">
        <v>1</v>
      </c>
      <c r="G109" s="479" t="s">
        <v>12</v>
      </c>
      <c r="H109" s="479" t="s">
        <v>186</v>
      </c>
    </row>
    <row r="110" spans="1:8" x14ac:dyDescent="0.2">
      <c r="A110" s="478" t="s">
        <v>299</v>
      </c>
      <c r="B110" s="477">
        <v>44897</v>
      </c>
      <c r="C110" s="479" t="s">
        <v>128</v>
      </c>
      <c r="D110" s="479">
        <v>2</v>
      </c>
      <c r="E110" s="479" t="s">
        <v>0</v>
      </c>
      <c r="F110" s="479">
        <v>1</v>
      </c>
      <c r="G110" s="479" t="s">
        <v>12</v>
      </c>
      <c r="H110" s="479" t="s">
        <v>180</v>
      </c>
    </row>
    <row r="111" spans="1:8" x14ac:dyDescent="0.2">
      <c r="A111" s="478" t="s">
        <v>299</v>
      </c>
      <c r="B111" s="477">
        <v>44897</v>
      </c>
      <c r="C111" s="479" t="s">
        <v>128</v>
      </c>
      <c r="D111" s="479">
        <v>1</v>
      </c>
      <c r="E111" s="479" t="s">
        <v>0</v>
      </c>
      <c r="F111" s="479">
        <v>1</v>
      </c>
      <c r="G111" s="479" t="s">
        <v>12</v>
      </c>
      <c r="H111" s="479" t="s">
        <v>201</v>
      </c>
    </row>
    <row r="112" spans="1:8" x14ac:dyDescent="0.2">
      <c r="A112" s="478" t="s">
        <v>299</v>
      </c>
      <c r="B112" s="477">
        <v>44897</v>
      </c>
      <c r="C112" s="479" t="s">
        <v>128</v>
      </c>
      <c r="D112" s="479">
        <v>1</v>
      </c>
      <c r="E112" s="479" t="s">
        <v>0</v>
      </c>
      <c r="F112" s="479">
        <v>2</v>
      </c>
      <c r="G112" s="479" t="s">
        <v>12</v>
      </c>
      <c r="H112" s="479" t="s">
        <v>200</v>
      </c>
    </row>
    <row r="113" spans="1:8" x14ac:dyDescent="0.2">
      <c r="A113" s="478" t="s">
        <v>299</v>
      </c>
      <c r="B113" s="477">
        <v>44897</v>
      </c>
      <c r="C113" s="479" t="s">
        <v>128</v>
      </c>
      <c r="D113" s="479">
        <v>0</v>
      </c>
      <c r="E113" s="479" t="s">
        <v>0</v>
      </c>
      <c r="F113" s="479">
        <v>1</v>
      </c>
      <c r="G113" s="479" t="s">
        <v>12</v>
      </c>
      <c r="H113" s="479" t="s">
        <v>181</v>
      </c>
    </row>
    <row r="114" spans="1:8" x14ac:dyDescent="0.2">
      <c r="A114" s="478" t="s">
        <v>299</v>
      </c>
      <c r="B114" s="477">
        <v>44897</v>
      </c>
      <c r="C114" s="479" t="s">
        <v>128</v>
      </c>
      <c r="D114" s="479">
        <v>1</v>
      </c>
      <c r="E114" s="479" t="s">
        <v>0</v>
      </c>
      <c r="F114" s="479">
        <v>1</v>
      </c>
      <c r="G114" s="479" t="s">
        <v>12</v>
      </c>
      <c r="H114" s="479" t="s">
        <v>177</v>
      </c>
    </row>
    <row r="115" spans="1:8" x14ac:dyDescent="0.2">
      <c r="A115" s="478" t="s">
        <v>299</v>
      </c>
      <c r="B115" s="477">
        <v>44897</v>
      </c>
      <c r="C115" s="479" t="s">
        <v>128</v>
      </c>
      <c r="D115" s="479">
        <v>2</v>
      </c>
      <c r="E115" s="479" t="s">
        <v>0</v>
      </c>
      <c r="F115" s="479">
        <v>1</v>
      </c>
      <c r="G115" s="479" t="s">
        <v>12</v>
      </c>
      <c r="H115" s="479" t="s">
        <v>184</v>
      </c>
    </row>
    <row r="116" spans="1:8" x14ac:dyDescent="0.2">
      <c r="A116" s="478" t="s">
        <v>299</v>
      </c>
      <c r="B116" s="477">
        <v>44897</v>
      </c>
      <c r="C116" s="479" t="s">
        <v>128</v>
      </c>
      <c r="D116" s="479">
        <v>1</v>
      </c>
      <c r="E116" s="479" t="s">
        <v>0</v>
      </c>
      <c r="F116" s="479">
        <v>1</v>
      </c>
      <c r="G116" s="479" t="s">
        <v>12</v>
      </c>
      <c r="H116" s="479" t="s">
        <v>203</v>
      </c>
    </row>
    <row r="117" spans="1:8" x14ac:dyDescent="0.2">
      <c r="A117" s="478" t="s">
        <v>299</v>
      </c>
      <c r="B117" s="477">
        <v>44897</v>
      </c>
      <c r="C117" s="479" t="s">
        <v>128</v>
      </c>
      <c r="D117" s="479">
        <v>2</v>
      </c>
      <c r="E117" s="479" t="s">
        <v>0</v>
      </c>
      <c r="F117" s="479">
        <v>0</v>
      </c>
      <c r="G117" s="479" t="s">
        <v>12</v>
      </c>
      <c r="H117" s="479" t="s">
        <v>183</v>
      </c>
    </row>
    <row r="118" spans="1:8" x14ac:dyDescent="0.2">
      <c r="A118" s="478" t="s">
        <v>299</v>
      </c>
      <c r="B118" s="477">
        <v>44897</v>
      </c>
      <c r="C118" s="479" t="s">
        <v>128</v>
      </c>
      <c r="D118" s="479">
        <v>1</v>
      </c>
      <c r="E118" s="479" t="s">
        <v>0</v>
      </c>
      <c r="F118" s="479">
        <v>1</v>
      </c>
      <c r="G118" s="479" t="s">
        <v>12</v>
      </c>
      <c r="H118" s="479" t="s">
        <v>185</v>
      </c>
    </row>
    <row r="119" spans="1:8" x14ac:dyDescent="0.2">
      <c r="A119" s="478" t="s">
        <v>299</v>
      </c>
      <c r="B119" s="477">
        <v>44897</v>
      </c>
      <c r="C119" s="479" t="s">
        <v>128</v>
      </c>
      <c r="D119" s="479">
        <v>1</v>
      </c>
      <c r="E119" s="479" t="s">
        <v>0</v>
      </c>
      <c r="F119" s="479">
        <v>2</v>
      </c>
      <c r="G119" s="479" t="s">
        <v>12</v>
      </c>
      <c r="H119" s="479" t="s">
        <v>306</v>
      </c>
    </row>
    <row r="120" spans="1:8" x14ac:dyDescent="0.2">
      <c r="A120" s="478" t="s">
        <v>299</v>
      </c>
      <c r="B120" s="477">
        <v>44897</v>
      </c>
      <c r="C120" s="480" t="s">
        <v>128</v>
      </c>
      <c r="D120" s="480">
        <v>0</v>
      </c>
      <c r="E120" s="480" t="s">
        <v>0</v>
      </c>
      <c r="F120" s="480">
        <v>1</v>
      </c>
      <c r="G120" s="480" t="s">
        <v>12</v>
      </c>
      <c r="H120" s="479" t="s">
        <v>182</v>
      </c>
    </row>
    <row r="121" spans="1:8" x14ac:dyDescent="0.2">
      <c r="A121" s="478" t="s">
        <v>305</v>
      </c>
      <c r="B121" s="477">
        <v>44897</v>
      </c>
      <c r="C121" s="479" t="s">
        <v>152</v>
      </c>
      <c r="D121" s="479">
        <v>0</v>
      </c>
      <c r="E121" s="479" t="s">
        <v>0</v>
      </c>
      <c r="F121" s="479">
        <v>2</v>
      </c>
      <c r="G121" s="479" t="s">
        <v>2</v>
      </c>
      <c r="H121" s="479" t="s">
        <v>176</v>
      </c>
    </row>
    <row r="122" spans="1:8" x14ac:dyDescent="0.2">
      <c r="A122" s="478" t="s">
        <v>305</v>
      </c>
      <c r="B122" s="477">
        <v>44897</v>
      </c>
      <c r="C122" s="479" t="s">
        <v>152</v>
      </c>
      <c r="D122" s="479">
        <v>0</v>
      </c>
      <c r="E122" s="479" t="s">
        <v>0</v>
      </c>
      <c r="F122" s="479">
        <v>2</v>
      </c>
      <c r="G122" s="479" t="s">
        <v>2</v>
      </c>
      <c r="H122" s="479" t="s">
        <v>202</v>
      </c>
    </row>
    <row r="123" spans="1:8" x14ac:dyDescent="0.2">
      <c r="A123" s="478" t="s">
        <v>305</v>
      </c>
      <c r="B123" s="477">
        <v>44897</v>
      </c>
      <c r="C123" s="479" t="s">
        <v>152</v>
      </c>
      <c r="D123" s="479">
        <v>0</v>
      </c>
      <c r="E123" s="479" t="s">
        <v>0</v>
      </c>
      <c r="F123" s="479">
        <v>2</v>
      </c>
      <c r="G123" s="479" t="s">
        <v>2</v>
      </c>
      <c r="H123" s="479" t="s">
        <v>204</v>
      </c>
    </row>
    <row r="124" spans="1:8" x14ac:dyDescent="0.2">
      <c r="A124" s="478" t="s">
        <v>305</v>
      </c>
      <c r="B124" s="477">
        <v>44897</v>
      </c>
      <c r="C124" s="479" t="s">
        <v>152</v>
      </c>
      <c r="D124" s="479">
        <v>0</v>
      </c>
      <c r="E124" s="479" t="s">
        <v>0</v>
      </c>
      <c r="F124" s="479">
        <v>2</v>
      </c>
      <c r="G124" s="479" t="s">
        <v>2</v>
      </c>
      <c r="H124" s="479" t="s">
        <v>179</v>
      </c>
    </row>
    <row r="125" spans="1:8" x14ac:dyDescent="0.2">
      <c r="A125" s="478" t="s">
        <v>305</v>
      </c>
      <c r="B125" s="477">
        <v>44897</v>
      </c>
      <c r="C125" s="479" t="s">
        <v>152</v>
      </c>
      <c r="D125" s="479">
        <v>2</v>
      </c>
      <c r="E125" s="479" t="s">
        <v>0</v>
      </c>
      <c r="F125" s="479">
        <v>3</v>
      </c>
      <c r="G125" s="479" t="s">
        <v>2</v>
      </c>
      <c r="H125" s="479" t="s">
        <v>199</v>
      </c>
    </row>
    <row r="126" spans="1:8" x14ac:dyDescent="0.2">
      <c r="A126" s="478" t="s">
        <v>305</v>
      </c>
      <c r="B126" s="477">
        <v>44897</v>
      </c>
      <c r="C126" s="479" t="s">
        <v>152</v>
      </c>
      <c r="D126" s="479">
        <v>0</v>
      </c>
      <c r="E126" s="479" t="s">
        <v>0</v>
      </c>
      <c r="F126" s="479">
        <v>1</v>
      </c>
      <c r="G126" s="479" t="s">
        <v>2</v>
      </c>
      <c r="H126" s="479" t="s">
        <v>186</v>
      </c>
    </row>
    <row r="127" spans="1:8" x14ac:dyDescent="0.2">
      <c r="A127" s="478" t="s">
        <v>305</v>
      </c>
      <c r="B127" s="477">
        <v>44897</v>
      </c>
      <c r="C127" s="479" t="s">
        <v>152</v>
      </c>
      <c r="D127" s="479">
        <v>0</v>
      </c>
      <c r="E127" s="479" t="s">
        <v>0</v>
      </c>
      <c r="F127" s="479">
        <v>2</v>
      </c>
      <c r="G127" s="479" t="s">
        <v>2</v>
      </c>
      <c r="H127" s="479" t="s">
        <v>180</v>
      </c>
    </row>
    <row r="128" spans="1:8" x14ac:dyDescent="0.2">
      <c r="A128" s="478" t="s">
        <v>305</v>
      </c>
      <c r="B128" s="477">
        <v>44897</v>
      </c>
      <c r="C128" s="479" t="s">
        <v>152</v>
      </c>
      <c r="D128" s="479">
        <v>1</v>
      </c>
      <c r="E128" s="479" t="s">
        <v>0</v>
      </c>
      <c r="F128" s="479">
        <v>2</v>
      </c>
      <c r="G128" s="479" t="s">
        <v>2</v>
      </c>
      <c r="H128" s="479" t="s">
        <v>201</v>
      </c>
    </row>
    <row r="129" spans="1:8" x14ac:dyDescent="0.2">
      <c r="A129" s="478" t="s">
        <v>305</v>
      </c>
      <c r="B129" s="477">
        <v>44897</v>
      </c>
      <c r="C129" s="479" t="s">
        <v>152</v>
      </c>
      <c r="D129" s="479">
        <v>1</v>
      </c>
      <c r="E129" s="479" t="s">
        <v>0</v>
      </c>
      <c r="F129" s="479">
        <v>2</v>
      </c>
      <c r="G129" s="479" t="s">
        <v>2</v>
      </c>
      <c r="H129" s="479" t="s">
        <v>200</v>
      </c>
    </row>
    <row r="130" spans="1:8" x14ac:dyDescent="0.2">
      <c r="A130" s="478" t="s">
        <v>305</v>
      </c>
      <c r="B130" s="477">
        <v>44897</v>
      </c>
      <c r="C130" s="479" t="s">
        <v>152</v>
      </c>
      <c r="D130" s="479">
        <v>0</v>
      </c>
      <c r="E130" s="479" t="s">
        <v>0</v>
      </c>
      <c r="F130" s="479">
        <v>1</v>
      </c>
      <c r="G130" s="479" t="s">
        <v>2</v>
      </c>
      <c r="H130" s="479" t="s">
        <v>181</v>
      </c>
    </row>
    <row r="131" spans="1:8" x14ac:dyDescent="0.2">
      <c r="A131" s="478" t="s">
        <v>305</v>
      </c>
      <c r="B131" s="477">
        <v>44897</v>
      </c>
      <c r="C131" s="479" t="s">
        <v>152</v>
      </c>
      <c r="D131" s="479">
        <v>0</v>
      </c>
      <c r="E131" s="479" t="s">
        <v>0</v>
      </c>
      <c r="F131" s="479">
        <v>2</v>
      </c>
      <c r="G131" s="479" t="s">
        <v>2</v>
      </c>
      <c r="H131" s="479" t="s">
        <v>177</v>
      </c>
    </row>
    <row r="132" spans="1:8" x14ac:dyDescent="0.2">
      <c r="A132" s="478" t="s">
        <v>305</v>
      </c>
      <c r="B132" s="477">
        <v>44897</v>
      </c>
      <c r="C132" s="479" t="s">
        <v>152</v>
      </c>
      <c r="D132" s="479">
        <v>0</v>
      </c>
      <c r="E132" s="479" t="s">
        <v>0</v>
      </c>
      <c r="F132" s="479">
        <v>2</v>
      </c>
      <c r="G132" s="479" t="s">
        <v>2</v>
      </c>
      <c r="H132" s="479" t="s">
        <v>184</v>
      </c>
    </row>
    <row r="133" spans="1:8" x14ac:dyDescent="0.2">
      <c r="A133" s="478" t="s">
        <v>305</v>
      </c>
      <c r="B133" s="477">
        <v>44897</v>
      </c>
      <c r="C133" s="479" t="s">
        <v>152</v>
      </c>
      <c r="D133" s="479">
        <v>1</v>
      </c>
      <c r="E133" s="479" t="s">
        <v>0</v>
      </c>
      <c r="F133" s="479">
        <v>2</v>
      </c>
      <c r="G133" s="479" t="s">
        <v>2</v>
      </c>
      <c r="H133" s="479" t="s">
        <v>203</v>
      </c>
    </row>
    <row r="134" spans="1:8" x14ac:dyDescent="0.2">
      <c r="A134" s="478" t="s">
        <v>305</v>
      </c>
      <c r="B134" s="477">
        <v>44897</v>
      </c>
      <c r="C134" s="479" t="s">
        <v>152</v>
      </c>
      <c r="D134" s="479">
        <v>1</v>
      </c>
      <c r="E134" s="479" t="s">
        <v>0</v>
      </c>
      <c r="F134" s="479">
        <v>2</v>
      </c>
      <c r="G134" s="479" t="s">
        <v>2</v>
      </c>
      <c r="H134" s="479" t="s">
        <v>183</v>
      </c>
    </row>
    <row r="135" spans="1:8" x14ac:dyDescent="0.2">
      <c r="A135" s="478" t="s">
        <v>305</v>
      </c>
      <c r="B135" s="477">
        <v>44897</v>
      </c>
      <c r="C135" s="479" t="s">
        <v>152</v>
      </c>
      <c r="D135" s="479">
        <v>0</v>
      </c>
      <c r="E135" s="479" t="s">
        <v>0</v>
      </c>
      <c r="F135" s="479">
        <v>1</v>
      </c>
      <c r="G135" s="479" t="s">
        <v>2</v>
      </c>
      <c r="H135" s="479" t="s">
        <v>185</v>
      </c>
    </row>
    <row r="136" spans="1:8" x14ac:dyDescent="0.2">
      <c r="A136" s="478" t="s">
        <v>305</v>
      </c>
      <c r="B136" s="477">
        <v>44897</v>
      </c>
      <c r="C136" s="479" t="s">
        <v>152</v>
      </c>
      <c r="D136" s="479">
        <v>1</v>
      </c>
      <c r="E136" s="479" t="s">
        <v>0</v>
      </c>
      <c r="F136" s="479">
        <v>2</v>
      </c>
      <c r="G136" s="479" t="s">
        <v>2</v>
      </c>
      <c r="H136" s="479" t="s">
        <v>306</v>
      </c>
    </row>
    <row r="137" spans="1:8" x14ac:dyDescent="0.2">
      <c r="A137" s="478" t="s">
        <v>305</v>
      </c>
      <c r="B137" s="477">
        <v>44897</v>
      </c>
      <c r="C137" s="480" t="s">
        <v>152</v>
      </c>
      <c r="D137" s="480">
        <v>1</v>
      </c>
      <c r="E137" s="480" t="s">
        <v>0</v>
      </c>
      <c r="F137" s="480">
        <v>2</v>
      </c>
      <c r="G137" s="480" t="s">
        <v>2</v>
      </c>
      <c r="H137" s="479" t="s">
        <v>182</v>
      </c>
    </row>
  </sheetData>
  <autoFilter ref="A1:H137" xr:uid="{00000000-0009-0000-0000-000001000000}">
    <sortState xmlns:xlrd2="http://schemas.microsoft.com/office/spreadsheetml/2017/richdata2" ref="A2:H528">
      <sortCondition ref="B2:B528"/>
      <sortCondition ref="A2:A528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V125"/>
  <sheetViews>
    <sheetView showGridLines="0" showRowColHeaders="0" tabSelected="1" topLeftCell="E1" zoomScale="110" zoomScaleNormal="110" zoomScalePageLayoutView="89" workbookViewId="0">
      <pane ySplit="8" topLeftCell="E24" activePane="bottomLeft" state="frozen"/>
      <selection activeCell="E75" sqref="E75"/>
      <selection pane="bottomLeft" activeCell="F29" sqref="F29"/>
    </sheetView>
  </sheetViews>
  <sheetFormatPr defaultColWidth="0" defaultRowHeight="15.75" zeroHeight="1" x14ac:dyDescent="0.2"/>
  <cols>
    <col min="1" max="1" width="6.05078125" style="5" bestFit="1" customWidth="1"/>
    <col min="2" max="2" width="9.81640625" style="10" bestFit="1" customWidth="1"/>
    <col min="3" max="3" width="11.296875" style="10" customWidth="1"/>
    <col min="4" max="4" width="16.41015625" style="10" bestFit="1" customWidth="1"/>
    <col min="5" max="5" width="25.69140625" style="11" customWidth="1"/>
    <col min="6" max="6" width="2.6875" style="42" customWidth="1"/>
    <col min="7" max="7" width="2.6875" customWidth="1"/>
    <col min="8" max="8" width="2.6875" style="42" customWidth="1"/>
    <col min="9" max="9" width="25.69140625" style="12" customWidth="1"/>
    <col min="10" max="10" width="13.31640625" style="51" hidden="1" customWidth="1"/>
    <col min="11" max="12" width="3.2265625" customWidth="1"/>
    <col min="13" max="13" width="2.82421875" style="1" customWidth="1"/>
    <col min="14" max="14" width="2.015625" style="109" bestFit="1" customWidth="1"/>
    <col min="15" max="15" width="18.83203125" style="113" bestFit="1" customWidth="1"/>
    <col min="16" max="23" width="3.765625" style="109" customWidth="1"/>
    <col min="24" max="24" width="4.4375" style="1" customWidth="1"/>
    <col min="25" max="35" width="9.14453125" hidden="1" customWidth="1"/>
    <col min="36" max="36" width="8.47265625" hidden="1" customWidth="1"/>
    <col min="37" max="37" width="8.7421875" hidden="1" customWidth="1"/>
    <col min="38" max="38" width="10.0859375" hidden="1" customWidth="1"/>
    <col min="39" max="229" width="9.14453125" hidden="1" customWidth="1"/>
    <col min="230" max="230" width="7.26171875" hidden="1" customWidth="1"/>
    <col min="231" max="16384" width="9.14453125" hidden="1"/>
  </cols>
  <sheetData>
    <row r="1" spans="1:25" s="1" customFormat="1" ht="6.75" customHeight="1" thickBot="1" x14ac:dyDescent="0.25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 ht="15" x14ac:dyDescent="0.2">
      <c r="A2" s="5"/>
      <c r="B2" s="2"/>
      <c r="C2" s="2"/>
      <c r="D2" s="2"/>
      <c r="E2" s="146"/>
      <c r="F2" s="556"/>
      <c r="G2" s="550"/>
      <c r="H2" s="550"/>
      <c r="I2" s="550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 ht="15" x14ac:dyDescent="0.2">
      <c r="A3" s="5"/>
      <c r="B3" s="2"/>
      <c r="C3" s="2"/>
      <c r="D3" s="2"/>
      <c r="E3" s="146"/>
      <c r="F3" s="556"/>
      <c r="G3" s="550"/>
      <c r="H3" s="550"/>
      <c r="I3" s="550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 ht="15" x14ac:dyDescent="0.2">
      <c r="A4" s="5"/>
      <c r="B4" s="2"/>
      <c r="C4" s="2"/>
      <c r="D4" s="2"/>
      <c r="E4" s="146"/>
      <c r="F4" s="550"/>
      <c r="G4" s="550"/>
      <c r="H4" s="550"/>
      <c r="I4" s="550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 ht="15" x14ac:dyDescent="0.2">
      <c r="A5" s="5"/>
      <c r="B5" s="2"/>
      <c r="C5" s="2"/>
      <c r="D5" s="2"/>
      <c r="E5" s="146"/>
      <c r="F5" s="550"/>
      <c r="G5" s="550"/>
      <c r="H5" s="550"/>
      <c r="I5" s="550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 ht="15" x14ac:dyDescent="0.2">
      <c r="A6" s="5"/>
      <c r="B6" s="2"/>
      <c r="C6" s="2"/>
      <c r="D6" s="2"/>
      <c r="E6" s="146"/>
      <c r="F6" s="550"/>
      <c r="G6" s="550"/>
      <c r="H6" s="550"/>
      <c r="I6" s="550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 x14ac:dyDescent="0.25">
      <c r="A7" s="5"/>
      <c r="B7" s="2"/>
      <c r="C7" s="2"/>
      <c r="D7" s="2"/>
      <c r="E7" s="147"/>
      <c r="F7" s="550"/>
      <c r="G7" s="550"/>
      <c r="H7" s="550"/>
      <c r="I7" s="550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 x14ac:dyDescent="0.25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 x14ac:dyDescent="0.2">
      <c r="A9" s="527" t="s">
        <v>94</v>
      </c>
      <c r="B9" s="529" t="s">
        <v>95</v>
      </c>
      <c r="C9" s="529" t="s">
        <v>74</v>
      </c>
      <c r="D9" s="531" t="s">
        <v>75</v>
      </c>
      <c r="E9" s="518" t="s">
        <v>96</v>
      </c>
      <c r="F9" s="519"/>
      <c r="G9" s="519"/>
      <c r="H9" s="519"/>
      <c r="I9" s="520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 x14ac:dyDescent="0.25">
      <c r="A10" s="528"/>
      <c r="B10" s="530"/>
      <c r="C10" s="530"/>
      <c r="D10" s="532"/>
      <c r="E10" s="521"/>
      <c r="F10" s="522"/>
      <c r="G10" s="522"/>
      <c r="H10" s="522"/>
      <c r="I10" s="523"/>
      <c r="J10" s="51"/>
      <c r="K10" s="524"/>
      <c r="L10" s="525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 x14ac:dyDescent="0.25">
      <c r="A11" s="516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26"/>
      <c r="L11" s="526"/>
      <c r="M11" s="94"/>
      <c r="N11" s="533" t="str">
        <f>'Classificação 1ª fase'!B4</f>
        <v>Grupo A</v>
      </c>
      <c r="O11" s="534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 x14ac:dyDescent="0.2">
      <c r="A12" s="516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7</v>
      </c>
      <c r="Q12" s="63">
        <f>'Classificação 1ª fase'!E5</f>
        <v>3</v>
      </c>
      <c r="R12" s="63">
        <f>'Classificação 1ª fase'!F5</f>
        <v>2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5</v>
      </c>
      <c r="V12" s="63">
        <f>'Classificação 1ª fase'!J5</f>
        <v>1</v>
      </c>
      <c r="W12" s="95">
        <f>'Classificação 1ª fase'!K5</f>
        <v>4</v>
      </c>
      <c r="X12" s="57"/>
    </row>
    <row r="13" spans="1:25" s="60" customFormat="1" ht="35.1" customHeight="1" thickBot="1" x14ac:dyDescent="0.25">
      <c r="A13" s="516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6</v>
      </c>
      <c r="Q13" s="96">
        <f>'Classificação 1ª fase'!E6</f>
        <v>3</v>
      </c>
      <c r="R13" s="96">
        <f>'Classificação 1ª fase'!F6</f>
        <v>2</v>
      </c>
      <c r="S13" s="96">
        <f>'Classificação 1ª fase'!G6</f>
        <v>1</v>
      </c>
      <c r="T13" s="96">
        <f>'Classificação 1ª fase'!H6</f>
        <v>0</v>
      </c>
      <c r="U13" s="96">
        <f>'Classificação 1ª fase'!I6</f>
        <v>5</v>
      </c>
      <c r="V13" s="96">
        <f>'Classificação 1ª fase'!J6</f>
        <v>4</v>
      </c>
      <c r="W13" s="97">
        <f>'Classificação 1ª fase'!K6</f>
        <v>1</v>
      </c>
      <c r="X13" s="57"/>
    </row>
    <row r="14" spans="1:25" s="60" customFormat="1" ht="35.1" customHeight="1" thickTop="1" x14ac:dyDescent="0.2">
      <c r="A14" s="516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Equador</v>
      </c>
      <c r="P14" s="63">
        <f>'Classificação 1ª fase'!D7</f>
        <v>4</v>
      </c>
      <c r="Q14" s="63">
        <f>'Classificação 1ª fase'!E7</f>
        <v>3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1</v>
      </c>
      <c r="U14" s="63">
        <f>'Classificação 1ª fase'!I7</f>
        <v>4</v>
      </c>
      <c r="V14" s="63">
        <f>'Classificação 1ª fase'!J7</f>
        <v>3</v>
      </c>
      <c r="W14" s="95">
        <f>'Classificação 1ª fase'!K7</f>
        <v>1</v>
      </c>
      <c r="X14" s="57"/>
    </row>
    <row r="15" spans="1:25" s="60" customFormat="1" ht="35.1" customHeight="1" thickBot="1" x14ac:dyDescent="0.25">
      <c r="A15" s="516"/>
      <c r="B15" s="171">
        <v>44894</v>
      </c>
      <c r="C15" s="194" t="s">
        <v>132</v>
      </c>
      <c r="D15" s="172" t="s">
        <v>161</v>
      </c>
      <c r="E15" s="78" t="s">
        <v>140</v>
      </c>
      <c r="F15" s="375">
        <v>2</v>
      </c>
      <c r="G15" s="80" t="s">
        <v>0</v>
      </c>
      <c r="H15" s="387">
        <v>0</v>
      </c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3</v>
      </c>
      <c r="R15" s="98">
        <f>'Classificação 1ª fase'!F8</f>
        <v>0</v>
      </c>
      <c r="S15" s="98">
        <f>'Classificação 1ª fase'!G8</f>
        <v>3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7</v>
      </c>
      <c r="W15" s="99">
        <f>'Classificação 1ª fase'!K8</f>
        <v>-6</v>
      </c>
      <c r="X15" s="94"/>
    </row>
    <row r="16" spans="1:25" s="60" customFormat="1" ht="35.1" customHeight="1" thickBot="1" x14ac:dyDescent="0.25">
      <c r="A16" s="517"/>
      <c r="B16" s="173">
        <v>44590</v>
      </c>
      <c r="C16" s="195" t="s">
        <v>132</v>
      </c>
      <c r="D16" s="174" t="s">
        <v>143</v>
      </c>
      <c r="E16" s="86" t="s">
        <v>142</v>
      </c>
      <c r="F16" s="376">
        <v>1</v>
      </c>
      <c r="G16" s="88" t="s">
        <v>0</v>
      </c>
      <c r="H16" s="388">
        <v>2</v>
      </c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12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 x14ac:dyDescent="0.25">
      <c r="A17" s="515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33" t="str">
        <f>'Classificação 1ª fase'!B10</f>
        <v>Grupo B</v>
      </c>
      <c r="O17" s="534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 x14ac:dyDescent="0.2">
      <c r="A18" s="516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7</v>
      </c>
      <c r="Q18" s="63">
        <f>'Classificação 1ª fase'!E11</f>
        <v>3</v>
      </c>
      <c r="R18" s="63">
        <f>'Classificação 1ª fase'!F11</f>
        <v>2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9</v>
      </c>
      <c r="V18" s="63">
        <f>'Classificação 1ª fase'!J11</f>
        <v>2</v>
      </c>
      <c r="W18" s="95">
        <f>'Classificação 1ª fase'!K11</f>
        <v>7</v>
      </c>
      <c r="X18" s="94"/>
    </row>
    <row r="19" spans="1:24" s="60" customFormat="1" ht="35.1" customHeight="1" thickBot="1" x14ac:dyDescent="0.25">
      <c r="A19" s="516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Estados Unidos</v>
      </c>
      <c r="P19" s="96">
        <f>'Classificação 1ª fase'!D12</f>
        <v>5</v>
      </c>
      <c r="Q19" s="96">
        <f>'Classificação 1ª fase'!E12</f>
        <v>3</v>
      </c>
      <c r="R19" s="96">
        <f>'Classificação 1ª fase'!F12</f>
        <v>1</v>
      </c>
      <c r="S19" s="96">
        <f>'Classificação 1ª fase'!G12</f>
        <v>0</v>
      </c>
      <c r="T19" s="96">
        <f>'Classificação 1ª fase'!H12</f>
        <v>2</v>
      </c>
      <c r="U19" s="96">
        <f>'Classificação 1ª fase'!I12</f>
        <v>2</v>
      </c>
      <c r="V19" s="96">
        <f>'Classificação 1ª fase'!J12</f>
        <v>1</v>
      </c>
      <c r="W19" s="97">
        <f>'Classificação 1ª fase'!K12</f>
        <v>1</v>
      </c>
      <c r="X19" s="94"/>
    </row>
    <row r="20" spans="1:24" s="60" customFormat="1" ht="35.1" customHeight="1" thickTop="1" x14ac:dyDescent="0.2">
      <c r="A20" s="516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Irã</v>
      </c>
      <c r="P20" s="63">
        <f>'Classificação 1ª fase'!D13</f>
        <v>3</v>
      </c>
      <c r="Q20" s="63">
        <f>'Classificação 1ª fase'!E13</f>
        <v>3</v>
      </c>
      <c r="R20" s="63">
        <f>'Classificação 1ª fase'!F13</f>
        <v>1</v>
      </c>
      <c r="S20" s="63">
        <f>'Classificação 1ª fase'!G13</f>
        <v>2</v>
      </c>
      <c r="T20" s="63">
        <f>'Classificação 1ª fase'!H13</f>
        <v>0</v>
      </c>
      <c r="U20" s="63">
        <f>'Classificação 1ª fase'!I13</f>
        <v>4</v>
      </c>
      <c r="V20" s="63">
        <f>'Classificação 1ª fase'!J13</f>
        <v>7</v>
      </c>
      <c r="W20" s="95">
        <f>'Classificação 1ª fase'!K13</f>
        <v>-3</v>
      </c>
      <c r="X20" s="94"/>
    </row>
    <row r="21" spans="1:24" s="60" customFormat="1" ht="35.1" customHeight="1" thickBot="1" x14ac:dyDescent="0.25">
      <c r="A21" s="516"/>
      <c r="B21" s="171">
        <v>44894</v>
      </c>
      <c r="C21" s="194" t="s">
        <v>136</v>
      </c>
      <c r="D21" s="177" t="s">
        <v>162</v>
      </c>
      <c r="E21" s="78" t="s">
        <v>158</v>
      </c>
      <c r="F21" s="79">
        <v>0</v>
      </c>
      <c r="G21" s="80" t="s">
        <v>0</v>
      </c>
      <c r="H21" s="132">
        <v>3</v>
      </c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3</v>
      </c>
      <c r="R21" s="98">
        <f>'Classificação 1ª fase'!F14</f>
        <v>0</v>
      </c>
      <c r="S21" s="98">
        <f>'Classificação 1ª fase'!G14</f>
        <v>2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6</v>
      </c>
      <c r="W21" s="99">
        <f>'Classificação 1ª fase'!K14</f>
        <v>-5</v>
      </c>
      <c r="X21" s="94"/>
    </row>
    <row r="22" spans="1:24" s="60" customFormat="1" ht="35.1" customHeight="1" thickBot="1" x14ac:dyDescent="0.25">
      <c r="A22" s="517"/>
      <c r="B22" s="173">
        <v>44894</v>
      </c>
      <c r="C22" s="195" t="s">
        <v>136</v>
      </c>
      <c r="D22" s="178" t="s">
        <v>157</v>
      </c>
      <c r="E22" s="90" t="s">
        <v>123</v>
      </c>
      <c r="F22" s="91">
        <v>0</v>
      </c>
      <c r="G22" s="92" t="s">
        <v>0</v>
      </c>
      <c r="H22" s="135">
        <v>1</v>
      </c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12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 x14ac:dyDescent="0.25">
      <c r="A23" s="515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33" t="str">
        <f>'Classificação 1ª fase'!B16</f>
        <v>Grupo C</v>
      </c>
      <c r="O23" s="534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 x14ac:dyDescent="0.2">
      <c r="A24" s="516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Argentina</v>
      </c>
      <c r="P24" s="63">
        <f>'Classificação 1ª fase'!D17</f>
        <v>6</v>
      </c>
      <c r="Q24" s="63">
        <f>'Classificação 1ª fase'!E17</f>
        <v>3</v>
      </c>
      <c r="R24" s="63">
        <f>'Classificação 1ª fase'!F17</f>
        <v>2</v>
      </c>
      <c r="S24" s="63">
        <f>'Classificação 1ª fase'!G17</f>
        <v>1</v>
      </c>
      <c r="T24" s="63">
        <f>'Classificação 1ª fase'!H17</f>
        <v>0</v>
      </c>
      <c r="U24" s="63">
        <f>'Classificação 1ª fase'!I17</f>
        <v>5</v>
      </c>
      <c r="V24" s="63">
        <f>'Classificação 1ª fase'!J17</f>
        <v>2</v>
      </c>
      <c r="W24" s="95">
        <f>'Classificação 1ª fase'!K17</f>
        <v>3</v>
      </c>
      <c r="X24" s="94"/>
    </row>
    <row r="25" spans="1:24" s="60" customFormat="1" ht="35.1" customHeight="1" thickBot="1" x14ac:dyDescent="0.25">
      <c r="A25" s="516"/>
      <c r="B25" s="171">
        <v>44891</v>
      </c>
      <c r="C25" s="194" t="s">
        <v>135</v>
      </c>
      <c r="D25" s="172" t="s">
        <v>148</v>
      </c>
      <c r="E25" s="78" t="s">
        <v>130</v>
      </c>
      <c r="F25" s="79">
        <v>2</v>
      </c>
      <c r="G25" s="80" t="s">
        <v>0</v>
      </c>
      <c r="H25" s="132">
        <v>0</v>
      </c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4</v>
      </c>
      <c r="Q25" s="96">
        <f>'Classificação 1ª fase'!E18</f>
        <v>3</v>
      </c>
      <c r="R25" s="96">
        <f>'Classificação 1ª fase'!F18</f>
        <v>1</v>
      </c>
      <c r="S25" s="96">
        <f>'Classificação 1ª fase'!G18</f>
        <v>1</v>
      </c>
      <c r="T25" s="96">
        <f>'Classificação 1ª fase'!H18</f>
        <v>1</v>
      </c>
      <c r="U25" s="96">
        <f>'Classificação 1ª fase'!I18</f>
        <v>2</v>
      </c>
      <c r="V25" s="96">
        <f>'Classificação 1ª fase'!J18</f>
        <v>2</v>
      </c>
      <c r="W25" s="97">
        <f>'Classificação 1ª fase'!K18</f>
        <v>0</v>
      </c>
      <c r="X25" s="94"/>
    </row>
    <row r="26" spans="1:24" s="60" customFormat="1" ht="35.1" customHeight="1" thickTop="1" x14ac:dyDescent="0.2">
      <c r="A26" s="516"/>
      <c r="B26" s="171">
        <v>44891</v>
      </c>
      <c r="C26" s="194" t="s">
        <v>136</v>
      </c>
      <c r="D26" s="172" t="s">
        <v>146</v>
      </c>
      <c r="E26" s="78" t="s">
        <v>4</v>
      </c>
      <c r="F26" s="79">
        <v>2</v>
      </c>
      <c r="G26" s="80" t="s">
        <v>0</v>
      </c>
      <c r="H26" s="132">
        <v>0</v>
      </c>
      <c r="I26" s="81" t="s">
        <v>1</v>
      </c>
      <c r="J26" s="52"/>
      <c r="K26" s="94"/>
      <c r="L26" s="94"/>
      <c r="M26" s="94"/>
      <c r="N26" s="103">
        <f>'Classificação 1ª fase'!B19</f>
        <v>3</v>
      </c>
      <c r="O26" s="100" t="str">
        <f>'Classificação 1ª fase'!C19</f>
        <v>México</v>
      </c>
      <c r="P26" s="63">
        <f>'Classificação 1ª fase'!D19</f>
        <v>4</v>
      </c>
      <c r="Q26" s="63">
        <f>'Classificação 1ª fase'!E19</f>
        <v>3</v>
      </c>
      <c r="R26" s="63">
        <f>'Classificação 1ª fase'!F19</f>
        <v>1</v>
      </c>
      <c r="S26" s="63">
        <f>'Classificação 1ª fase'!G19</f>
        <v>1</v>
      </c>
      <c r="T26" s="63">
        <f>'Classificação 1ª fase'!H19</f>
        <v>1</v>
      </c>
      <c r="U26" s="63">
        <f>'Classificação 1ª fase'!I19</f>
        <v>2</v>
      </c>
      <c r="V26" s="63">
        <f>'Classificação 1ª fase'!J19</f>
        <v>3</v>
      </c>
      <c r="W26" s="95">
        <f>'Classificação 1ª fase'!K19</f>
        <v>-1</v>
      </c>
      <c r="X26" s="94"/>
    </row>
    <row r="27" spans="1:24" s="60" customFormat="1" ht="35.1" customHeight="1" thickBot="1" x14ac:dyDescent="0.25">
      <c r="A27" s="516"/>
      <c r="B27" s="171">
        <v>44895</v>
      </c>
      <c r="C27" s="194" t="s">
        <v>136</v>
      </c>
      <c r="D27" s="172" t="s">
        <v>163</v>
      </c>
      <c r="E27" s="78" t="s">
        <v>130</v>
      </c>
      <c r="F27" s="79">
        <v>0</v>
      </c>
      <c r="G27" s="80" t="s">
        <v>0</v>
      </c>
      <c r="H27" s="132">
        <v>2</v>
      </c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Arábia Saudita</v>
      </c>
      <c r="P27" s="98">
        <f>'Classificação 1ª fase'!D20</f>
        <v>3</v>
      </c>
      <c r="Q27" s="98">
        <f>'Classificação 1ª fase'!E20</f>
        <v>3</v>
      </c>
      <c r="R27" s="98">
        <f>'Classificação 1ª fase'!F20</f>
        <v>1</v>
      </c>
      <c r="S27" s="98">
        <f>'Classificação 1ª fase'!G20</f>
        <v>2</v>
      </c>
      <c r="T27" s="98">
        <f>'Classificação 1ª fase'!H20</f>
        <v>0</v>
      </c>
      <c r="U27" s="98">
        <f>'Classificação 1ª fase'!I20</f>
        <v>3</v>
      </c>
      <c r="V27" s="98">
        <f>'Classificação 1ª fase'!J20</f>
        <v>5</v>
      </c>
      <c r="W27" s="99">
        <f>'Classificação 1ª fase'!K20</f>
        <v>-2</v>
      </c>
      <c r="X27" s="94"/>
    </row>
    <row r="28" spans="1:24" s="60" customFormat="1" ht="35.1" customHeight="1" thickBot="1" x14ac:dyDescent="0.25">
      <c r="A28" s="517"/>
      <c r="B28" s="173">
        <v>44895</v>
      </c>
      <c r="C28" s="195" t="s">
        <v>136</v>
      </c>
      <c r="D28" s="174" t="s">
        <v>146</v>
      </c>
      <c r="E28" s="86" t="s">
        <v>125</v>
      </c>
      <c r="F28" s="87">
        <v>1</v>
      </c>
      <c r="G28" s="88" t="s">
        <v>0</v>
      </c>
      <c r="H28" s="133">
        <v>2</v>
      </c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12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 x14ac:dyDescent="0.25">
      <c r="A29" s="515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33" t="str">
        <f>'Classificação 1ª fase'!B22</f>
        <v>Grupo D</v>
      </c>
      <c r="O29" s="534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 x14ac:dyDescent="0.2">
      <c r="A30" s="516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6</v>
      </c>
      <c r="Q30" s="63">
        <f>'Classificação 1ª fase'!E23</f>
        <v>3</v>
      </c>
      <c r="R30" s="63">
        <f>'Classificação 1ª fase'!F23</f>
        <v>2</v>
      </c>
      <c r="S30" s="63">
        <f>'Classificação 1ª fase'!G23</f>
        <v>1</v>
      </c>
      <c r="T30" s="63">
        <f>'Classificação 1ª fase'!H23</f>
        <v>0</v>
      </c>
      <c r="U30" s="63">
        <f>'Classificação 1ª fase'!I23</f>
        <v>6</v>
      </c>
      <c r="V30" s="63">
        <f>'Classificação 1ª fase'!J23</f>
        <v>3</v>
      </c>
      <c r="W30" s="95">
        <f>'Classificação 1ª fase'!K23</f>
        <v>3</v>
      </c>
      <c r="X30" s="94"/>
    </row>
    <row r="31" spans="1:24" s="60" customFormat="1" ht="35.1" customHeight="1" thickBot="1" x14ac:dyDescent="0.25">
      <c r="A31" s="516"/>
      <c r="B31" s="171">
        <v>44891</v>
      </c>
      <c r="C31" s="194" t="s">
        <v>133</v>
      </c>
      <c r="D31" s="177" t="s">
        <v>164</v>
      </c>
      <c r="E31" s="78" t="s">
        <v>129</v>
      </c>
      <c r="F31" s="79">
        <v>0</v>
      </c>
      <c r="G31" s="80" t="s">
        <v>0</v>
      </c>
      <c r="H31" s="132">
        <v>1</v>
      </c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Austrália</v>
      </c>
      <c r="P31" s="96">
        <f>'Classificação 1ª fase'!D24</f>
        <v>6</v>
      </c>
      <c r="Q31" s="96">
        <f>'Classificação 1ª fase'!E24</f>
        <v>3</v>
      </c>
      <c r="R31" s="96">
        <f>'Classificação 1ª fase'!F24</f>
        <v>2</v>
      </c>
      <c r="S31" s="96">
        <f>'Classificação 1ª fase'!G24</f>
        <v>1</v>
      </c>
      <c r="T31" s="96">
        <f>'Classificação 1ª fase'!H24</f>
        <v>0</v>
      </c>
      <c r="U31" s="96">
        <f>'Classificação 1ª fase'!I24</f>
        <v>3</v>
      </c>
      <c r="V31" s="96">
        <f>'Classificação 1ª fase'!J24</f>
        <v>4</v>
      </c>
      <c r="W31" s="97">
        <f>'Classificação 1ª fase'!K24</f>
        <v>-1</v>
      </c>
      <c r="X31" s="94"/>
    </row>
    <row r="32" spans="1:24" s="60" customFormat="1" ht="35.1" customHeight="1" thickTop="1" x14ac:dyDescent="0.2">
      <c r="A32" s="516"/>
      <c r="B32" s="171">
        <v>44891</v>
      </c>
      <c r="C32" s="194" t="s">
        <v>134</v>
      </c>
      <c r="D32" s="177" t="s">
        <v>163</v>
      </c>
      <c r="E32" s="78" t="s">
        <v>3</v>
      </c>
      <c r="F32" s="79">
        <v>2</v>
      </c>
      <c r="G32" s="80" t="s">
        <v>0</v>
      </c>
      <c r="H32" s="132">
        <v>1</v>
      </c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Tunísia</v>
      </c>
      <c r="P32" s="63">
        <f>'Classificação 1ª fase'!D25</f>
        <v>4</v>
      </c>
      <c r="Q32" s="63">
        <f>'Classificação 1ª fase'!E25</f>
        <v>3</v>
      </c>
      <c r="R32" s="63">
        <f>'Classificação 1ª fase'!F25</f>
        <v>1</v>
      </c>
      <c r="S32" s="63">
        <f>'Classificação 1ª fase'!G25</f>
        <v>1</v>
      </c>
      <c r="T32" s="63">
        <f>'Classificação 1ª fase'!H25</f>
        <v>1</v>
      </c>
      <c r="U32" s="63">
        <f>'Classificação 1ª fase'!I25</f>
        <v>1</v>
      </c>
      <c r="V32" s="63">
        <f>'Classificação 1ª fase'!J25</f>
        <v>1</v>
      </c>
      <c r="W32" s="95">
        <f>'Classificação 1ª fase'!K25</f>
        <v>0</v>
      </c>
      <c r="X32" s="94"/>
    </row>
    <row r="33" spans="1:24" s="60" customFormat="1" ht="35.1" customHeight="1" thickBot="1" x14ac:dyDescent="0.25">
      <c r="A33" s="516"/>
      <c r="B33" s="171">
        <v>44895</v>
      </c>
      <c r="C33" s="194" t="s">
        <v>132</v>
      </c>
      <c r="D33" s="177" t="s">
        <v>148</v>
      </c>
      <c r="E33" s="78" t="s">
        <v>129</v>
      </c>
      <c r="F33" s="79">
        <v>1</v>
      </c>
      <c r="G33" s="80" t="s">
        <v>0</v>
      </c>
      <c r="H33" s="132">
        <v>0</v>
      </c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Dinamarca</v>
      </c>
      <c r="P33" s="98">
        <f>'Classificação 1ª fase'!D26</f>
        <v>1</v>
      </c>
      <c r="Q33" s="98">
        <f>'Classificação 1ª fase'!E26</f>
        <v>3</v>
      </c>
      <c r="R33" s="98">
        <f>'Classificação 1ª fase'!F26</f>
        <v>0</v>
      </c>
      <c r="S33" s="98">
        <f>'Classificação 1ª fase'!G26</f>
        <v>2</v>
      </c>
      <c r="T33" s="98">
        <f>'Classificação 1ª fase'!H26</f>
        <v>1</v>
      </c>
      <c r="U33" s="98">
        <f>'Classificação 1ª fase'!I26</f>
        <v>1</v>
      </c>
      <c r="V33" s="98">
        <f>'Classificação 1ª fase'!J26</f>
        <v>3</v>
      </c>
      <c r="W33" s="99">
        <f>'Classificação 1ª fase'!K26</f>
        <v>-2</v>
      </c>
      <c r="X33" s="94"/>
    </row>
    <row r="34" spans="1:24" s="60" customFormat="1" ht="35.1" customHeight="1" thickBot="1" x14ac:dyDescent="0.25">
      <c r="A34" s="517"/>
      <c r="B34" s="173">
        <v>44895</v>
      </c>
      <c r="C34" s="195" t="s">
        <v>132</v>
      </c>
      <c r="D34" s="178" t="s">
        <v>164</v>
      </c>
      <c r="E34" s="90" t="s">
        <v>159</v>
      </c>
      <c r="F34" s="91">
        <v>1</v>
      </c>
      <c r="G34" s="92" t="s">
        <v>0</v>
      </c>
      <c r="H34" s="135">
        <v>0</v>
      </c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12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 x14ac:dyDescent="0.25">
      <c r="A35" s="515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33" t="str">
        <f>'Classificação 1ª fase'!B28</f>
        <v>Grupo E</v>
      </c>
      <c r="O35" s="534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 x14ac:dyDescent="0.2">
      <c r="A36" s="516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4</v>
      </c>
      <c r="Q36" s="63">
        <f>'Classificação 1ª fase'!E29</f>
        <v>2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1</v>
      </c>
      <c r="U36" s="63">
        <f>'Classificação 1ª fase'!I29</f>
        <v>8</v>
      </c>
      <c r="V36" s="63">
        <f>'Classificação 1ª fase'!J29</f>
        <v>1</v>
      </c>
      <c r="W36" s="95">
        <f>'Classificação 1ª fase'!K29</f>
        <v>7</v>
      </c>
      <c r="X36" s="94"/>
    </row>
    <row r="37" spans="1:24" s="60" customFormat="1" ht="35.1" customHeight="1" thickBot="1" x14ac:dyDescent="0.25">
      <c r="A37" s="516"/>
      <c r="B37" s="171">
        <v>44892</v>
      </c>
      <c r="C37" s="194" t="s">
        <v>133</v>
      </c>
      <c r="D37" s="172" t="s">
        <v>162</v>
      </c>
      <c r="E37" s="78" t="s">
        <v>8</v>
      </c>
      <c r="F37" s="79">
        <v>0</v>
      </c>
      <c r="G37" s="80" t="s">
        <v>0</v>
      </c>
      <c r="H37" s="132">
        <v>1</v>
      </c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2</v>
      </c>
      <c r="R37" s="96">
        <f>'Classificação 1ª fase'!F30</f>
        <v>1</v>
      </c>
      <c r="S37" s="96">
        <f>'Classificação 1ª fase'!G30</f>
        <v>1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2</v>
      </c>
      <c r="W37" s="97">
        <f>'Classificação 1ª fase'!K30</f>
        <v>0</v>
      </c>
      <c r="X37" s="94"/>
    </row>
    <row r="38" spans="1:24" s="60" customFormat="1" ht="35.1" customHeight="1" thickTop="1" x14ac:dyDescent="0.2">
      <c r="A38" s="516"/>
      <c r="B38" s="171">
        <v>44892</v>
      </c>
      <c r="C38" s="194" t="s">
        <v>136</v>
      </c>
      <c r="D38" s="172" t="s">
        <v>161</v>
      </c>
      <c r="E38" s="78" t="s">
        <v>11</v>
      </c>
      <c r="F38" s="79">
        <v>1</v>
      </c>
      <c r="G38" s="80" t="s">
        <v>0</v>
      </c>
      <c r="H38" s="132">
        <v>1</v>
      </c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Costa Rica</v>
      </c>
      <c r="P38" s="63">
        <f>'Classificação 1ª fase'!D31</f>
        <v>3</v>
      </c>
      <c r="Q38" s="63">
        <f>'Classificação 1ª fase'!E31</f>
        <v>2</v>
      </c>
      <c r="R38" s="63">
        <f>'Classificação 1ª fase'!F31</f>
        <v>1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7</v>
      </c>
      <c r="W38" s="95">
        <f>'Classificação 1ª fase'!K31</f>
        <v>-6</v>
      </c>
      <c r="X38" s="94"/>
    </row>
    <row r="39" spans="1:24" s="60" customFormat="1" ht="35.1" customHeight="1" thickBot="1" x14ac:dyDescent="0.25">
      <c r="A39" s="516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Alemanha</v>
      </c>
      <c r="P39" s="98">
        <f>'Classificação 1ª fase'!D32</f>
        <v>1</v>
      </c>
      <c r="Q39" s="98">
        <f>'Classificação 1ª fase'!E32</f>
        <v>2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1</v>
      </c>
      <c r="U39" s="98">
        <f>'Classificação 1ª fase'!I32</f>
        <v>2</v>
      </c>
      <c r="V39" s="98">
        <f>'Classificação 1ª fase'!J32</f>
        <v>3</v>
      </c>
      <c r="W39" s="99">
        <f>'Classificação 1ª fase'!K32</f>
        <v>-1</v>
      </c>
      <c r="X39" s="94"/>
    </row>
    <row r="40" spans="1:24" s="60" customFormat="1" ht="35.1" customHeight="1" thickBot="1" x14ac:dyDescent="0.25">
      <c r="A40" s="517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8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 x14ac:dyDescent="0.25">
      <c r="A41" s="515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33" t="str">
        <f>'Classificação 1ª fase'!B34</f>
        <v>Grupo F</v>
      </c>
      <c r="O41" s="534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 x14ac:dyDescent="0.2">
      <c r="A42" s="516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Croácia</v>
      </c>
      <c r="P42" s="63">
        <f>'Classificação 1ª fase'!D35</f>
        <v>4</v>
      </c>
      <c r="Q42" s="63">
        <f>'Classificação 1ª fase'!E35</f>
        <v>2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1</v>
      </c>
      <c r="U42" s="63">
        <f>'Classificação 1ª fase'!I35</f>
        <v>3</v>
      </c>
      <c r="V42" s="63">
        <f>'Classificação 1ª fase'!J35</f>
        <v>1</v>
      </c>
      <c r="W42" s="95">
        <f>'Classificação 1ª fase'!K35</f>
        <v>2</v>
      </c>
      <c r="X42" s="94"/>
    </row>
    <row r="43" spans="1:24" s="60" customFormat="1" ht="35.1" customHeight="1" thickBot="1" x14ac:dyDescent="0.25">
      <c r="A43" s="516"/>
      <c r="B43" s="171">
        <v>44892</v>
      </c>
      <c r="C43" s="194" t="s">
        <v>135</v>
      </c>
      <c r="D43" s="177" t="s">
        <v>157</v>
      </c>
      <c r="E43" s="78" t="s">
        <v>104</v>
      </c>
      <c r="F43" s="79">
        <v>0</v>
      </c>
      <c r="G43" s="80" t="s">
        <v>0</v>
      </c>
      <c r="H43" s="132">
        <v>2</v>
      </c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4</v>
      </c>
      <c r="Q43" s="96">
        <f>'Classificação 1ª fase'!E36</f>
        <v>2</v>
      </c>
      <c r="R43" s="96">
        <f>'Classificação 1ª fase'!F36</f>
        <v>1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2</v>
      </c>
      <c r="V43" s="96">
        <f>'Classificação 1ª fase'!J36</f>
        <v>0</v>
      </c>
      <c r="W43" s="97">
        <f>'Classificação 1ª fase'!K36</f>
        <v>2</v>
      </c>
      <c r="X43" s="94"/>
    </row>
    <row r="44" spans="1:24" s="60" customFormat="1" ht="35.1" customHeight="1" thickTop="1" x14ac:dyDescent="0.2">
      <c r="A44" s="516"/>
      <c r="B44" s="171">
        <v>44892</v>
      </c>
      <c r="C44" s="194" t="s">
        <v>134</v>
      </c>
      <c r="D44" s="177" t="s">
        <v>143</v>
      </c>
      <c r="E44" s="78" t="s">
        <v>70</v>
      </c>
      <c r="F44" s="79">
        <v>3</v>
      </c>
      <c r="G44" s="80" t="s">
        <v>0</v>
      </c>
      <c r="H44" s="132">
        <v>1</v>
      </c>
      <c r="I44" s="81" t="s">
        <v>150</v>
      </c>
      <c r="J44" s="52"/>
      <c r="K44" s="94"/>
      <c r="L44" s="94"/>
      <c r="M44" s="94"/>
      <c r="N44" s="103">
        <f>'Classificação 1ª fase'!B37</f>
        <v>3</v>
      </c>
      <c r="O44" s="100" t="str">
        <f>'Classificação 1ª fase'!C37</f>
        <v>Bélgica</v>
      </c>
      <c r="P44" s="63">
        <f>'Classificação 1ª fase'!D37</f>
        <v>3</v>
      </c>
      <c r="Q44" s="63">
        <f>'Classificação 1ª fase'!E37</f>
        <v>2</v>
      </c>
      <c r="R44" s="63">
        <f>'Classificação 1ª fase'!F37</f>
        <v>1</v>
      </c>
      <c r="S44" s="63">
        <f>'Classificação 1ª fase'!G37</f>
        <v>1</v>
      </c>
      <c r="T44" s="63">
        <f>'Classificação 1ª fase'!H37</f>
        <v>0</v>
      </c>
      <c r="U44" s="63">
        <f>'Classificação 1ª fase'!I37</f>
        <v>1</v>
      </c>
      <c r="V44" s="63">
        <f>'Classificação 1ª fase'!J37</f>
        <v>2</v>
      </c>
      <c r="W44" s="95">
        <f>'Classificação 1ª fase'!K37</f>
        <v>-1</v>
      </c>
      <c r="X44" s="94"/>
    </row>
    <row r="45" spans="1:24" s="60" customFormat="1" ht="35.1" customHeight="1" thickBot="1" x14ac:dyDescent="0.25">
      <c r="A45" s="516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2</v>
      </c>
      <c r="R45" s="98">
        <f>'Classificação 1ª fase'!F38</f>
        <v>0</v>
      </c>
      <c r="S45" s="98">
        <f>'Classificação 1ª fase'!G38</f>
        <v>2</v>
      </c>
      <c r="T45" s="98">
        <f>'Classificação 1ª fase'!H38</f>
        <v>0</v>
      </c>
      <c r="U45" s="98">
        <f>'Classificação 1ª fase'!I38</f>
        <v>1</v>
      </c>
      <c r="V45" s="98">
        <f>'Classificação 1ª fase'!J38</f>
        <v>4</v>
      </c>
      <c r="W45" s="99">
        <f>'Classificação 1ª fase'!K38</f>
        <v>-3</v>
      </c>
      <c r="X45" s="94"/>
    </row>
    <row r="46" spans="1:24" s="60" customFormat="1" ht="35.1" customHeight="1" thickBot="1" x14ac:dyDescent="0.25">
      <c r="A46" s="517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8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 x14ac:dyDescent="0.25">
      <c r="A47" s="515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33" t="str">
        <f>'Classificação 1ª fase'!B40</f>
        <v>Grupo G</v>
      </c>
      <c r="O47" s="534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 x14ac:dyDescent="0.2">
      <c r="A48" s="516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6</v>
      </c>
      <c r="Q48" s="101">
        <f>'Classificação 1ª fase'!E41</f>
        <v>2</v>
      </c>
      <c r="R48" s="101">
        <f>'Classificação 1ª fase'!F41</f>
        <v>2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3</v>
      </c>
      <c r="V48" s="101">
        <f>'Classificação 1ª fase'!J41</f>
        <v>0</v>
      </c>
      <c r="W48" s="102">
        <f>'Classificação 1ª fase'!K41</f>
        <v>3</v>
      </c>
      <c r="X48" s="94"/>
    </row>
    <row r="49" spans="1:24" s="60" customFormat="1" ht="35.1" customHeight="1" thickBot="1" x14ac:dyDescent="0.25">
      <c r="A49" s="516"/>
      <c r="B49" s="171">
        <v>44893</v>
      </c>
      <c r="C49" s="194" t="s">
        <v>133</v>
      </c>
      <c r="D49" s="172" t="s">
        <v>164</v>
      </c>
      <c r="E49" s="78" t="s">
        <v>151</v>
      </c>
      <c r="F49" s="79">
        <v>3</v>
      </c>
      <c r="G49" s="80" t="s">
        <v>0</v>
      </c>
      <c r="H49" s="132">
        <v>3</v>
      </c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2</v>
      </c>
      <c r="R49" s="96">
        <f>'Classificação 1ª fase'!F42</f>
        <v>1</v>
      </c>
      <c r="S49" s="96">
        <f>'Classificação 1ª fase'!G42</f>
        <v>1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1</v>
      </c>
      <c r="W49" s="97">
        <f>'Classificação 1ª fase'!K42</f>
        <v>0</v>
      </c>
      <c r="X49" s="94"/>
    </row>
    <row r="50" spans="1:24" s="60" customFormat="1" ht="35.1" customHeight="1" thickTop="1" x14ac:dyDescent="0.2">
      <c r="A50" s="516"/>
      <c r="B50" s="171">
        <v>44893</v>
      </c>
      <c r="C50" s="194" t="s">
        <v>134</v>
      </c>
      <c r="D50" s="172" t="s">
        <v>163</v>
      </c>
      <c r="E50" s="78" t="s">
        <v>10</v>
      </c>
      <c r="F50" s="79">
        <v>1</v>
      </c>
      <c r="G50" s="80" t="s">
        <v>0</v>
      </c>
      <c r="H50" s="132">
        <v>0</v>
      </c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1</v>
      </c>
      <c r="Q50" s="63">
        <f>'Classificação 1ª fase'!E43</f>
        <v>2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1</v>
      </c>
      <c r="U50" s="63">
        <f>'Classificação 1ª fase'!I43</f>
        <v>3</v>
      </c>
      <c r="V50" s="63">
        <f>'Classificação 1ª fase'!J43</f>
        <v>4</v>
      </c>
      <c r="W50" s="95">
        <f>'Classificação 1ª fase'!K43</f>
        <v>-1</v>
      </c>
      <c r="X50" s="94"/>
    </row>
    <row r="51" spans="1:24" s="60" customFormat="1" ht="35.1" customHeight="1" thickBot="1" x14ac:dyDescent="0.25">
      <c r="A51" s="516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1</v>
      </c>
      <c r="Q51" s="98">
        <f>'Classificação 1ª fase'!E44</f>
        <v>2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1</v>
      </c>
      <c r="U51" s="98">
        <f>'Classificação 1ª fase'!I44</f>
        <v>3</v>
      </c>
      <c r="V51" s="98">
        <f>'Classificação 1ª fase'!J44</f>
        <v>5</v>
      </c>
      <c r="W51" s="99">
        <f>'Classificação 1ª fase'!K44</f>
        <v>-2</v>
      </c>
      <c r="X51" s="94"/>
    </row>
    <row r="52" spans="1:24" s="60" customFormat="1" ht="35.1" customHeight="1" thickBot="1" x14ac:dyDescent="0.25">
      <c r="A52" s="517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8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 x14ac:dyDescent="0.25">
      <c r="A53" s="515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33" t="str">
        <f>'Classificação 1ª fase'!B46</f>
        <v>Grupo H</v>
      </c>
      <c r="O53" s="534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 x14ac:dyDescent="0.2">
      <c r="A54" s="516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6</v>
      </c>
      <c r="Q54" s="63">
        <f>'Classificação 1ª fase'!E47</f>
        <v>2</v>
      </c>
      <c r="R54" s="63">
        <f>'Classificação 1ª fase'!F47</f>
        <v>2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5</v>
      </c>
      <c r="V54" s="63">
        <f>'Classificação 1ª fase'!J47</f>
        <v>2</v>
      </c>
      <c r="W54" s="95">
        <f>'Classificação 1ª fase'!K47</f>
        <v>3</v>
      </c>
      <c r="X54" s="94"/>
    </row>
    <row r="55" spans="1:24" s="60" customFormat="1" ht="35.1" customHeight="1" thickBot="1" x14ac:dyDescent="0.25">
      <c r="A55" s="516"/>
      <c r="B55" s="171">
        <v>44893</v>
      </c>
      <c r="C55" s="194" t="s">
        <v>135</v>
      </c>
      <c r="D55" s="177" t="s">
        <v>148</v>
      </c>
      <c r="E55" s="78" t="s">
        <v>5</v>
      </c>
      <c r="F55" s="79">
        <v>2</v>
      </c>
      <c r="G55" s="80" t="s">
        <v>0</v>
      </c>
      <c r="H55" s="132">
        <v>3</v>
      </c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Gana</v>
      </c>
      <c r="P55" s="96">
        <f>'Classificação 1ª fase'!D48</f>
        <v>3</v>
      </c>
      <c r="Q55" s="96">
        <f>'Classificação 1ª fase'!E48</f>
        <v>2</v>
      </c>
      <c r="R55" s="96">
        <f>'Classificação 1ª fase'!F48</f>
        <v>1</v>
      </c>
      <c r="S55" s="96">
        <f>'Classificação 1ª fase'!G48</f>
        <v>1</v>
      </c>
      <c r="T55" s="96">
        <f>'Classificação 1ª fase'!H48</f>
        <v>0</v>
      </c>
      <c r="U55" s="96">
        <f>'Classificação 1ª fase'!I48</f>
        <v>5</v>
      </c>
      <c r="V55" s="96">
        <f>'Classificação 1ª fase'!J48</f>
        <v>5</v>
      </c>
      <c r="W55" s="97">
        <f>'Classificação 1ª fase'!K48</f>
        <v>0</v>
      </c>
      <c r="X55" s="94"/>
    </row>
    <row r="56" spans="1:24" s="60" customFormat="1" ht="35.1" customHeight="1" thickTop="1" x14ac:dyDescent="0.2">
      <c r="A56" s="516"/>
      <c r="B56" s="171">
        <v>44893</v>
      </c>
      <c r="C56" s="194" t="s">
        <v>136</v>
      </c>
      <c r="D56" s="177" t="s">
        <v>146</v>
      </c>
      <c r="E56" s="78" t="s">
        <v>9</v>
      </c>
      <c r="F56" s="79">
        <v>2</v>
      </c>
      <c r="G56" s="80" t="s">
        <v>0</v>
      </c>
      <c r="H56" s="132">
        <v>0</v>
      </c>
      <c r="I56" s="81" t="s">
        <v>2</v>
      </c>
      <c r="J56" s="52"/>
      <c r="K56" s="94"/>
      <c r="L56" s="94"/>
      <c r="M56" s="94"/>
      <c r="N56" s="103">
        <f>'Classificação 1ª fase'!B49</f>
        <v>3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2</v>
      </c>
      <c r="R56" s="63">
        <f>'Classificação 1ª fase'!F49</f>
        <v>0</v>
      </c>
      <c r="S56" s="63">
        <f>'Classificação 1ª fase'!G49</f>
        <v>1</v>
      </c>
      <c r="T56" s="63">
        <f>'Classificação 1ª fase'!H49</f>
        <v>1</v>
      </c>
      <c r="U56" s="63">
        <f>'Classificação 1ª fase'!I49</f>
        <v>2</v>
      </c>
      <c r="V56" s="63">
        <f>'Classificação 1ª fase'!J49</f>
        <v>3</v>
      </c>
      <c r="W56" s="95">
        <f>'Classificação 1ª fase'!K49</f>
        <v>-1</v>
      </c>
      <c r="X56" s="94"/>
    </row>
    <row r="57" spans="1:24" s="60" customFormat="1" ht="35.1" customHeight="1" thickBot="1" x14ac:dyDescent="0.25">
      <c r="A57" s="516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Uruguai</v>
      </c>
      <c r="P57" s="98">
        <f>'Classificação 1ª fase'!D50</f>
        <v>1</v>
      </c>
      <c r="Q57" s="98">
        <f>'Classificação 1ª fase'!E50</f>
        <v>2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1</v>
      </c>
      <c r="U57" s="98">
        <f>'Classificação 1ª fase'!I50</f>
        <v>0</v>
      </c>
      <c r="V57" s="98">
        <f>'Classificação 1ª fase'!J50</f>
        <v>2</v>
      </c>
      <c r="W57" s="99">
        <f>'Classificação 1ª fase'!K50</f>
        <v>-2</v>
      </c>
      <c r="X57" s="94"/>
    </row>
    <row r="58" spans="1:24" s="61" customFormat="1" ht="35.1" customHeight="1" thickBot="1" x14ac:dyDescent="0.25">
      <c r="A58" s="517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8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 x14ac:dyDescent="0.25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 x14ac:dyDescent="0.25">
      <c r="A60" s="44"/>
      <c r="B60" s="537" t="s">
        <v>124</v>
      </c>
      <c r="C60" s="538"/>
      <c r="D60" s="538"/>
      <c r="E60" s="538"/>
      <c r="F60" s="538"/>
      <c r="G60" s="538"/>
      <c r="H60" s="538"/>
      <c r="I60" s="538"/>
      <c r="J60" s="538"/>
      <c r="K60" s="538"/>
      <c r="L60" s="539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 x14ac:dyDescent="0.25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35" t="s">
        <v>78</v>
      </c>
      <c r="L61" s="536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 x14ac:dyDescent="0.25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Holanda</v>
      </c>
      <c r="F62" s="16"/>
      <c r="G62" s="48" t="s">
        <v>0</v>
      </c>
      <c r="H62" s="16"/>
      <c r="I62" s="65" t="str">
        <f>('2ª Fase'!I20)</f>
        <v>Estados Unidos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 x14ac:dyDescent="0.25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Argentina</v>
      </c>
      <c r="F63" s="17"/>
      <c r="G63" s="55" t="s">
        <v>0</v>
      </c>
      <c r="H63" s="17"/>
      <c r="I63" s="67" t="str">
        <f>('2ª Fase'!I21)</f>
        <v>Austrália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 x14ac:dyDescent="0.25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Inglaterra</v>
      </c>
      <c r="F64" s="17"/>
      <c r="G64" s="55" t="s">
        <v>0</v>
      </c>
      <c r="H64" s="17"/>
      <c r="I64" s="67" t="str">
        <f>('2ª Fase'!I22)</f>
        <v>Senegal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 x14ac:dyDescent="0.25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França</v>
      </c>
      <c r="F65" s="17"/>
      <c r="G65" s="55" t="s">
        <v>0</v>
      </c>
      <c r="H65" s="17"/>
      <c r="I65" s="67" t="str">
        <f>('2ª Fase'!I23)</f>
        <v>Polônia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 x14ac:dyDescent="0.25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 x14ac:dyDescent="0.25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 x14ac:dyDescent="0.25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 x14ac:dyDescent="0.25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 x14ac:dyDescent="0.25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54" t="s">
        <v>78</v>
      </c>
      <c r="L70" s="555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 x14ac:dyDescent="0.25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 x14ac:dyDescent="0.25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 x14ac:dyDescent="0.25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 x14ac:dyDescent="0.25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 x14ac:dyDescent="0.25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51" t="s">
        <v>78</v>
      </c>
      <c r="L75" s="553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 x14ac:dyDescent="0.25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 x14ac:dyDescent="0.25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 x14ac:dyDescent="0.25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51" t="s">
        <v>78</v>
      </c>
      <c r="L78" s="553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 x14ac:dyDescent="0.25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 x14ac:dyDescent="0.25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51" t="s">
        <v>78</v>
      </c>
      <c r="L80" s="552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 x14ac:dyDescent="0.25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 x14ac:dyDescent="0.2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 x14ac:dyDescent="0.25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 x14ac:dyDescent="0.25">
      <c r="B84" s="2"/>
      <c r="C84" s="2"/>
      <c r="D84" s="125" t="s">
        <v>83</v>
      </c>
      <c r="E84" s="542" t="str">
        <f>'2ª Fase'!E40:I40</f>
        <v/>
      </c>
      <c r="F84" s="542"/>
      <c r="G84" s="542"/>
      <c r="H84" s="542"/>
      <c r="I84" s="543"/>
      <c r="J84" s="50"/>
      <c r="K84" s="1"/>
      <c r="L84" s="1"/>
    </row>
    <row r="85" spans="1:24" ht="15" customHeight="1" x14ac:dyDescent="0.2">
      <c r="B85" s="2"/>
      <c r="C85" s="2"/>
      <c r="D85" s="126" t="s">
        <v>84</v>
      </c>
      <c r="E85" s="544" t="str">
        <f>'2ª Fase'!E41:I41</f>
        <v/>
      </c>
      <c r="F85" s="544"/>
      <c r="G85" s="544"/>
      <c r="H85" s="544"/>
      <c r="I85" s="545"/>
      <c r="J85" s="50"/>
      <c r="K85" s="1"/>
      <c r="L85" s="1"/>
    </row>
    <row r="86" spans="1:24" ht="15" customHeight="1" x14ac:dyDescent="0.2">
      <c r="B86" s="2"/>
      <c r="C86" s="2"/>
      <c r="D86" s="127" t="s">
        <v>102</v>
      </c>
      <c r="E86" s="546" t="str">
        <f>'2ª Fase'!E42:I42</f>
        <v/>
      </c>
      <c r="F86" s="546"/>
      <c r="G86" s="546"/>
      <c r="H86" s="546"/>
      <c r="I86" s="547"/>
      <c r="J86" s="50"/>
      <c r="K86" s="1"/>
      <c r="L86" s="1"/>
    </row>
    <row r="87" spans="1:24" ht="15" customHeight="1" thickBot="1" x14ac:dyDescent="0.25">
      <c r="B87" s="2"/>
      <c r="C87" s="2"/>
      <c r="D87" s="128" t="s">
        <v>103</v>
      </c>
      <c r="E87" s="548" t="str">
        <f>'2ª Fase'!E43:I43</f>
        <v/>
      </c>
      <c r="F87" s="548"/>
      <c r="G87" s="548"/>
      <c r="H87" s="548"/>
      <c r="I87" s="549"/>
      <c r="J87" s="50"/>
      <c r="K87" s="1"/>
      <c r="L87" s="1"/>
    </row>
    <row r="88" spans="1:24" ht="15" hidden="1" customHeight="1" thickBot="1" x14ac:dyDescent="0.25">
      <c r="B88" s="2"/>
      <c r="C88" s="2"/>
      <c r="D88" s="192"/>
      <c r="E88" s="540"/>
      <c r="F88" s="540"/>
      <c r="G88" s="540"/>
      <c r="H88" s="540"/>
      <c r="I88" s="541"/>
      <c r="J88" s="50"/>
      <c r="K88" s="129"/>
      <c r="L88" s="1"/>
    </row>
    <row r="89" spans="1:24" x14ac:dyDescent="0.2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 x14ac:dyDescent="0.2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1031" priority="80" stopIfTrue="1" operator="equal">
      <formula>#REF!</formula>
    </cfRule>
  </conditionalFormatting>
  <conditionalFormatting sqref="L62:M62">
    <cfRule type="expression" dxfId="1030" priority="79">
      <formula>$G$22="penaltis"</formula>
    </cfRule>
  </conditionalFormatting>
  <conditionalFormatting sqref="K63:M63">
    <cfRule type="expression" dxfId="1029" priority="78">
      <formula>$G$23="penaltis"</formula>
    </cfRule>
  </conditionalFormatting>
  <conditionalFormatting sqref="K64:M64">
    <cfRule type="expression" dxfId="1028" priority="77">
      <formula>$G$24="penaltis"</formula>
    </cfRule>
  </conditionalFormatting>
  <conditionalFormatting sqref="K65:M65">
    <cfRule type="expression" dxfId="1027" priority="76">
      <formula>$G$25="penaltis"</formula>
    </cfRule>
  </conditionalFormatting>
  <conditionalFormatting sqref="K66:M66">
    <cfRule type="expression" dxfId="1026" priority="75">
      <formula>$G$26="penaltis"</formula>
    </cfRule>
  </conditionalFormatting>
  <conditionalFormatting sqref="K67:M67">
    <cfRule type="expression" dxfId="1025" priority="74">
      <formula>$G$27="penaltis"</formula>
    </cfRule>
  </conditionalFormatting>
  <conditionalFormatting sqref="K68:M68">
    <cfRule type="expression" dxfId="1024" priority="73">
      <formula>$G$28="penaltis"</formula>
    </cfRule>
  </conditionalFormatting>
  <conditionalFormatting sqref="K69:M69">
    <cfRule type="expression" dxfId="1023" priority="72">
      <formula>$G$29="penaltis"</formula>
    </cfRule>
  </conditionalFormatting>
  <conditionalFormatting sqref="M71">
    <cfRule type="expression" dxfId="1022" priority="71">
      <formula>$G$31="penaltis"</formula>
    </cfRule>
  </conditionalFormatting>
  <conditionalFormatting sqref="M72">
    <cfRule type="expression" dxfId="1021" priority="70" stopIfTrue="1">
      <formula>$G$32="penaltis"</formula>
    </cfRule>
  </conditionalFormatting>
  <conditionalFormatting sqref="M73">
    <cfRule type="expression" dxfId="1020" priority="69" stopIfTrue="1">
      <formula>$G$33="penaltis"</formula>
    </cfRule>
  </conditionalFormatting>
  <conditionalFormatting sqref="M74">
    <cfRule type="expression" dxfId="1019" priority="68" stopIfTrue="1">
      <formula>$G$34="penaltis"</formula>
    </cfRule>
  </conditionalFormatting>
  <conditionalFormatting sqref="M76">
    <cfRule type="expression" dxfId="1018" priority="67" stopIfTrue="1">
      <formula>$G$36="penaltis"</formula>
    </cfRule>
  </conditionalFormatting>
  <conditionalFormatting sqref="M77">
    <cfRule type="expression" dxfId="1017" priority="66" stopIfTrue="1">
      <formula>$G$37="penaltis"</formula>
    </cfRule>
  </conditionalFormatting>
  <conditionalFormatting sqref="M79">
    <cfRule type="expression" dxfId="1016" priority="65" stopIfTrue="1">
      <formula>$G$39="penaltis"</formula>
    </cfRule>
  </conditionalFormatting>
  <conditionalFormatting sqref="M81">
    <cfRule type="expression" dxfId="1015" priority="64" stopIfTrue="1">
      <formula>$G$41="penaltis"</formula>
    </cfRule>
  </conditionalFormatting>
  <conditionalFormatting sqref="K62:L62">
    <cfRule type="expression" dxfId="1014" priority="34" stopIfTrue="1">
      <formula>$J$62="penaltis"</formula>
    </cfRule>
  </conditionalFormatting>
  <conditionalFormatting sqref="K63:L63">
    <cfRule type="expression" dxfId="1013" priority="33" stopIfTrue="1">
      <formula>$J$63="penaltis"</formula>
    </cfRule>
  </conditionalFormatting>
  <conditionalFormatting sqref="K64:L64">
    <cfRule type="expression" dxfId="1012" priority="32" stopIfTrue="1">
      <formula>$J$64="penaltis"</formula>
    </cfRule>
  </conditionalFormatting>
  <conditionalFormatting sqref="K65:L65">
    <cfRule type="expression" dxfId="1011" priority="31" stopIfTrue="1">
      <formula>$J$65="penaltis"</formula>
    </cfRule>
  </conditionalFormatting>
  <conditionalFormatting sqref="K66:L66">
    <cfRule type="expression" dxfId="1010" priority="30" stopIfTrue="1">
      <formula>$J$66="penaltis"</formula>
    </cfRule>
  </conditionalFormatting>
  <conditionalFormatting sqref="K67:L67">
    <cfRule type="expression" dxfId="1009" priority="29" stopIfTrue="1">
      <formula>$J$67="penaltis"</formula>
    </cfRule>
  </conditionalFormatting>
  <conditionalFormatting sqref="K68:L68">
    <cfRule type="expression" dxfId="1008" priority="28" stopIfTrue="1">
      <formula>$J$68="penaltis"</formula>
    </cfRule>
  </conditionalFormatting>
  <conditionalFormatting sqref="K69:L69">
    <cfRule type="expression" dxfId="1007" priority="27" stopIfTrue="1">
      <formula>$J$69="penaltis"</formula>
    </cfRule>
  </conditionalFormatting>
  <conditionalFormatting sqref="K71:L71">
    <cfRule type="expression" dxfId="1006" priority="25">
      <formula>$J$71="penaltis"</formula>
    </cfRule>
  </conditionalFormatting>
  <conditionalFormatting sqref="K72:L72">
    <cfRule type="expression" dxfId="1005" priority="24">
      <formula>$J$72="penaltis"</formula>
    </cfRule>
  </conditionalFormatting>
  <conditionalFormatting sqref="K73:L73">
    <cfRule type="expression" dxfId="1004" priority="23">
      <formula>$J$73="penaltis"</formula>
    </cfRule>
  </conditionalFormatting>
  <conditionalFormatting sqref="K74:L74">
    <cfRule type="expression" dxfId="1003" priority="22">
      <formula>$J$74="penaltis"</formula>
    </cfRule>
  </conditionalFormatting>
  <conditionalFormatting sqref="K76:L76">
    <cfRule type="expression" dxfId="1002" priority="21">
      <formula>$J$76="penaltis"</formula>
    </cfRule>
  </conditionalFormatting>
  <conditionalFormatting sqref="K77:L77">
    <cfRule type="expression" dxfId="1001" priority="20">
      <formula>$J$77="penaltis"</formula>
    </cfRule>
  </conditionalFormatting>
  <conditionalFormatting sqref="K79:L79">
    <cfRule type="expression" dxfId="1000" priority="19">
      <formula>$J$79="penaltis"</formula>
    </cfRule>
  </conditionalFormatting>
  <conditionalFormatting sqref="K81:L81">
    <cfRule type="expression" dxfId="999" priority="18">
      <formula>$J$81="penaltis"</formula>
    </cfRule>
  </conditionalFormatting>
  <conditionalFormatting sqref="N12:W13">
    <cfRule type="expression" dxfId="998" priority="14">
      <formula>$Q$16=12</formula>
    </cfRule>
  </conditionalFormatting>
  <conditionalFormatting sqref="N18:W19">
    <cfRule type="expression" dxfId="997" priority="12">
      <formula>$Q$22=12</formula>
    </cfRule>
  </conditionalFormatting>
  <conditionalFormatting sqref="N24:W25">
    <cfRule type="expression" dxfId="996" priority="11">
      <formula>$Q$28=12</formula>
    </cfRule>
  </conditionalFormatting>
  <conditionalFormatting sqref="N30:W31">
    <cfRule type="expression" dxfId="995" priority="10">
      <formula>$Q$34=12</formula>
    </cfRule>
  </conditionalFormatting>
  <conditionalFormatting sqref="N36:W37">
    <cfRule type="expression" dxfId="994" priority="9">
      <formula>$Q$40=12</formula>
    </cfRule>
  </conditionalFormatting>
  <conditionalFormatting sqref="N42:W43">
    <cfRule type="expression" dxfId="993" priority="8">
      <formula>$Q$46=12</formula>
    </cfRule>
  </conditionalFormatting>
  <conditionalFormatting sqref="N48:W49">
    <cfRule type="expression" dxfId="992" priority="7">
      <formula>$Q$52=12</formula>
    </cfRule>
  </conditionalFormatting>
  <conditionalFormatting sqref="N54:W55">
    <cfRule type="expression" dxfId="991" priority="6">
      <formula>$Q$58=12</formula>
    </cfRule>
  </conditionalFormatting>
  <conditionalFormatting sqref="Y8">
    <cfRule type="cellIs" dxfId="990" priority="5" stopIfTrue="1" operator="equal">
      <formula>#REF!</formula>
    </cfRule>
  </conditionalFormatting>
  <conditionalFormatting sqref="E62:I81">
    <cfRule type="cellIs" dxfId="989" priority="103" stopIfTrue="1" operator="equal">
      <formula>$Y$7</formula>
    </cfRule>
  </conditionalFormatting>
  <conditionalFormatting sqref="J7:R7">
    <cfRule type="notContainsBlanks" dxfId="988" priority="4">
      <formula>LEN(TRIM(J7))&gt;0</formula>
    </cfRule>
  </conditionalFormatting>
  <conditionalFormatting sqref="A47 A53 A17 A23 A29 A35 A41 A11 E11:E58 I11:I58">
    <cfRule type="cellIs" dxfId="987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 xr:uid="{00000000-0002-0000-0200-000000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W126"/>
  <sheetViews>
    <sheetView workbookViewId="0"/>
  </sheetViews>
  <sheetFormatPr defaultColWidth="0" defaultRowHeight="0" customHeight="1" zeroHeight="1" x14ac:dyDescent="0.2"/>
  <cols>
    <col min="1" max="1" width="4.9765625" bestFit="1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7.53125" style="322" bestFit="1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A2" s="58" t="s">
        <v>76</v>
      </c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481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M3" s="482"/>
      <c r="N3" s="482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 x14ac:dyDescent="0.25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M4" s="482"/>
      <c r="N4" s="482">
        <f>IF(OR(Copa2022!F12="",G4=""),"",
IF(AND(Copa2022!F12=G4,Copa2022!H12=I4),Regras!$J$25,IF(Y4=Regras!F26,Regras!$J$26,0)))</f>
        <v>10</v>
      </c>
      <c r="O4" s="450"/>
      <c r="P4" s="449" t="str">
        <f>Copa2022!O12</f>
        <v>Holanda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M5" s="482"/>
      <c r="N5" s="482">
        <f>IF(OR(Copa2022!F13="",G5=""),"",
IF(AND(Copa2022!F13=G5,Copa2022!H13=I5),Regras!$J$25,IF(Y5=Regras!F27,Regras!$J$26,0)))</f>
        <v>10</v>
      </c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 x14ac:dyDescent="0.25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M6" s="482"/>
      <c r="N6" s="482">
        <f>IF(OR(Copa2022!F14="",G6=""),"",
IF(AND(Copa2022!F14=G6,Copa2022!H14=I6),Regras!$J$25,IF(Y6=Regras!F28,Regras!$J$26,0)))</f>
        <v>10</v>
      </c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39">
        <f>IF(Copa2022!F15="","",Copa2022!F15)</f>
        <v>2</v>
      </c>
      <c r="H7" s="439" t="str">
        <f>IF(Copa2022!G15="","",Copa2022!G15)</f>
        <v>x</v>
      </c>
      <c r="I7" s="439">
        <f>IF(Copa2022!H15="","",Copa2022!H15)</f>
        <v>0</v>
      </c>
      <c r="J7" s="81" t="s">
        <v>141</v>
      </c>
      <c r="K7" s="52"/>
      <c r="M7" s="482"/>
      <c r="N7" s="482">
        <f>IF(OR(Copa2022!F15="",G7=""),"",
IF(AND(Copa2022!F15=G7,Copa2022!H15=I7),Regras!$J$25,IF(Y7=Regras!F29,Regras!$J$26,0)))</f>
        <v>10</v>
      </c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44894</v>
      </c>
      <c r="D8" s="195" t="s">
        <v>132</v>
      </c>
      <c r="E8" s="174" t="s">
        <v>143</v>
      </c>
      <c r="F8" s="86" t="s">
        <v>142</v>
      </c>
      <c r="G8" s="439">
        <f>IF(Copa2022!F16="","",Copa2022!F16)</f>
        <v>1</v>
      </c>
      <c r="H8" s="439" t="str">
        <f>IF(Copa2022!G16="","",Copa2022!G16)</f>
        <v>x</v>
      </c>
      <c r="I8" s="439">
        <f>IF(Copa2022!H16="","",Copa2022!H16)</f>
        <v>2</v>
      </c>
      <c r="J8" s="89" t="s">
        <v>131</v>
      </c>
      <c r="K8" s="52"/>
      <c r="M8" s="482"/>
      <c r="N8" s="482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M9" s="482"/>
      <c r="N9" s="482">
        <f>IF(OR(Copa2022!F17="",G9=""),"",
IF(AND(Copa2022!F17=G9,Copa2022!H17=I9),Regras!$J$25,IF(Y9=Regras!F31,Regras!$J$26,0)))</f>
        <v>10</v>
      </c>
      <c r="O9" s="533"/>
      <c r="P9" s="534"/>
      <c r="Q9" s="324">
        <f>IF(Copa2022!F22="","",IF(Copa2022!O18=P10,Regras!$J$27,0))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 x14ac:dyDescent="0.25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M10" s="482"/>
      <c r="N10" s="482">
        <f>IF(OR(Copa2022!F18="",G10=""),"",
IF(AND(Copa2022!F18=G10,Copa2022!H18=I10),Regras!$J$25,IF(Y10=Regras!F32,Regras!$J$26,0)))</f>
        <v>10</v>
      </c>
      <c r="O10" s="450"/>
      <c r="P10" s="449" t="str">
        <f>Copa2022!O18</f>
        <v>Inglaterra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M11" s="482"/>
      <c r="N11" s="482">
        <f>IF(OR(Copa2022!F19="",G11=""),"",
IF(AND(Copa2022!F19=G11,Copa2022!H19=I11),Regras!$J$25,IF(Y11=Regras!F33,Regras!$J$26,0)))</f>
        <v>10</v>
      </c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 x14ac:dyDescent="0.25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M12" s="482"/>
      <c r="N12" s="482">
        <f>IF(OR(Copa2022!F20="",G12=""),"",
IF(AND(Copa2022!F20=G12,Copa2022!H20=I12),Regras!$J$25,IF(Y12=Regras!F34,Regras!$J$26,0)))</f>
        <v>10</v>
      </c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39">
        <f>IF(Copa2022!F21="","",Copa2022!F21)</f>
        <v>0</v>
      </c>
      <c r="H13" s="439" t="str">
        <f>IF(Copa2022!G21="","",Copa2022!G21)</f>
        <v>x</v>
      </c>
      <c r="I13" s="439">
        <f>IF(Copa2022!H21="","",Copa2022!H21)</f>
        <v>3</v>
      </c>
      <c r="J13" s="81" t="s">
        <v>6</v>
      </c>
      <c r="K13" s="52"/>
      <c r="M13" s="482"/>
      <c r="N13" s="482">
        <f>IF(OR(Copa2022!F21="",G13=""),"",
IF(AND(Copa2022!F21=G13,Copa2022!H21=I13),Regras!$J$25,IF(Y13=Regras!F35,Regras!$J$26,0)))</f>
        <v>10</v>
      </c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39">
        <f>IF(Copa2022!F22="","",Copa2022!F22)</f>
        <v>0</v>
      </c>
      <c r="H14" s="439" t="str">
        <f>IF(Copa2022!G22="","",Copa2022!G22)</f>
        <v>x</v>
      </c>
      <c r="I14" s="439">
        <f>IF(Copa2022!H22="","",Copa2022!H22)</f>
        <v>1</v>
      </c>
      <c r="J14" s="93" t="s">
        <v>145</v>
      </c>
      <c r="K14" s="52"/>
      <c r="M14" s="482"/>
      <c r="N14" s="482">
        <f>IF(OR(Copa2022!F22="",G14=""),"",
IF(AND(Copa2022!F22=G14,Copa2022!H22=I14),Regras!$J$25,IF(Y14=Regras!F36,Regras!$J$26,0)))</f>
        <v>10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M15" s="482"/>
      <c r="N15" s="482">
        <f>IF(OR(Copa2022!F23="",G15=""),"",
IF(AND(Copa2022!F23=G15,Copa2022!H23=I15),Regras!$J$25,IF(Y15=Regras!F37,Regras!$J$26,0)))</f>
        <v>10</v>
      </c>
      <c r="O15" s="533"/>
      <c r="P15" s="534"/>
      <c r="Q15" s="324">
        <f>IF(Copa2022!F28="","",IF(Copa2022!O24=P16,Regras!$J$27,0))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 x14ac:dyDescent="0.25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M16" s="482"/>
      <c r="N16" s="482">
        <f>IF(OR(Copa2022!F24="",G16=""),"",
IF(AND(Copa2022!F24=G16,Copa2022!H24=I16),Regras!$J$25,IF(Y16=Regras!F38,Regras!$J$26,0)))</f>
        <v>10</v>
      </c>
      <c r="O16" s="450"/>
      <c r="P16" s="449" t="str">
        <f>Copa2022!O24</f>
        <v>Argentina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39">
        <f>IF(Copa2022!F25="","",Copa2022!F25)</f>
        <v>2</v>
      </c>
      <c r="H17" s="439" t="str">
        <f>IF(Copa2022!G25="","",Copa2022!G25)</f>
        <v>x</v>
      </c>
      <c r="I17" s="439">
        <f>IF(Copa2022!H25="","",Copa2022!H25)</f>
        <v>0</v>
      </c>
      <c r="J17" s="81" t="s">
        <v>125</v>
      </c>
      <c r="K17" s="52"/>
      <c r="M17" s="482"/>
      <c r="N17" s="482">
        <f>IF(OR(Copa2022!F25="",G17=""),"",
IF(AND(Copa2022!F25=G17,Copa2022!H25=I17),Regras!$J$25,IF(Y17=Regras!F39,Regras!$J$26,0)))</f>
        <v>10</v>
      </c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thickBot="1" x14ac:dyDescent="0.25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39">
        <f>IF(Copa2022!F26="","",Copa2022!F26)</f>
        <v>2</v>
      </c>
      <c r="H18" s="439" t="str">
        <f>IF(Copa2022!G26="","",Copa2022!G26)</f>
        <v>x</v>
      </c>
      <c r="I18" s="439">
        <f>IF(Copa2022!H26="","",Copa2022!H26)</f>
        <v>0</v>
      </c>
      <c r="J18" s="81" t="s">
        <v>1</v>
      </c>
      <c r="K18" s="52"/>
      <c r="M18" s="482"/>
      <c r="N18" s="482">
        <f>IF(OR(Copa2022!F26="",G18=""),"",
IF(AND(Copa2022!F26=G18,Copa2022!H26=I18),Regras!$J$25,IF(Y18=Regras!F40,Regras!$J$26,0)))</f>
        <v>10</v>
      </c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39">
        <f>IF(Copa2022!F27="","",Copa2022!F27)</f>
        <v>0</v>
      </c>
      <c r="H19" s="439" t="str">
        <f>IF(Copa2022!G27="","",Copa2022!G27)</f>
        <v>x</v>
      </c>
      <c r="I19" s="439">
        <f>IF(Copa2022!H27="","",Copa2022!H27)</f>
        <v>2</v>
      </c>
      <c r="J19" s="81" t="s">
        <v>4</v>
      </c>
      <c r="K19" s="52"/>
      <c r="M19" s="482"/>
      <c r="N19" s="482">
        <f>IF(OR(Copa2022!F27="",G19=""),"",
IF(AND(Copa2022!F27=G19,Copa2022!H27=I19),Regras!$J$25,IF(Y19=Regras!F41,Regras!$J$26,0)))</f>
        <v>10</v>
      </c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39">
        <f>IF(Copa2022!F28="","",Copa2022!F28)</f>
        <v>1</v>
      </c>
      <c r="H20" s="439" t="str">
        <f>IF(Copa2022!G28="","",Copa2022!G28)</f>
        <v>x</v>
      </c>
      <c r="I20" s="439">
        <f>IF(Copa2022!H28="","",Copa2022!H28)</f>
        <v>2</v>
      </c>
      <c r="J20" s="89" t="s">
        <v>1</v>
      </c>
      <c r="K20" s="52"/>
      <c r="M20" s="482"/>
      <c r="N20" s="482">
        <f>IF(OR(Copa2022!F28="",G20=""),"",
IF(AND(Copa2022!F28=G20,Copa2022!H28=I20),Regras!$J$25,IF(Y20=Regras!F42,Regras!$J$26,0)))</f>
        <v>10</v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M21" s="482"/>
      <c r="N21" s="482">
        <f>IF(OR(Copa2022!F29="",G21=""),"",
IF(AND(Copa2022!F29=G21,Copa2022!H29=I21),Regras!$J$25,IF(Y21=Regras!F43,Regras!$J$26,0)))</f>
        <v>10</v>
      </c>
      <c r="O21" s="533"/>
      <c r="P21" s="534"/>
      <c r="Q21" s="324">
        <f>IF(Copa2022!F34="","",IF(Copa2022!O30=P22,Regras!$J$27,0))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 x14ac:dyDescent="0.25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M22" s="482"/>
      <c r="N22" s="482">
        <f>IF(OR(Copa2022!F30="",G22=""),"",
IF(AND(Copa2022!F30=G22,Copa2022!H30=I22),Regras!$J$25,IF(Y22=Regras!F44,Regras!$J$26,0)))</f>
        <v>10</v>
      </c>
      <c r="O22" s="450"/>
      <c r="P22" s="449" t="str">
        <f>Copa2022!O30</f>
        <v>França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39">
        <f>IF(Copa2022!F31="","",Copa2022!F31)</f>
        <v>0</v>
      </c>
      <c r="H23" s="439" t="str">
        <f>IF(Copa2022!G31="","",Copa2022!G31)</f>
        <v>x</v>
      </c>
      <c r="I23" s="439">
        <f>IF(Copa2022!H31="","",Copa2022!H31)</f>
        <v>1</v>
      </c>
      <c r="J23" s="81" t="s">
        <v>159</v>
      </c>
      <c r="K23" s="52"/>
      <c r="M23" s="482"/>
      <c r="N23" s="482">
        <f>IF(OR(Copa2022!F31="",G23=""),"",
IF(AND(Copa2022!F31=G23,Copa2022!H31=I23),Regras!$J$25,IF(Y23=Regras!F45,Regras!$J$26,0)))</f>
        <v>10</v>
      </c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thickBot="1" x14ac:dyDescent="0.25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39">
        <f>IF(Copa2022!F32="","",Copa2022!F32)</f>
        <v>2</v>
      </c>
      <c r="H24" s="439" t="str">
        <f>IF(Copa2022!G32="","",Copa2022!G32)</f>
        <v>x</v>
      </c>
      <c r="I24" s="439">
        <f>IF(Copa2022!H32="","",Copa2022!H32)</f>
        <v>1</v>
      </c>
      <c r="J24" s="81" t="s">
        <v>127</v>
      </c>
      <c r="K24" s="52"/>
      <c r="M24" s="482"/>
      <c r="N24" s="482">
        <f>IF(OR(Copa2022!F32="",G24=""),"",
IF(AND(Copa2022!F32=G24,Copa2022!H32=I24),Regras!$J$25,IF(Y24=Regras!F46,Regras!$J$26,0)))</f>
        <v>10</v>
      </c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39">
        <f>IF(Copa2022!F33="","",Copa2022!F33)</f>
        <v>1</v>
      </c>
      <c r="H25" s="439" t="str">
        <f>IF(Copa2022!G33="","",Copa2022!G33)</f>
        <v>x</v>
      </c>
      <c r="I25" s="439">
        <f>IF(Copa2022!H33="","",Copa2022!H33)</f>
        <v>0</v>
      </c>
      <c r="J25" s="81" t="s">
        <v>3</v>
      </c>
      <c r="K25" s="52"/>
      <c r="M25" s="482"/>
      <c r="N25" s="482">
        <f>IF(OR(Copa2022!F33="",G25=""),"",
IF(AND(Copa2022!F33=G25,Copa2022!H33=I25),Regras!$J$25,IF(Y25=Regras!F47,Regras!$J$26,0)))</f>
        <v>10</v>
      </c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Tunísia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39">
        <f>IF(Copa2022!F34="","",Copa2022!F34)</f>
        <v>1</v>
      </c>
      <c r="H26" s="439" t="str">
        <f>IF(Copa2022!G34="","",Copa2022!G34)</f>
        <v>x</v>
      </c>
      <c r="I26" s="439">
        <f>IF(Copa2022!H34="","",Copa2022!H34)</f>
        <v>0</v>
      </c>
      <c r="J26" s="93" t="s">
        <v>127</v>
      </c>
      <c r="K26" s="52"/>
      <c r="M26" s="482"/>
      <c r="N26" s="482">
        <f>IF(OR(Copa2022!F34="",G26=""),"",
IF(AND(Copa2022!F34=G26,Copa2022!H34=I26),Regras!$J$25,IF(Y26=Regras!F48,Regras!$J$26,0)))</f>
        <v>10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Austrália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M27" s="482"/>
      <c r="N27" s="482">
        <f>IF(OR(Copa2022!F35="",G27=""),"",
IF(AND(Copa2022!F35=G27,Copa2022!H35=I27),Regras!$J$25,IF(Y27=Regras!F49,Regras!$J$26,0)))</f>
        <v>10</v>
      </c>
      <c r="O27" s="533"/>
      <c r="P27" s="534"/>
      <c r="Q27" s="324" t="str">
        <f>IF(Copa2022!F40="","",IF(Copa2022!O36=P28,Regras!$J$27,0))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 x14ac:dyDescent="0.25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M28" s="482"/>
      <c r="N28" s="482">
        <f>IF(OR(Copa2022!F36="",G28=""),"",
IF(AND(Copa2022!F36=G28,Copa2022!H36=I28),Regras!$J$25,IF(Y28=Regras!F50,Regras!$J$26,0)))</f>
        <v>10</v>
      </c>
      <c r="O28" s="450"/>
      <c r="P28" s="449" t="str">
        <f>Copa2022!O36</f>
        <v>Espanha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39">
        <f>IF(Copa2022!F37="","",Copa2022!F37)</f>
        <v>0</v>
      </c>
      <c r="H29" s="439" t="str">
        <f>IF(Copa2022!G37="","",Copa2022!G37)</f>
        <v>x</v>
      </c>
      <c r="I29" s="439">
        <f>IF(Copa2022!H37="","",Copa2022!H37)</f>
        <v>1</v>
      </c>
      <c r="J29" s="81" t="s">
        <v>160</v>
      </c>
      <c r="K29" s="52"/>
      <c r="M29" s="482"/>
      <c r="N29" s="482">
        <f>IF(OR(Copa2022!F37="",G29=""),"",
IF(AND(Copa2022!F37=G29,Copa2022!H37=I29),Regras!$J$25,IF(Y29=Regras!F51,Regras!$J$26,0)))</f>
        <v>10</v>
      </c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Costa Rica</v>
      </c>
    </row>
    <row r="30" spans="1:25" s="60" customFormat="1" ht="35.1" customHeight="1" thickTop="1" thickBot="1" x14ac:dyDescent="0.25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39">
        <f>IF(Copa2022!F38="","",Copa2022!F38)</f>
        <v>1</v>
      </c>
      <c r="H30" s="439" t="str">
        <f>IF(Copa2022!G38="","",Copa2022!G38)</f>
        <v>x</v>
      </c>
      <c r="I30" s="439">
        <f>IF(Copa2022!H38="","",Copa2022!H38)</f>
        <v>1</v>
      </c>
      <c r="J30" s="81" t="s">
        <v>7</v>
      </c>
      <c r="K30" s="52"/>
      <c r="M30" s="482"/>
      <c r="N30" s="482">
        <f>IF(OR(Copa2022!F38="",G30=""),"",
IF(AND(Copa2022!F38=G30,Copa2022!H38=I30),Regras!$J$25,IF(Y30=Regras!F52,Regras!$J$26,0)))</f>
        <v>10</v>
      </c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M31" s="482"/>
      <c r="N31" s="482" t="str">
        <f>IF(OR(Copa2022!F39="",G31=""),"",
IF(AND(Copa2022!F39=G31,Copa2022!H39=I31),Regras!$J$25,IF(Y31=Regras!F53,Regras!$J$26,0)))</f>
        <v/>
      </c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M32" s="482"/>
      <c r="N32" s="482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M33" s="482"/>
      <c r="N33" s="482">
        <f>IF(OR(Copa2022!F41="",G33=""),"",
IF(AND(Copa2022!F41=G33,Copa2022!H41=I33),Regras!$J$25,IF(Y33=Regras!F55,Regras!$J$26,0)))</f>
        <v>10</v>
      </c>
      <c r="O33" s="533"/>
      <c r="P33" s="534"/>
      <c r="Q33" s="324" t="str">
        <f>IF(Copa2022!F46="","",IF(Copa2022!O42=P34,Regras!$J$27,0))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 x14ac:dyDescent="0.25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M34" s="482"/>
      <c r="N34" s="482">
        <f>IF(OR(Copa2022!F42="",G34=""),"",
IF(AND(Copa2022!F42=G34,Copa2022!H42=I34),Regras!$J$25,IF(Y34=Regras!F56,Regras!$J$26,0)))</f>
        <v>10</v>
      </c>
      <c r="O34" s="450"/>
      <c r="P34" s="449" t="str">
        <f>Copa2022!O42</f>
        <v>Croácia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39">
        <f>IF(Copa2022!F43="","",Copa2022!F43)</f>
        <v>0</v>
      </c>
      <c r="H35" s="439" t="str">
        <f>IF(Copa2022!G43="","",Copa2022!G43)</f>
        <v>x</v>
      </c>
      <c r="I35" s="439">
        <f>IF(Copa2022!H43="","",Copa2022!H43)</f>
        <v>2</v>
      </c>
      <c r="J35" s="81" t="s">
        <v>126</v>
      </c>
      <c r="K35" s="52"/>
      <c r="M35" s="482"/>
      <c r="N35" s="482">
        <f>IF(OR(Copa2022!F43="",G35=""),"",
IF(AND(Copa2022!F43=G35,Copa2022!H43=I35),Regras!$J$25,IF(Y35=Regras!F57,Regras!$J$26,0)))</f>
        <v>10</v>
      </c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Marrocos</v>
      </c>
    </row>
    <row r="36" spans="1:25" s="60" customFormat="1" ht="35.1" customHeight="1" thickTop="1" thickBot="1" x14ac:dyDescent="0.25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39">
        <f>IF(Copa2022!F44="","",Copa2022!F44)</f>
        <v>3</v>
      </c>
      <c r="H36" s="439" t="str">
        <f>IF(Copa2022!G44="","",Copa2022!G44)</f>
        <v>x</v>
      </c>
      <c r="I36" s="439">
        <f>IF(Copa2022!H44="","",Copa2022!H44)</f>
        <v>1</v>
      </c>
      <c r="J36" s="81" t="s">
        <v>150</v>
      </c>
      <c r="K36" s="52"/>
      <c r="M36" s="482"/>
      <c r="N36" s="482">
        <f>IF(OR(Copa2022!F44="",G36=""),"",
IF(AND(Copa2022!F44=G36,Copa2022!H44=I36),Regras!$J$25,IF(Y36=Regras!F58,Regras!$J$26,0)))</f>
        <v>10</v>
      </c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M37" s="482"/>
      <c r="N37" s="482" t="str">
        <f>IF(OR(Copa2022!F45="",G37=""),"",
IF(AND(Copa2022!F45=G37,Copa2022!H45=I37),Regras!$J$25,IF(Y37=Regras!F59,Regras!$J$26,0)))</f>
        <v/>
      </c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M38" s="482"/>
      <c r="N38" s="482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M39" s="482"/>
      <c r="N39" s="482">
        <f>IF(OR(Copa2022!F47="",G39=""),"",
IF(AND(Copa2022!F47=G39,Copa2022!H47=I39),Regras!$J$25,IF(Y39=Regras!F61,Regras!$J$26,0)))</f>
        <v>10</v>
      </c>
      <c r="O39" s="533"/>
      <c r="P39" s="534"/>
      <c r="Q39" s="324" t="str">
        <f>IF(Copa2022!F52="","",IF(Copa2022!O48=P40,Regras!$J$27,0))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 x14ac:dyDescent="0.25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M40" s="482"/>
      <c r="N40" s="482">
        <f>IF(OR(Copa2022!F48="",G40=""),"",
IF(AND(Copa2022!F48=G40,Copa2022!H48=I40),Regras!$J$25,IF(Y40=Regras!F62,Regras!$J$26,0)))</f>
        <v>10</v>
      </c>
      <c r="O40" s="455"/>
      <c r="P40" s="456" t="str">
        <f>Copa2022!O48</f>
        <v>Brasil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39">
        <f>IF(Copa2022!F49="","",Copa2022!F49)</f>
        <v>3</v>
      </c>
      <c r="H41" s="439" t="str">
        <f>IF(Copa2022!G49="","",Copa2022!G49)</f>
        <v>x</v>
      </c>
      <c r="I41" s="439">
        <f>IF(Copa2022!H49="","",Copa2022!H49)</f>
        <v>3</v>
      </c>
      <c r="J41" s="81" t="s">
        <v>128</v>
      </c>
      <c r="K41" s="52"/>
      <c r="M41" s="482"/>
      <c r="N41" s="482">
        <f>IF(OR(Copa2022!F49="",G41=""),"",
IF(AND(Copa2022!F49=G41,Copa2022!H49=I41),Regras!$J$25,IF(Y41=Regras!F63,Regras!$J$26,0)))</f>
        <v>10</v>
      </c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thickBot="1" x14ac:dyDescent="0.25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39">
        <f>IF(Copa2022!F50="","",Copa2022!F50)</f>
        <v>1</v>
      </c>
      <c r="H42" s="439" t="str">
        <f>IF(Copa2022!G50="","",Copa2022!G50)</f>
        <v>x</v>
      </c>
      <c r="I42" s="439">
        <f>IF(Copa2022!H50="","",Copa2022!H50)</f>
        <v>0</v>
      </c>
      <c r="J42" s="81" t="s">
        <v>12</v>
      </c>
      <c r="K42" s="52"/>
      <c r="M42" s="482"/>
      <c r="N42" s="482">
        <f>IF(OR(Copa2022!F50="",G42=""),"",
IF(AND(Copa2022!F50=G42,Copa2022!H50=I42),Regras!$J$25,IF(Y42=Regras!F64,Regras!$J$26,0)))</f>
        <v>10</v>
      </c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M43" s="482"/>
      <c r="N43" s="482" t="str">
        <f>IF(OR(Copa2022!F51="",G43=""),"",
IF(AND(Copa2022!F51=G43,Copa2022!H51=I43),Regras!$J$25,IF(Y43=Regras!F65,Regras!$J$26,0)))</f>
        <v/>
      </c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M44" s="482"/>
      <c r="N44" s="482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M45" s="482"/>
      <c r="N45" s="482">
        <f>IF(OR(Copa2022!F53="",G45=""),"",
IF(AND(Copa2022!F53=G45,Copa2022!H53=I45),Regras!$J$25,IF(Y45=Regras!F67,Regras!$J$26,0)))</f>
        <v>10</v>
      </c>
      <c r="O45" s="533"/>
      <c r="P45" s="534"/>
      <c r="Q45" s="324" t="str">
        <f>IF(Copa2022!F58="","",IF(Copa2022!O54=P46,Regras!$J$27,0))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 x14ac:dyDescent="0.25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M46" s="482"/>
      <c r="N46" s="482">
        <f>IF(OR(Copa2022!F54="",G46=""),"",
IF(AND(Copa2022!F54=G46,Copa2022!H54=I46),Regras!$J$25,IF(Y46=Regras!F68,Regras!$J$26,0)))</f>
        <v>10</v>
      </c>
      <c r="O46" s="450"/>
      <c r="P46" s="449" t="str">
        <f>Copa2022!O54</f>
        <v>Portugal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39">
        <f>IF(Copa2022!F55="","",Copa2022!F55)</f>
        <v>2</v>
      </c>
      <c r="H47" s="439" t="str">
        <f>IF(Copa2022!G55="","",Copa2022!G55)</f>
        <v>x</v>
      </c>
      <c r="I47" s="439">
        <f>IF(Copa2022!H55="","",Copa2022!H55)</f>
        <v>3</v>
      </c>
      <c r="J47" s="81" t="s">
        <v>152</v>
      </c>
      <c r="K47" s="52"/>
      <c r="M47" s="482"/>
      <c r="N47" s="482">
        <f>IF(OR(Copa2022!F55="",G47=""),"",
IF(AND(Copa2022!F55=G47,Copa2022!H55=I47),Regras!$J$25,IF(Y47=Regras!F69,Regras!$J$26,0)))</f>
        <v>10</v>
      </c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thickBot="1" x14ac:dyDescent="0.25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39">
        <f>IF(Copa2022!F56="","",Copa2022!F56)</f>
        <v>2</v>
      </c>
      <c r="H48" s="439" t="str">
        <f>IF(Copa2022!G56="","",Copa2022!G56)</f>
        <v>x</v>
      </c>
      <c r="I48" s="439">
        <f>IF(Copa2022!H56="","",Copa2022!H56)</f>
        <v>0</v>
      </c>
      <c r="J48" s="81" t="s">
        <v>2</v>
      </c>
      <c r="K48" s="52"/>
      <c r="M48" s="482"/>
      <c r="N48" s="482">
        <f>IF(OR(Copa2022!F56="",G48=""),"",
IF(AND(Copa2022!F56=G48,Copa2022!H56=I48),Regras!$J$25,IF(Y48=Regras!F70,Regras!$J$26,0)))</f>
        <v>10</v>
      </c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M49" s="482"/>
      <c r="N49" s="482" t="str">
        <f>IF(OR(Copa2022!F57="",G49=""),"",
IF(AND(Copa2022!F57=G49,Copa2022!H57=I49),Regras!$J$25,IF(Y49=Regras!F71,Regras!$J$26,0)))</f>
        <v/>
      </c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M50" s="482"/>
      <c r="N50" s="482" t="str">
        <f>IF(OR(Copa2022!F58="",G50=""),"",
IF(AND(Copa2022!F58=G50,Copa2022!H58=I50),Regras!$J$25,IF(Y50=Regras!F72,Regras!$J$26,0)))</f>
        <v/>
      </c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475" customFormat="1" ht="13.5" customHeight="1" thickBot="1" x14ac:dyDescent="0.25">
      <c r="B51" s="501"/>
      <c r="C51" s="502"/>
      <c r="D51" s="503"/>
      <c r="E51" s="504"/>
      <c r="F51" s="505"/>
      <c r="G51" s="506"/>
      <c r="H51" s="506"/>
      <c r="I51" s="506"/>
      <c r="J51" s="507"/>
      <c r="K51" s="52"/>
      <c r="M51" s="495"/>
      <c r="N51" s="495"/>
      <c r="O51" s="438"/>
      <c r="P51" s="449"/>
      <c r="Q51" s="320"/>
      <c r="R51" s="321"/>
      <c r="S51" s="320"/>
      <c r="T51" s="320"/>
      <c r="U51" s="320"/>
      <c r="V51" s="320"/>
      <c r="W51" s="320"/>
      <c r="X51" s="320"/>
      <c r="Y51" s="57"/>
    </row>
    <row r="52" spans="1:25" s="58" customFormat="1" ht="15.75" customHeight="1" thickBot="1" x14ac:dyDescent="0.25">
      <c r="A52"/>
      <c r="B52" s="5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109"/>
      <c r="P52" s="113"/>
      <c r="Q52" s="322"/>
      <c r="R52" s="322"/>
      <c r="S52" s="322"/>
      <c r="T52" s="322"/>
      <c r="U52" s="322"/>
      <c r="V52" s="322"/>
      <c r="W52" s="322"/>
      <c r="X52" s="322"/>
      <c r="Y52" s="1"/>
    </row>
    <row r="53" spans="1:25" s="58" customFormat="1" ht="27" customHeight="1" thickBot="1" x14ac:dyDescent="0.25">
      <c r="A53"/>
      <c r="B53" s="5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1"/>
      <c r="O53" s="109"/>
      <c r="P53" s="113"/>
      <c r="Q53" s="322"/>
      <c r="R53" s="322"/>
      <c r="S53" s="322"/>
      <c r="T53" s="322"/>
      <c r="U53" s="322"/>
      <c r="V53" s="322"/>
      <c r="W53" s="322"/>
      <c r="X53" s="322"/>
      <c r="Y53" s="1"/>
    </row>
    <row r="54" spans="1:25" s="58" customFormat="1" ht="20.100000000000001" customHeight="1" thickBot="1" x14ac:dyDescent="0.25">
      <c r="A54"/>
      <c r="B54" s="5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484" t="str">
        <f>IF(Copa2022!F62="","",Copa2022!F62)</f>
        <v/>
      </c>
      <c r="H54" s="485" t="s">
        <v>0</v>
      </c>
      <c r="I54" s="484" t="str">
        <f>IF(Copa2022!H62="","",Copa2022!H62)</f>
        <v/>
      </c>
      <c r="J54" s="486" t="str">
        <f>IF(Copa2022!I62="","",Copa2022!I62)</f>
        <v>Estados Unidos</v>
      </c>
      <c r="K54" s="23" t="s">
        <v>189</v>
      </c>
      <c r="L54" s="24">
        <f>Copa2022!K62</f>
        <v>0</v>
      </c>
      <c r="M54" s="25">
        <f>Copa2022!L62</f>
        <v>0</v>
      </c>
      <c r="N54" s="495" t="str">
        <f>IF(OR(Copa2022!F62="",G54=""),"",
IF(AND(Copa2022!F62=G54,Copa2022!H62=I54),Regras!$J$29,
IF(Y54=Regras!F73,Regras!$J$30,
IF(Y54=Regras!E73,Regras!$J$31,0))))</f>
        <v/>
      </c>
      <c r="O54" s="109"/>
      <c r="Q54" s="322"/>
      <c r="R54" s="322"/>
      <c r="S54" s="322"/>
      <c r="T54" s="322"/>
      <c r="U54" s="322"/>
      <c r="V54" s="322"/>
      <c r="W54" s="322"/>
      <c r="X54" s="322"/>
      <c r="Y54" s="57" t="str">
        <f>IF(Copa2022!F62="","",IF(G54=I54,"empate",IF(G54&gt;I54,F54,J54)))</f>
        <v/>
      </c>
    </row>
    <row r="55" spans="1:25" s="60" customFormat="1" ht="34.5" customHeight="1" thickBot="1" x14ac:dyDescent="0.25">
      <c r="A55"/>
      <c r="B55" s="5"/>
      <c r="C55" s="183">
        <v>44898</v>
      </c>
      <c r="D55" s="184" t="s">
        <v>136</v>
      </c>
      <c r="E55" s="185" t="s">
        <v>144</v>
      </c>
      <c r="F55" s="487" t="str">
        <f>IF(Copa2022!E63="","",Copa2022!E63)</f>
        <v>Argentina</v>
      </c>
      <c r="G55" s="488" t="str">
        <f>IF(Copa2022!F63="","",Copa2022!F63)</f>
        <v/>
      </c>
      <c r="H55" s="489" t="s">
        <v>0</v>
      </c>
      <c r="I55" s="488" t="str">
        <f>IF(Copa2022!H63="","",Copa2022!H63)</f>
        <v/>
      </c>
      <c r="J55" s="490" t="str">
        <f>IF(Copa2022!I63="","",Copa2022!I63)</f>
        <v>Austrália</v>
      </c>
      <c r="K55" s="23" t="s">
        <v>189</v>
      </c>
      <c r="L55" s="24">
        <f>Copa2022!K63</f>
        <v>0</v>
      </c>
      <c r="M55" s="25">
        <f>Copa2022!L63</f>
        <v>0</v>
      </c>
      <c r="N55" s="495" t="str">
        <f>IF(OR(Copa2022!F63="",G55=""),"",
IF(AND(Copa2022!F63=G55,Copa2022!H63=I55),Regras!$J$29,
IF(Y55=Regras!F74,Regras!$J$30,
IF(Y55=Regras!E74,Regras!$J$31,0))))</f>
        <v/>
      </c>
      <c r="O55" s="109"/>
      <c r="Q55" s="322"/>
      <c r="R55" s="322"/>
      <c r="S55" s="322"/>
      <c r="T55" s="322"/>
      <c r="U55" s="322"/>
      <c r="V55" s="322"/>
      <c r="W55" s="322"/>
      <c r="X55" s="322"/>
      <c r="Y55" s="57" t="str">
        <f>IF(Copa2022!F63="","",IF(G55=I55,"empate",IF(G55&gt;I55,F55,J55)))</f>
        <v/>
      </c>
    </row>
    <row r="56" spans="1:25" s="60" customFormat="1" ht="34.5" customHeight="1" thickBot="1" x14ac:dyDescent="0.25">
      <c r="A56"/>
      <c r="B56" s="5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 t="str">
        <f>IF(Copa2022!F64="","",Copa2022!F64)</f>
        <v/>
      </c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4">
        <f>Copa2022!K64</f>
        <v>0</v>
      </c>
      <c r="M56" s="25">
        <f>Copa2022!L64</f>
        <v>0</v>
      </c>
      <c r="N56" s="495" t="str">
        <f>IF(OR(Copa2022!F64="",G56=""),"",
IF(AND(Copa2022!F64=G56,Copa2022!H64=I56),Regras!$J$29,
IF(Y56=Regras!F75,Regras!$J$30,
IF(Y56=Regras!E75,Regras!$J$31,0))))</f>
        <v/>
      </c>
      <c r="O56" s="109"/>
      <c r="Q56" s="322"/>
      <c r="R56" s="322"/>
      <c r="S56" s="322"/>
      <c r="T56" s="322"/>
      <c r="U56" s="322"/>
      <c r="V56" s="322"/>
      <c r="W56" s="322"/>
      <c r="X56" s="322"/>
      <c r="Y56" s="57" t="str">
        <f>IF(Copa2022!F64="","",IF(G56=I56,"empate",IF(G56&gt;I56,F56,J56)))</f>
        <v/>
      </c>
    </row>
    <row r="57" spans="1:25" s="60" customFormat="1" ht="34.5" customHeight="1" thickBot="1" x14ac:dyDescent="0.25">
      <c r="A57"/>
      <c r="B57" s="5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 t="str">
        <f>IF(Copa2022!F65="","",Copa2022!F65)</f>
        <v/>
      </c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4">
        <f>Copa2022!K65</f>
        <v>0</v>
      </c>
      <c r="M57" s="25">
        <f>Copa2022!L65</f>
        <v>0</v>
      </c>
      <c r="N57" s="495" t="str">
        <f>IF(OR(Copa2022!F65="",G57=""),"",
IF(AND(Copa2022!F65=G57,Copa2022!H65=I57),Regras!$J$29,
IF(Y57=Regras!F76,Regras!$J$30,
IF(Y57=Regras!E76,Regras!$J$31,0))))</f>
        <v/>
      </c>
      <c r="O57" s="109"/>
      <c r="Q57" s="322"/>
      <c r="R57" s="322"/>
      <c r="S57" s="322"/>
      <c r="T57" s="322"/>
      <c r="U57" s="322"/>
      <c r="V57" s="322"/>
      <c r="W57" s="322"/>
      <c r="X57" s="322"/>
      <c r="Y57" s="57" t="str">
        <f>IF(Copa2022!F65="","",IF(G57=I57,"empate",IF(G57&gt;I57,F57,J57)))</f>
        <v/>
      </c>
    </row>
    <row r="58" spans="1:25" s="60" customFormat="1" ht="34.5" customHeight="1" thickBot="1" x14ac:dyDescent="0.25">
      <c r="A58"/>
      <c r="B58" s="5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 t="str">
        <f>IF(Copa2022!F66="","",Copa2022!F66)</f>
        <v/>
      </c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4">
        <f>Copa2022!K66</f>
        <v>0</v>
      </c>
      <c r="M58" s="25">
        <f>Copa2022!L66</f>
        <v>0</v>
      </c>
      <c r="N58" s="495" t="str">
        <f>IF(OR(Copa2022!F66="",G58=""),"",
IF(AND(Copa2022!F66=G58,Copa2022!H66=I58),Regras!$J$29,
IF(Y58=Regras!F77,Regras!$J$30,
IF(Y58=Regras!E77,Regras!$J$31,0))))</f>
        <v/>
      </c>
      <c r="O58" s="109"/>
      <c r="Q58" s="322"/>
      <c r="R58" s="322"/>
      <c r="S58" s="322"/>
      <c r="T58" s="322"/>
      <c r="U58" s="322"/>
      <c r="V58" s="322"/>
      <c r="W58" s="322"/>
      <c r="X58" s="322"/>
      <c r="Y58" s="57" t="str">
        <f>IF(Copa2022!F66="","",IF(G58=I58,"empate",IF(G58&gt;I58,F58,J58)))</f>
        <v/>
      </c>
    </row>
    <row r="59" spans="1:25" s="61" customFormat="1" ht="34.5" customHeight="1" thickBot="1" x14ac:dyDescent="0.25">
      <c r="A59"/>
      <c r="B59" s="5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 t="str">
        <f>IF(Copa2022!F67="","",Copa2022!F67)</f>
        <v/>
      </c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24">
        <f>Copa2022!K67</f>
        <v>0</v>
      </c>
      <c r="M59" s="25">
        <f>Copa2022!L67</f>
        <v>0</v>
      </c>
      <c r="N59" s="495" t="str">
        <f>IF(OR(Copa2022!F67="",G59=""),"",
IF(AND(Copa2022!F67=G59,Copa2022!H67=I59),Regras!$J$29,
IF(Y59=Regras!F78,Regras!$J$30,
IF(Y59=Regras!E78,Regras!$J$31,0))))</f>
        <v/>
      </c>
      <c r="O59" s="109"/>
      <c r="Q59" s="322"/>
      <c r="R59" s="322"/>
      <c r="S59" s="322"/>
      <c r="T59" s="322"/>
      <c r="U59" s="322"/>
      <c r="V59" s="322"/>
      <c r="W59" s="322"/>
      <c r="X59" s="322"/>
      <c r="Y59" s="57" t="str">
        <f>IF(Copa2022!F67="","",IF(G59=I59,"empate",IF(G59&gt;I59,F59,J59)))</f>
        <v/>
      </c>
    </row>
    <row r="60" spans="1:25" s="60" customFormat="1" ht="34.5" customHeight="1" thickBot="1" x14ac:dyDescent="0.25">
      <c r="A60"/>
      <c r="B60" s="5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 t="str">
        <f>IF(Copa2022!F68="","",Copa2022!F68)</f>
        <v/>
      </c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4">
        <f>Copa2022!K68</f>
        <v>0</v>
      </c>
      <c r="M60" s="25">
        <f>Copa2022!L68</f>
        <v>0</v>
      </c>
      <c r="N60" s="495" t="str">
        <f>IF(OR(Copa2022!F68="",G60=""),"",
IF(AND(Copa2022!F68=G60,Copa2022!H68=I60),Regras!$J$29,
IF(Y60=Regras!F79,Regras!$J$30,
IF(Y60=Regras!E79,Regras!$J$31,0))))</f>
        <v/>
      </c>
      <c r="O60" s="109"/>
      <c r="Q60" s="322"/>
      <c r="R60" s="322"/>
      <c r="S60" s="322"/>
      <c r="T60" s="322"/>
      <c r="U60" s="322"/>
      <c r="V60" s="322"/>
      <c r="W60" s="322"/>
      <c r="X60" s="322"/>
      <c r="Y60" s="57" t="str">
        <f>IF(Copa2022!F68="","",IF(G60=I60,"empate",IF(G60&gt;I60,F60,J60)))</f>
        <v/>
      </c>
    </row>
    <row r="61" spans="1:25" s="60" customFormat="1" ht="34.5" customHeight="1" thickBot="1" x14ac:dyDescent="0.25">
      <c r="A61"/>
      <c r="B61" s="5"/>
      <c r="C61" s="186">
        <v>44901</v>
      </c>
      <c r="D61" s="187" t="s">
        <v>136</v>
      </c>
      <c r="E61" s="188" t="s">
        <v>146</v>
      </c>
      <c r="F61" s="491" t="str">
        <f>IF(Copa2022!E69="","",Copa2022!E69)</f>
        <v>1ºH</v>
      </c>
      <c r="G61" s="492" t="str">
        <f>IF(Copa2022!F69="","",Copa2022!F69)</f>
        <v/>
      </c>
      <c r="H61" s="493" t="s">
        <v>0</v>
      </c>
      <c r="I61" s="492" t="str">
        <f>IF(Copa2022!H69="","",Copa2022!H69)</f>
        <v/>
      </c>
      <c r="J61" s="494" t="str">
        <f>IF(Copa2022!I69="","",Copa2022!I69)</f>
        <v>2ºG</v>
      </c>
      <c r="K61" s="23" t="s">
        <v>189</v>
      </c>
      <c r="L61" s="24">
        <f>Copa2022!K69</f>
        <v>0</v>
      </c>
      <c r="M61" s="25">
        <f>Copa2022!L69</f>
        <v>0</v>
      </c>
      <c r="N61" s="495" t="str">
        <f>IF(OR(Copa2022!F69="",G61=""),"",
IF(AND(Copa2022!F69=G61,Copa2022!H69=I61),Regras!$J$29,
IF(Y61=Regras!F80,Regras!$J$30,
IF(Y61=Regras!E80,Regras!$J$31,0))))</f>
        <v/>
      </c>
      <c r="O61" s="109"/>
      <c r="Q61" s="322"/>
      <c r="R61" s="322"/>
      <c r="S61" s="322"/>
      <c r="T61" s="322"/>
      <c r="U61" s="322"/>
      <c r="V61" s="322"/>
      <c r="W61" s="322"/>
      <c r="X61" s="322"/>
      <c r="Y61" s="57" t="str">
        <f>IF(Copa2022!F69="","",IF(G61=I61,"empate",IF(G61&gt;I61,F61,J61)))</f>
        <v/>
      </c>
    </row>
    <row r="62" spans="1:25" s="60" customFormat="1" ht="34.5" customHeight="1" thickBot="1" x14ac:dyDescent="0.25">
      <c r="A62"/>
      <c r="B62" s="5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95" t="str">
        <f>IF(OR(Copa2022!F70="",G62=""),"",
IF(AND(Copa2022!F70=G62,Copa2022!H70=I62),Regras!$J$29,
IF(Y62=Regras!F81,Regras!$J$30,
IF(Y62=Regras!E81,Regras!$J$31,0))))</f>
        <v/>
      </c>
      <c r="O62" s="109"/>
      <c r="Q62" s="322"/>
      <c r="R62" s="322"/>
      <c r="S62" s="322"/>
      <c r="T62" s="322"/>
      <c r="U62" s="322"/>
      <c r="V62" s="322"/>
      <c r="W62" s="322"/>
      <c r="X62" s="322"/>
      <c r="Y62" s="57"/>
    </row>
    <row r="63" spans="1:25" s="61" customFormat="1" ht="20.100000000000001" customHeight="1" thickBot="1" x14ac:dyDescent="0.25">
      <c r="A63"/>
      <c r="B63" s="5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484" t="str">
        <f>IF(Copa2022!F71="","",Copa2022!F71)</f>
        <v/>
      </c>
      <c r="H63" s="485" t="s">
        <v>0</v>
      </c>
      <c r="I63" s="484" t="str">
        <f>IF(Copa2022!H71="","",Copa2022!H71)</f>
        <v/>
      </c>
      <c r="J63" s="486" t="str">
        <f>IF(Copa2022!I71="","",Copa2022!I71)</f>
        <v>venc.50</v>
      </c>
      <c r="K63" s="23" t="s">
        <v>189</v>
      </c>
      <c r="L63" s="24">
        <f>Copa2022!K71</f>
        <v>0</v>
      </c>
      <c r="M63" s="25">
        <f>Copa2022!L71</f>
        <v>0</v>
      </c>
      <c r="N63" s="495" t="str">
        <f>IF(OR(Copa2022!F71="",G63=""),"",
IF(AND(Copa2022!F71=G63,Copa2022!H71=I63),Regras!$J$29,
IF(Y63=Regras!F82,Regras!$J$30,
IF(Y63=Regras!E82,Regras!$J$31,0))))</f>
        <v/>
      </c>
      <c r="O63" s="109"/>
      <c r="Q63" s="322"/>
      <c r="R63" s="322"/>
      <c r="S63" s="322"/>
      <c r="T63" s="322"/>
      <c r="U63" s="322"/>
      <c r="V63" s="322"/>
      <c r="W63" s="322"/>
      <c r="X63" s="322"/>
      <c r="Y63" s="57" t="str">
        <f>IF(Copa2022!F71="","",IF(G63=I63,"empate",IF(G63&gt;I63,F63,J63)))</f>
        <v/>
      </c>
    </row>
    <row r="64" spans="1:25" s="60" customFormat="1" ht="33.950000000000003" customHeight="1" thickBot="1" x14ac:dyDescent="0.25">
      <c r="A64"/>
      <c r="B64" s="5"/>
      <c r="C64" s="183">
        <v>44904</v>
      </c>
      <c r="D64" s="184" t="s">
        <v>136</v>
      </c>
      <c r="E64" s="185" t="s">
        <v>146</v>
      </c>
      <c r="F64" s="487" t="str">
        <f>IF(Copa2022!E72="","",Copa2022!E72)</f>
        <v>venc.53</v>
      </c>
      <c r="G64" s="488" t="str">
        <f>IF(Copa2022!F72="","",Copa2022!F72)</f>
        <v/>
      </c>
      <c r="H64" s="489" t="s">
        <v>0</v>
      </c>
      <c r="I64" s="488" t="str">
        <f>IF(Copa2022!H72="","",Copa2022!H72)</f>
        <v/>
      </c>
      <c r="J64" s="490" t="str">
        <f>IF(Copa2022!I72="","",Copa2022!I72)</f>
        <v>venc.54</v>
      </c>
      <c r="K64" s="23" t="s">
        <v>189</v>
      </c>
      <c r="L64" s="24">
        <f>Copa2022!K72</f>
        <v>0</v>
      </c>
      <c r="M64" s="25">
        <f>Copa2022!L72</f>
        <v>0</v>
      </c>
      <c r="N64" s="495" t="str">
        <f>IF(OR(Copa2022!F72="",G64=""),"",
IF(AND(Copa2022!F72=G64,Copa2022!H72=I64),Regras!$J$29,
IF(Y64=Regras!F83,Regras!$J$30,
IF(Y64=Regras!E83,Regras!$J$31,0))))</f>
        <v/>
      </c>
      <c r="O64" s="109"/>
      <c r="Q64" s="322"/>
      <c r="R64" s="322"/>
      <c r="S64" s="322"/>
      <c r="T64" s="322"/>
      <c r="U64" s="322"/>
      <c r="V64" s="322"/>
      <c r="W64" s="322"/>
      <c r="X64" s="322"/>
      <c r="Y64" s="57" t="str">
        <f>IF(Copa2022!F72="","",IF(G64=I64,"empate",IF(G64&gt;I64,F64,J64)))</f>
        <v/>
      </c>
    </row>
    <row r="65" spans="1:25" s="61" customFormat="1" ht="33.950000000000003" customHeight="1" thickBot="1" x14ac:dyDescent="0.25">
      <c r="A65"/>
      <c r="B65" s="5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 t="str">
        <f>IF(Copa2022!F73="","",Copa2022!F73)</f>
        <v/>
      </c>
      <c r="H65" s="489" t="s">
        <v>0</v>
      </c>
      <c r="I65" s="488" t="str">
        <f>IF(Copa2022!H73="","",Copa2022!H73)</f>
        <v/>
      </c>
      <c r="J65" s="490" t="str">
        <f>IF(Copa2022!I73="","",Copa2022!I73)</f>
        <v>venc.52</v>
      </c>
      <c r="K65" s="23" t="s">
        <v>189</v>
      </c>
      <c r="L65" s="24">
        <f>Copa2022!K73</f>
        <v>0</v>
      </c>
      <c r="M65" s="25">
        <f>Copa2022!L73</f>
        <v>0</v>
      </c>
      <c r="N65" s="495" t="str">
        <f>IF(OR(Copa2022!F73="",G65=""),"",
IF(AND(Copa2022!F73=G65,Copa2022!H73=I65),Regras!$J$29,
IF(Y65=Regras!F84,Regras!$J$30,
IF(Y65=Regras!E84,Regras!$J$31,0))))</f>
        <v/>
      </c>
      <c r="O65" s="109"/>
      <c r="Q65" s="322"/>
      <c r="R65" s="322"/>
      <c r="S65" s="322"/>
      <c r="T65" s="322"/>
      <c r="U65" s="322"/>
      <c r="V65" s="322"/>
      <c r="W65" s="322"/>
      <c r="X65" s="322"/>
      <c r="Y65" s="57" t="str">
        <f>IF(Copa2022!F73="","",IF(G65=I65,"empate",IF(G65&gt;I65,F65,J65)))</f>
        <v/>
      </c>
    </row>
    <row r="66" spans="1:25" s="61" customFormat="1" ht="33.950000000000003" customHeight="1" thickBot="1" x14ac:dyDescent="0.25">
      <c r="A66"/>
      <c r="B66" s="5"/>
      <c r="C66" s="186">
        <v>44905</v>
      </c>
      <c r="D66" s="187" t="s">
        <v>136</v>
      </c>
      <c r="E66" s="188" t="s">
        <v>156</v>
      </c>
      <c r="F66" s="491" t="str">
        <f>IF(Copa2022!E74="","",Copa2022!E74)</f>
        <v>venc.55</v>
      </c>
      <c r="G66" s="492" t="str">
        <f>IF(Copa2022!F74="","",Copa2022!F74)</f>
        <v/>
      </c>
      <c r="H66" s="493" t="s">
        <v>0</v>
      </c>
      <c r="I66" s="492" t="str">
        <f>IF(Copa2022!H74="","",Copa2022!H74)</f>
        <v/>
      </c>
      <c r="J66" s="494" t="str">
        <f>IF(Copa2022!I74="","",Copa2022!I74)</f>
        <v>venc.56</v>
      </c>
      <c r="K66" s="23" t="s">
        <v>189</v>
      </c>
      <c r="L66" s="24">
        <f>Copa2022!K74</f>
        <v>0</v>
      </c>
      <c r="M66" s="25">
        <f>Copa2022!L74</f>
        <v>0</v>
      </c>
      <c r="N66" s="495" t="str">
        <f>IF(OR(Copa2022!F74="",G66=""),"",
IF(AND(Copa2022!F74=G66,Copa2022!H74=I66),Regras!$J$29,
IF(Y66=Regras!F85,Regras!$J$30,
IF(Y66=Regras!#REF!,Regras!$J$31,0))))</f>
        <v/>
      </c>
      <c r="O66" s="109"/>
      <c r="Q66" s="322"/>
      <c r="R66" s="322"/>
      <c r="S66" s="322"/>
      <c r="T66" s="322"/>
      <c r="U66" s="322"/>
      <c r="V66" s="322"/>
      <c r="W66" s="322"/>
      <c r="X66" s="322"/>
      <c r="Y66" s="57" t="str">
        <f>IF(Copa2022!F74="","",IF(G66=I66,"empate",IF(G66&gt;I66,F66,J66)))</f>
        <v/>
      </c>
    </row>
    <row r="67" spans="1:25" s="60" customFormat="1" ht="33.950000000000003" customHeight="1" thickBot="1" x14ac:dyDescent="0.25">
      <c r="A67"/>
      <c r="B67" s="5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495"/>
      <c r="O67" s="109"/>
      <c r="Q67" s="322"/>
      <c r="R67" s="322"/>
      <c r="S67" s="322"/>
      <c r="T67" s="322"/>
      <c r="U67" s="322"/>
      <c r="V67" s="322"/>
      <c r="W67" s="322"/>
      <c r="X67" s="322"/>
      <c r="Y67" s="57"/>
    </row>
    <row r="68" spans="1:25" s="60" customFormat="1" ht="20.100000000000001" customHeight="1" thickBot="1" x14ac:dyDescent="0.25">
      <c r="A68"/>
      <c r="B68" s="5"/>
      <c r="C68" s="180">
        <v>44908</v>
      </c>
      <c r="D68" s="181" t="s">
        <v>136</v>
      </c>
      <c r="E68" s="182" t="s">
        <v>146</v>
      </c>
      <c r="F68" s="483" t="str">
        <f>IF(Copa2022!E76="","",Copa2022!E76)</f>
        <v>venc.57</v>
      </c>
      <c r="G68" s="484" t="str">
        <f>IF(Copa2022!F76="","",Copa2022!F76)</f>
        <v/>
      </c>
      <c r="H68" s="485" t="s">
        <v>0</v>
      </c>
      <c r="I68" s="484" t="str">
        <f>IF(Copa2022!H76="","",Copa2022!H76)</f>
        <v/>
      </c>
      <c r="J68" s="486" t="str">
        <f>IF(Copa2022!I76="","",Copa2022!I76)</f>
        <v>venc.58</v>
      </c>
      <c r="K68" s="23" t="s">
        <v>189</v>
      </c>
      <c r="L68" s="24">
        <f>Copa2022!K76</f>
        <v>0</v>
      </c>
      <c r="M68" s="25">
        <f>Copa2022!L76</f>
        <v>0</v>
      </c>
      <c r="N68" s="495" t="str">
        <f>IF(OR(Copa2022!F76="",G68=""),"",
IF(AND(Copa2022!F76=G68,Copa2022!H76=I68),Regras!$J$29,
IF(Y68=Regras!F87,Regras!$J$30,
IF(Y68=Regras!E85,Regras!$J$31,0))))</f>
        <v/>
      </c>
      <c r="O68" s="109"/>
      <c r="Q68" s="322"/>
      <c r="R68" s="322"/>
      <c r="S68" s="322"/>
      <c r="T68" s="322"/>
      <c r="U68" s="322"/>
      <c r="V68" s="322"/>
      <c r="W68" s="322"/>
      <c r="X68" s="322"/>
      <c r="Y68" s="57" t="str">
        <f>IF(Copa2022!F76="","",IF(G68=I68,"empate",IF(G68&gt;I68,F68,J68)))</f>
        <v/>
      </c>
    </row>
    <row r="69" spans="1:25" s="60" customFormat="1" ht="34.5" customHeight="1" thickBot="1" x14ac:dyDescent="0.25">
      <c r="A69"/>
      <c r="B69" s="5"/>
      <c r="C69" s="186">
        <v>44909</v>
      </c>
      <c r="D69" s="187" t="s">
        <v>136</v>
      </c>
      <c r="E69" s="188" t="s">
        <v>156</v>
      </c>
      <c r="F69" s="491" t="str">
        <f>IF(Copa2022!E77="","",Copa2022!E77)</f>
        <v>venc.59</v>
      </c>
      <c r="G69" s="492" t="str">
        <f>IF(Copa2022!F77="","",Copa2022!F77)</f>
        <v/>
      </c>
      <c r="H69" s="493" t="s">
        <v>0</v>
      </c>
      <c r="I69" s="492" t="str">
        <f>IF(Copa2022!H77="","",Copa2022!H77)</f>
        <v/>
      </c>
      <c r="J69" s="494" t="str">
        <f>IF(Copa2022!I77="","",Copa2022!I77)</f>
        <v>venc.60</v>
      </c>
      <c r="K69" s="23" t="s">
        <v>189</v>
      </c>
      <c r="L69" s="24">
        <f>Copa2022!K77</f>
        <v>0</v>
      </c>
      <c r="M69" s="25">
        <f>Copa2022!L77</f>
        <v>0</v>
      </c>
      <c r="N69" s="495" t="str">
        <f>IF(OR(Copa2022!F77="",G69=""),"",
IF(AND(Copa2022!F77=G69,Copa2022!H77=I69),Regras!$J$29,
IF(Y69=Regras!F88,Regras!$J$30,
IF(Y69=Regras!E87,Regras!$J$31,0))))</f>
        <v/>
      </c>
      <c r="O69" s="109"/>
      <c r="Q69" s="322"/>
      <c r="R69" s="322"/>
      <c r="S69" s="322"/>
      <c r="T69" s="322"/>
      <c r="U69" s="322"/>
      <c r="V69" s="322"/>
      <c r="W69" s="322"/>
      <c r="X69" s="322"/>
      <c r="Y69" s="57" t="str">
        <f>IF(Copa2022!F77="","",IF(G69=I69,"empate",IF(G69&gt;I69,F69,J69)))</f>
        <v/>
      </c>
    </row>
    <row r="70" spans="1:25" s="60" customFormat="1" ht="34.5" customHeight="1" thickBot="1" x14ac:dyDescent="0.25">
      <c r="A70"/>
      <c r="B70" s="5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495"/>
      <c r="O70" s="109"/>
      <c r="Q70" s="322"/>
      <c r="R70" s="322"/>
      <c r="S70" s="322"/>
      <c r="T70" s="322"/>
      <c r="U70" s="322"/>
      <c r="V70" s="322"/>
      <c r="W70" s="322"/>
      <c r="X70" s="322"/>
      <c r="Y70" s="57"/>
    </row>
    <row r="71" spans="1:25" s="60" customFormat="1" ht="20.100000000000001" customHeight="1" thickBot="1" x14ac:dyDescent="0.25">
      <c r="A71"/>
      <c r="B71" s="5"/>
      <c r="C71" s="189">
        <v>44912</v>
      </c>
      <c r="D71" s="190" t="s">
        <v>132</v>
      </c>
      <c r="E71" s="191" t="s">
        <v>143</v>
      </c>
      <c r="F71" s="483" t="str">
        <f>IF(Copa2022!E79="","",Copa2022!E79)</f>
        <v>perd.61</v>
      </c>
      <c r="G71" s="484" t="str">
        <f>IF(Copa2022!F79="","",Copa2022!F79)</f>
        <v/>
      </c>
      <c r="H71" s="485" t="s">
        <v>0</v>
      </c>
      <c r="I71" s="484" t="str">
        <f>IF(Copa2022!H79="","",Copa2022!H79)</f>
        <v/>
      </c>
      <c r="J71" s="486" t="str">
        <f>IF(Copa2022!I79="","",Copa2022!I79)</f>
        <v>perd.62</v>
      </c>
      <c r="K71" s="23" t="s">
        <v>189</v>
      </c>
      <c r="L71" s="24">
        <f>Copa2022!K79</f>
        <v>0</v>
      </c>
      <c r="M71" s="25">
        <f>Copa2022!L79</f>
        <v>0</v>
      </c>
      <c r="N71" s="495" t="str">
        <f>IF(OR(Copa2022!F79="",G71=""),"",
IF(AND(Copa2022!F79=G71,Copa2022!H79=I71),Regras!$J$29,
IF(Y71=Regras!F90,Regras!$J$30,
IF(Y71=Regras!E90,Regras!$J$31,0))))</f>
        <v/>
      </c>
      <c r="O71" s="109"/>
      <c r="Q71" s="322"/>
      <c r="R71" s="322"/>
      <c r="S71" s="322"/>
      <c r="T71" s="322"/>
      <c r="U71" s="322"/>
      <c r="V71" s="322"/>
      <c r="W71" s="322"/>
      <c r="X71" s="322"/>
      <c r="Y71" s="57" t="str">
        <f>IF(Copa2022!F79="","",IF(G71=I71,"empate",IF(G71&gt;I71,F71,J71)))</f>
        <v/>
      </c>
    </row>
    <row r="72" spans="1:25" s="60" customFormat="1" ht="34.5" customHeight="1" thickBot="1" x14ac:dyDescent="0.25">
      <c r="A72" s="9"/>
      <c r="B72" s="7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495"/>
      <c r="O72" s="110"/>
      <c r="Q72" s="322"/>
      <c r="R72" s="322"/>
      <c r="S72" s="322"/>
      <c r="T72" s="322"/>
      <c r="U72" s="322"/>
      <c r="V72" s="322"/>
      <c r="W72" s="322"/>
      <c r="X72" s="322"/>
      <c r="Y72" s="57"/>
    </row>
    <row r="73" spans="1:25" s="60" customFormat="1" ht="20.100000000000001" customHeight="1" thickBot="1" x14ac:dyDescent="0.25">
      <c r="A73"/>
      <c r="B73" s="5"/>
      <c r="C73" s="189">
        <v>44913</v>
      </c>
      <c r="D73" s="190" t="s">
        <v>132</v>
      </c>
      <c r="E73" s="191" t="s">
        <v>146</v>
      </c>
      <c r="F73" s="483" t="str">
        <f>IF(Copa2022!E81="","",Copa2022!E81)</f>
        <v>venc.61</v>
      </c>
      <c r="G73" s="484" t="str">
        <f>IF(Copa2022!F81="","",Copa2022!F81)</f>
        <v/>
      </c>
      <c r="H73" s="485" t="s">
        <v>0</v>
      </c>
      <c r="I73" s="484" t="str">
        <f>IF(Copa2022!H81="","",Copa2022!H81)</f>
        <v/>
      </c>
      <c r="J73" s="486" t="str">
        <f>IF(Copa2022!I81="","",Copa2022!I81)</f>
        <v>venc.62</v>
      </c>
      <c r="K73" s="23" t="s">
        <v>189</v>
      </c>
      <c r="L73" s="24">
        <f>Copa2022!K81</f>
        <v>0</v>
      </c>
      <c r="M73" s="25">
        <f>Copa2022!L81</f>
        <v>0</v>
      </c>
      <c r="N73" s="495" t="str">
        <f>IF(OR(Copa2022!F81="",G73=""),"",
IF(AND(Copa2022!F81=G73,Copa2022!H81=I73),Regras!$J$29,
IF(Y73=Regras!F92,Regras!$J$30,
IF(Y73=Regras!E92,Regras!$J$31,0))))</f>
        <v/>
      </c>
      <c r="O73" s="109"/>
      <c r="Q73" s="322"/>
      <c r="R73" s="322"/>
      <c r="S73" s="322"/>
      <c r="T73" s="322"/>
      <c r="U73" s="322"/>
      <c r="V73" s="322"/>
      <c r="W73" s="322"/>
      <c r="X73" s="322"/>
      <c r="Y73" s="57" t="str">
        <f>IF(Copa2022!F81="","",IF(G73=I73,"empate",IF(G73&gt;I73,F73,J73)))</f>
        <v/>
      </c>
    </row>
    <row r="74" spans="1:25" s="62" customFormat="1" ht="34.5" customHeight="1" x14ac:dyDescent="0.2">
      <c r="A74"/>
      <c r="B74" s="5"/>
      <c r="C74" s="10"/>
      <c r="D74" s="10"/>
      <c r="E74" s="10"/>
      <c r="F74" s="11"/>
      <c r="G74" s="42"/>
      <c r="H74"/>
      <c r="I74" s="42"/>
      <c r="J74" s="12"/>
      <c r="K74" s="51"/>
      <c r="L74"/>
      <c r="M74"/>
      <c r="N74" s="1"/>
      <c r="O74" s="109"/>
      <c r="P74" s="113"/>
      <c r="Q74" s="322"/>
      <c r="R74" s="322"/>
      <c r="S74" s="322"/>
      <c r="T74" s="322"/>
      <c r="U74" s="322"/>
      <c r="V74" s="322"/>
      <c r="W74" s="322"/>
      <c r="X74" s="322"/>
    </row>
    <row r="75" spans="1:25" s="58" customFormat="1" ht="15.75" x14ac:dyDescent="0.2">
      <c r="A75"/>
      <c r="B75" s="5"/>
      <c r="C75" s="10"/>
      <c r="D75" s="10"/>
      <c r="E75" s="10"/>
      <c r="F75" s="11"/>
      <c r="G75" s="42"/>
      <c r="H75"/>
      <c r="I75" s="42"/>
      <c r="J75" s="12"/>
      <c r="K75" s="51"/>
      <c r="L75"/>
      <c r="M75"/>
      <c r="N75" s="1"/>
      <c r="O75" s="109"/>
      <c r="P75" s="113"/>
      <c r="Q75" s="322"/>
      <c r="R75" s="322"/>
      <c r="S75" s="322"/>
      <c r="T75" s="322"/>
      <c r="U75" s="322"/>
      <c r="V75" s="322"/>
      <c r="W75" s="322"/>
      <c r="X75" s="322"/>
      <c r="Y75" s="1"/>
    </row>
    <row r="76" spans="1:25" ht="15.75" x14ac:dyDescent="0.2"/>
    <row r="77" spans="1:25" ht="36.75" customHeight="1" x14ac:dyDescent="0.2"/>
    <row r="78" spans="1:25" ht="15" customHeight="1" x14ac:dyDescent="0.2"/>
    <row r="79" spans="1:25" ht="15" customHeight="1" x14ac:dyDescent="0.2"/>
    <row r="80" spans="1:25" ht="15" customHeight="1" x14ac:dyDescent="0.2"/>
    <row r="81" ht="15" hidden="1" customHeight="1" x14ac:dyDescent="0.2"/>
    <row r="82" ht="15.75" x14ac:dyDescent="0.2"/>
    <row r="83" ht="15.75" hidden="1" customHeight="1" x14ac:dyDescent="0.2"/>
    <row r="84" ht="15.75" hidden="1" customHeight="1" x14ac:dyDescent="0.2"/>
    <row r="85" ht="15.75" hidden="1" customHeight="1" x14ac:dyDescent="0.2"/>
    <row r="86" ht="15.75" hidden="1" customHeight="1" x14ac:dyDescent="0.2"/>
    <row r="87" ht="15.75" hidden="1" customHeight="1" x14ac:dyDescent="0.2"/>
    <row r="88" ht="15.75" hidden="1" customHeight="1" x14ac:dyDescent="0.2"/>
    <row r="89" ht="15.75" hidden="1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hidden="1" customHeight="1" x14ac:dyDescent="0.2"/>
    <row r="99" ht="15.75" hidden="1" customHeight="1" x14ac:dyDescent="0.2"/>
    <row r="100" ht="15.75" hidden="1" customHeight="1" x14ac:dyDescent="0.2"/>
    <row r="101" ht="15.75" hidden="1" customHeight="1" x14ac:dyDescent="0.2"/>
    <row r="102" ht="15.75" hidden="1" customHeight="1" x14ac:dyDescent="0.2"/>
    <row r="103" ht="15.75" hidden="1" customHeight="1" x14ac:dyDescent="0.2"/>
    <row r="104" ht="15.75" hidden="1" customHeight="1" x14ac:dyDescent="0.2"/>
    <row r="105" ht="15.75" hidden="1" customHeight="1" x14ac:dyDescent="0.2"/>
    <row r="106" ht="15.75" hidden="1" customHeight="1" x14ac:dyDescent="0.2"/>
    <row r="107" ht="15.75" hidden="1" customHeight="1" x14ac:dyDescent="0.2"/>
    <row r="108" ht="15.75" hidden="1" customHeight="1" x14ac:dyDescent="0.2"/>
    <row r="109" ht="15.75" hidden="1" customHeight="1" x14ac:dyDescent="0.2"/>
    <row r="110" ht="15.75" hidden="1" customHeight="1" x14ac:dyDescent="0.2"/>
    <row r="111" ht="15.75" hidden="1" customHeight="1" x14ac:dyDescent="0.2"/>
    <row r="112" ht="15.75" hidden="1" customHeight="1" x14ac:dyDescent="0.2"/>
    <row r="113" spans="1:25" ht="15.75" hidden="1" customHeight="1" x14ac:dyDescent="0.2"/>
    <row r="114" spans="1:25" ht="15.75" hidden="1" customHeight="1" x14ac:dyDescent="0.2"/>
    <row r="115" spans="1:25" ht="15.75" hidden="1" customHeight="1" x14ac:dyDescent="0.2"/>
    <row r="116" spans="1:25" ht="15.75" hidden="1" customHeight="1" x14ac:dyDescent="0.2"/>
    <row r="117" spans="1:25" ht="15.75" hidden="1" customHeight="1" x14ac:dyDescent="0.2"/>
    <row r="118" spans="1:25" s="9" customFormat="1" ht="15.75" hidden="1" customHeight="1" x14ac:dyDescent="0.2">
      <c r="A118"/>
      <c r="B118" s="5"/>
      <c r="C118" s="10"/>
      <c r="D118" s="10"/>
      <c r="E118" s="10"/>
      <c r="F118" s="11"/>
      <c r="G118" s="42"/>
      <c r="H118"/>
      <c r="I118" s="42"/>
      <c r="J118" s="12"/>
      <c r="K118" s="51"/>
      <c r="L118"/>
      <c r="M118"/>
      <c r="N118" s="1"/>
      <c r="O118" s="109"/>
      <c r="P118" s="113"/>
      <c r="Q118" s="322"/>
      <c r="R118" s="322"/>
      <c r="S118" s="322"/>
      <c r="T118" s="322"/>
      <c r="U118" s="322"/>
      <c r="V118" s="322"/>
      <c r="W118" s="322"/>
      <c r="X118" s="322"/>
      <c r="Y118" s="1"/>
    </row>
    <row r="119" spans="1:25" ht="15.75" hidden="1" customHeight="1" x14ac:dyDescent="0.2"/>
    <row r="120" spans="1:25" ht="15.75" hidden="1" customHeight="1" x14ac:dyDescent="0.2"/>
    <row r="121" spans="1:25" ht="15.75" hidden="1" customHeight="1" x14ac:dyDescent="0.2"/>
    <row r="122" spans="1:25" ht="15.75" hidden="1" customHeight="1" x14ac:dyDescent="0.2"/>
    <row r="123" spans="1:25" ht="15.75" hidden="1" customHeight="1" x14ac:dyDescent="0.2"/>
    <row r="124" spans="1:25" ht="15.75" hidden="1" customHeight="1" x14ac:dyDescent="0.2"/>
    <row r="125" spans="1:25" ht="15.75" hidden="1" customHeight="1" x14ac:dyDescent="0.2"/>
    <row r="126" spans="1:25" ht="15.75" hidden="1" customHeight="1" x14ac:dyDescent="0.2"/>
  </sheetData>
  <mergeCells count="28">
    <mergeCell ref="L72:M72"/>
    <mergeCell ref="B39:B44"/>
    <mergeCell ref="O39:P39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986" priority="42">
      <formula>$R$8=12</formula>
    </cfRule>
  </conditionalFormatting>
  <conditionalFormatting sqref="O10:X11">
    <cfRule type="expression" dxfId="985" priority="41">
      <formula>$R$14=12</formula>
    </cfRule>
  </conditionalFormatting>
  <conditionalFormatting sqref="O16:X17">
    <cfRule type="expression" dxfId="984" priority="40">
      <formula>$R$20=12</formula>
    </cfRule>
  </conditionalFormatting>
  <conditionalFormatting sqref="O22:X23">
    <cfRule type="expression" dxfId="983" priority="39">
      <formula>$R$26=12</formula>
    </cfRule>
  </conditionalFormatting>
  <conditionalFormatting sqref="O28:X29">
    <cfRule type="expression" dxfId="982" priority="38">
      <formula>$R$32=12</formula>
    </cfRule>
  </conditionalFormatting>
  <conditionalFormatting sqref="O34:X35">
    <cfRule type="expression" dxfId="981" priority="37">
      <formula>$R$38=12</formula>
    </cfRule>
  </conditionalFormatting>
  <conditionalFormatting sqref="O40:X41">
    <cfRule type="expression" dxfId="980" priority="36">
      <formula>$R$44=12</formula>
    </cfRule>
  </conditionalFormatting>
  <conditionalFormatting sqref="O46:X47">
    <cfRule type="expression" dxfId="979" priority="35">
      <formula>$R$50=12</formula>
    </cfRule>
  </conditionalFormatting>
  <conditionalFormatting sqref="B45 B9 B15 B21 B27 B33 B3 F3:F51 J3:J51">
    <cfRule type="cellIs" dxfId="978" priority="43" stopIfTrue="1" operator="equal">
      <formula>#REF!</formula>
    </cfRule>
  </conditionalFormatting>
  <conditionalFormatting sqref="B39">
    <cfRule type="cellIs" dxfId="977" priority="34" stopIfTrue="1" operator="equal">
      <formula>#REF!</formula>
    </cfRule>
  </conditionalFormatting>
  <conditionalFormatting sqref="M54:M61">
    <cfRule type="expression" dxfId="976" priority="32">
      <formula>$G$22="penaltis"</formula>
    </cfRule>
  </conditionalFormatting>
  <conditionalFormatting sqref="L54:M61">
    <cfRule type="expression" dxfId="975" priority="24" stopIfTrue="1">
      <formula>$J$63="penaltis"</formula>
    </cfRule>
  </conditionalFormatting>
  <conditionalFormatting sqref="F54:J73">
    <cfRule type="cellIs" dxfId="974" priority="33" stopIfTrue="1" operator="equal">
      <formula>$Y$7</formula>
    </cfRule>
  </conditionalFormatting>
  <conditionalFormatting sqref="M63:M66">
    <cfRule type="expression" dxfId="973" priority="8">
      <formula>$G$22="penaltis"</formula>
    </cfRule>
  </conditionalFormatting>
  <conditionalFormatting sqref="L63:M66">
    <cfRule type="expression" dxfId="972" priority="7" stopIfTrue="1">
      <formula>$J$63="penaltis"</formula>
    </cfRule>
  </conditionalFormatting>
  <conditionalFormatting sqref="M68:M69">
    <cfRule type="expression" dxfId="971" priority="6">
      <formula>$G$22="penaltis"</formula>
    </cfRule>
  </conditionalFormatting>
  <conditionalFormatting sqref="L68:M69">
    <cfRule type="expression" dxfId="970" priority="5" stopIfTrue="1">
      <formula>$J$63="penaltis"</formula>
    </cfRule>
  </conditionalFormatting>
  <conditionalFormatting sqref="M71">
    <cfRule type="expression" dxfId="969" priority="4">
      <formula>$G$22="penaltis"</formula>
    </cfRule>
  </conditionalFormatting>
  <conditionalFormatting sqref="L71:M71">
    <cfRule type="expression" dxfId="968" priority="3" stopIfTrue="1">
      <formula>$J$63="penaltis"</formula>
    </cfRule>
  </conditionalFormatting>
  <conditionalFormatting sqref="M73">
    <cfRule type="expression" dxfId="967" priority="2">
      <formula>$G$22="penaltis"</formula>
    </cfRule>
  </conditionalFormatting>
  <conditionalFormatting sqref="L73:M73">
    <cfRule type="expression" dxfId="966" priority="1" stopIfTrue="1">
      <formula>$J$63="penaltis"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300-000000000000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W117"/>
  <sheetViews>
    <sheetView topLeftCell="C10" workbookViewId="0">
      <selection activeCell="H57" sqref="H57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5.51171875" style="1" bestFit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M3" s="495"/>
      <c r="N3" s="495">
        <f>IF(OR(Copa2022!F11="",G3=""),"",
IF(AND(Copa2022!F11=George!G3,Copa2022!H11=George!I3),Regras!$J$25,IF(Y3=Regras!F25,Regras!$J$26,0)))</f>
        <v>0</v>
      </c>
      <c r="O3" s="533" t="s">
        <v>198</v>
      </c>
      <c r="P3" s="557"/>
      <c r="Q3" s="324">
        <f>IF(Copa2022!F16="","",IF(Copa2022!O12=George!P4,Regras!$J$27,0))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M4" s="495"/>
      <c r="N4" s="495">
        <f>IF(OR(Copa2022!F12="",G4=""),"",
IF(AND(Copa2022!F12=George!G4,Copa2022!H12=George!I4),Regras!$J$25,IF(Y4=Regras!F26,Regras!$J$26,0)))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M5" s="495"/>
      <c r="N5" s="495">
        <f>IF(OR(Copa2022!F13="",G5=""),"",
IF(AND(Copa2022!F13=George!G5,Copa2022!H13=George!I5),Regras!$J$25,IF(Y5=Regras!F27,Regras!$J$26,0)))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M6" s="495"/>
      <c r="N6" s="495">
        <f>IF(OR(Copa2022!F14="",G6=""),"",
IF(AND(Copa2022!F14=George!G6,Copa2022!H14=George!I6),Regras!$J$25,IF(Y6=Regras!F28,Regras!$J$26,0)))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M7" s="495"/>
      <c r="N7" s="495">
        <f>IF(OR(Copa2022!F15="",G7=""),"",
IF(AND(Copa2022!F15=George!G7,Copa2022!H15=George!I7),Regras!$J$25,IF(Y7=Regras!F29,Regras!$J$26,0)))</f>
        <v>5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M8" s="495"/>
      <c r="N8" s="495">
        <f>IF(OR(Copa2022!F16="",G8=""),"",
IF(AND(Copa2022!F16=George!G8,Copa2022!H16=George!I8),Regras!$J$25,IF(Y8=Regras!F30,Regras!$J$26,0)))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IF(AND(Copa2022!F17=George!G9,Copa2022!H17=George!I9),Regras!$J$25,IF(Y9=Regras!F31,Regras!$J$26,0)))</f>
        <v>0</v>
      </c>
      <c r="O9" s="533" t="s">
        <v>48</v>
      </c>
      <c r="P9" s="534"/>
      <c r="Q9" s="324">
        <f>IF(Copa2022!F22="","",IF(Copa2022!O18=George!P10,Regras!$J$27,0))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M10" s="495"/>
      <c r="N10" s="495">
        <f>IF(OR(Copa2022!F18="",G10=""),"",
IF(AND(Copa2022!F18=George!G10,Copa2022!H18=George!I10),Regras!$J$25,IF(Y10=Regras!F32,Regras!$J$26,0)))</f>
        <v>0</v>
      </c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M11" s="495"/>
      <c r="N11" s="495">
        <f>IF(OR(Copa2022!F19="",G11=""),"",
IF(AND(Copa2022!F19=George!G11,Copa2022!H19=George!I11),Regras!$J$25,IF(Y11=Regras!F33,Regras!$J$26,0)))</f>
        <v>0</v>
      </c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M12" s="495"/>
      <c r="N12" s="495">
        <f>IF(OR(Copa2022!F20="",G12=""),"",
IF(AND(Copa2022!F20=George!G12,Copa2022!H20=George!I12),Regras!$J$25,IF(Y12=Regras!F34,Regras!$J$26,0)))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M13" s="495"/>
      <c r="N13" s="495">
        <f>IF(OR(Copa2022!F21="",G13=""),"",
IF(AND(Copa2022!F21=George!G13,Copa2022!H21=George!I13),Regras!$J$25,IF(Y13=Regras!F35,Regras!$J$26,0)))</f>
        <v>0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M14" s="495"/>
      <c r="N14" s="495">
        <f>IF(OR(Copa2022!F22="",G14=""),"",
IF(AND(Copa2022!F22=George!G14,Copa2022!H22=George!I14),Regras!$J$25,IF(Y14=Regras!F36,Regras!$J$26,0)))</f>
        <v>5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M15" s="495"/>
      <c r="N15" s="495">
        <f>IF(OR(Copa2022!F23="",G15=""),"",
IF(AND(Copa2022!F23=George!G15,Copa2022!H23=George!I15),Regras!$J$25,IF(Y15=Regras!F37,Regras!$J$26,0)))</f>
        <v>0</v>
      </c>
      <c r="O15" s="533" t="s">
        <v>50</v>
      </c>
      <c r="P15" s="534"/>
      <c r="Q15" s="324">
        <f>IF(Copa2022!F28="","",IF(Copa2022!O24=George!P16,Regras!$J$27,0))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M16" s="495"/>
      <c r="N16" s="495">
        <f>IF(OR(Copa2022!F24="",G16=""),"",
IF(AND(Copa2022!F24=George!G16,Copa2022!H24=George!I16),Regras!$J$25,IF(Y16=Regras!F38,Regras!$J$26,0)))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M17" s="495"/>
      <c r="N17" s="495">
        <f>IF(OR(Copa2022!F25="",G17=""),"",
IF(AND(Copa2022!F25=George!G17,Copa2022!H25=George!I17),Regras!$J$25,IF(Y17=Regras!F39,Regras!$J$26,0)))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M18" s="495"/>
      <c r="N18" s="495">
        <f>IF(OR(Copa2022!F26="",G18=""),"",
IF(AND(Copa2022!F26=George!G18,Copa2022!H26=George!I18),Regras!$J$25,IF(Y18=Regras!F40,Regras!$J$26,0)))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M19" s="495"/>
      <c r="N19" s="495">
        <f>IF(OR(Copa2022!F27="",G19=""),"",
IF(AND(Copa2022!F27=George!G19,Copa2022!H27=George!I19),Regras!$J$25,IF(Y19=Regras!F41,Regras!$J$26,0)))</f>
        <v>10</v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M20" s="495"/>
      <c r="N20" s="495">
        <f>IF(OR(Copa2022!F28="",G20=""),"",
IF(AND(Copa2022!F28=George!G20,Copa2022!H28=George!I20),Regras!$J$25,IF(Y20=Regras!F42,Regras!$J$26,0)))</f>
        <v>5</v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M21" s="495"/>
      <c r="N21" s="495">
        <f>IF(OR(Copa2022!F29="",G21=""),"",
IF(AND(Copa2022!F29=George!G21,Copa2022!H29=George!I21),Regras!$J$25,IF(Y21=Regras!F43,Regras!$J$26,0)))</f>
        <v>0</v>
      </c>
      <c r="O21" s="533" t="s">
        <v>51</v>
      </c>
      <c r="P21" s="534"/>
      <c r="Q21" s="324">
        <f>IF(Copa2022!F34="","",IF(Copa2022!O30=George!P22,Regras!$J$27,0))</f>
        <v>0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M22" s="495"/>
      <c r="N22" s="495">
        <f>IF(OR(Copa2022!F30="",G22=""),"",
IF(AND(Copa2022!F30=George!G22,Copa2022!H30=George!I22),Regras!$J$25,IF(Y22=Regras!F44,Regras!$J$26,0)))</f>
        <v>5</v>
      </c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M23" s="495"/>
      <c r="N23" s="495">
        <f>IF(OR(Copa2022!F31="",G23=""),"",
IF(AND(Copa2022!F31=George!G23,Copa2022!H31=George!I23),Regras!$J$25,IF(Y23=Regras!F45,Regras!$J$26,0)))</f>
        <v>0</v>
      </c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M24" s="495"/>
      <c r="N24" s="495">
        <f>IF(OR(Copa2022!F32="",G24=""),"",
IF(AND(Copa2022!F32=George!G24,Copa2022!H32=George!I24),Regras!$J$25,IF(Y24=Regras!F46,Regras!$J$26,0)))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M25" s="495"/>
      <c r="N25" s="495">
        <f>IF(OR(Copa2022!F33="",G25=""),"",
IF(AND(Copa2022!F33=George!G25,Copa2022!H33=George!I25),Regras!$J$25,IF(Y25=Regras!F47,Regras!$J$26,0)))</f>
        <v>0</v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empate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>
        <f>IF(OR(Copa2022!F34="",G26=""),"",
IF(AND(Copa2022!F34=George!G26,Copa2022!H34=George!I26),Regras!$J$25,IF(Y26=Regras!F48,Regras!$J$26,0)))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M27" s="495"/>
      <c r="N27" s="495">
        <f>IF(OR(Copa2022!F35="",G27=""),"",
IF(AND(Copa2022!F35=George!G27,Copa2022!H35=George!I27),Regras!$J$25,IF(Y27=Regras!F49,Regras!$J$26,0)))</f>
        <v>0</v>
      </c>
      <c r="O27" s="533" t="s">
        <v>53</v>
      </c>
      <c r="P27" s="534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M28" s="495"/>
      <c r="N28" s="495">
        <f>IF(OR(Copa2022!F36="",G28=""),"",
IF(AND(Copa2022!F36=George!G28,Copa2022!H36=George!I28),Regras!$J$25,IF(Y28=Regras!F50,Regras!$J$26,0)))</f>
        <v>5</v>
      </c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M29" s="495"/>
      <c r="N29" s="495">
        <f>IF(OR(Copa2022!F37="",G29=""),"",
IF(AND(Copa2022!F37=George!G29,Copa2022!H37=George!I29),Regras!$J$25,IF(Y29=Regras!F51,Regras!$J$26,0)))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M30" s="495"/>
      <c r="N30" s="495">
        <f>IF(OR(Copa2022!F38="",G30=""),"",
IF(AND(Copa2022!F38=George!G30,Copa2022!H38=George!I30),Regras!$J$25,IF(Y30=Regras!F52,Regras!$J$26,0)))</f>
        <v>10</v>
      </c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M31" s="495"/>
      <c r="N31" s="495" t="str">
        <f>IF(OR(Copa2022!F39="",G31=""),"",
IF(AND(Copa2022!F39=George!G31,Copa2022!H39=George!I31),Regras!$J$25,IF(Y31=Regras!F53,Regras!$J$26,0)))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M32" s="495"/>
      <c r="N32" s="495" t="str">
        <f>IF(OR(Copa2022!F40="",G32=""),"",
IF(AND(Copa2022!F40=George!G32,Copa2022!H40=George!I32),Regras!$J$25,IF(Y32=Regras!F54,Regras!$J$26,0)))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IF(AND(Copa2022!F41=George!G33,Copa2022!H41=George!I33),Regras!$J$25,IF(Y33=Regras!F55,Regras!$J$26,0)))</f>
        <v>0</v>
      </c>
      <c r="O33" s="533" t="s">
        <v>56</v>
      </c>
      <c r="P33" s="534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M34" s="495"/>
      <c r="N34" s="495">
        <f>IF(OR(Copa2022!F42="",G34=""),"",
IF(AND(Copa2022!F42=George!G34,Copa2022!H42=George!I34),Regras!$J$25,IF(Y34=Regras!F56,Regras!$J$26,0)))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M35" s="495"/>
      <c r="N35" s="495">
        <f>IF(OR(Copa2022!F43="",G35=""),"",
IF(AND(Copa2022!F43=George!G35,Copa2022!H43=George!I35),Regras!$J$25,IF(Y35=Regras!F57,Regras!$J$26,0)))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M36" s="495"/>
      <c r="N36" s="495">
        <f>IF(OR(Copa2022!F44="",G36=""),"",
IF(AND(Copa2022!F44=George!G36,Copa2022!H44=George!I36),Regras!$J$25,IF(Y36=Regras!F58,Regras!$J$26,0)))</f>
        <v>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M37" s="495"/>
      <c r="N37" s="495" t="str">
        <f>IF(OR(Copa2022!F45="",G37=""),"",
IF(AND(Copa2022!F45=George!G37,Copa2022!H45=George!I37),Regras!$J$25,IF(Y37=Regras!F59,Regras!$J$26,0)))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IF(AND(Copa2022!F46=George!G38,Copa2022!H46=George!I38),Regras!$J$25,IF(Y38=Regras!F60,Regras!$J$26,0)))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M39" s="495"/>
      <c r="N39" s="495">
        <f>IF(OR(Copa2022!F47="",G39=""),"",
IF(AND(Copa2022!F47=George!G39,Copa2022!H47=George!I39),Regras!$J$25,IF(Y39=Regras!F61,Regras!$J$26,0)))</f>
        <v>5</v>
      </c>
      <c r="O39" s="533" t="s">
        <v>58</v>
      </c>
      <c r="P39" s="534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M40" s="495"/>
      <c r="N40" s="495">
        <f>IF(OR(Copa2022!F48="",G40=""),"",
IF(AND(Copa2022!F48=George!G40,Copa2022!H48=George!I40),Regras!$J$25,IF(Y40=Regras!F62,Regras!$J$26,0)))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M41" s="495"/>
      <c r="N41" s="495">
        <f>IF(OR(Copa2022!F49="",G41=""),"",
IF(AND(Copa2022!F49=George!G41,Copa2022!H49=George!I41),Regras!$J$25,IF(Y41=Regras!F63,Regras!$J$26,0)))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M42" s="495"/>
      <c r="N42" s="495">
        <f>IF(OR(Copa2022!F50="",G42=""),"",
IF(AND(Copa2022!F50=George!G42,Copa2022!H50=George!I42),Regras!$J$25,IF(Y42=Regras!F64,Regras!$J$26,0)))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M43" s="495"/>
      <c r="N43" s="495" t="str">
        <f>IF(OR(Copa2022!F51="",G43=""),"",
IF(AND(Copa2022!F51=George!G43,Copa2022!H51=George!I43),Regras!$J$25,IF(Y43=Regras!F65,Regras!$J$26,0)))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M44" s="495"/>
      <c r="N44" s="495" t="str">
        <f>IF(OR(Copa2022!F52="",G44=""),"",
IF(AND(Copa2022!F52=George!G44,Copa2022!H52=George!I44),Regras!$J$25,IF(Y44=Regras!F66,Regras!$J$26,0)))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IF(AND(Copa2022!F53=George!G45,Copa2022!H53=George!I45),Regras!$J$25,IF(Y45=Regras!F67,Regras!$J$26,0)))</f>
        <v>0</v>
      </c>
      <c r="O45" s="533" t="s">
        <v>59</v>
      </c>
      <c r="P45" s="534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M46" s="495"/>
      <c r="N46" s="495">
        <f>IF(OR(Copa2022!F54="",G46=""),"",
IF(AND(Copa2022!F54=George!G46,Copa2022!H54=George!I46),Regras!$J$25,IF(Y46=Regras!F68,Regras!$J$26,0)))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M47" s="495"/>
      <c r="N47" s="495">
        <f>IF(OR(Copa2022!F55="",G47=""),"",
IF(AND(Copa2022!F55=George!G47,Copa2022!H55=George!I47),Regras!$J$25,IF(Y47=Regras!F69,Regras!$J$26,0)))</f>
        <v>0</v>
      </c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M48" s="495"/>
      <c r="N48" s="495">
        <f>IF(OR(Copa2022!F56="",G48=""),"",
IF(AND(Copa2022!F56=George!G48,Copa2022!H56=George!I48),Regras!$J$25,IF(Y48=Regras!F70,Regras!$J$26,0)))</f>
        <v>0</v>
      </c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M49" s="495"/>
      <c r="N49" s="495" t="str">
        <f>IF(OR(Copa2022!F57="",G49=""),"",
IF(AND(Copa2022!F57=George!G49,Copa2022!H57=George!I49),Regras!$J$25,IF(Y49=Regras!F71,Regras!$J$26,0)))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IF(AND(Copa2022!F58=George!G50,Copa2022!H58=George!I50),Regras!$J$25,IF(Y50=Regras!F72,Regras!$J$26,0)))</f>
        <v/>
      </c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57" t="str">
        <f>IF(Copa2022!F62="","",IF(G54=I54,"empate",IF(G54&gt;I54,F54,J54)))</f>
        <v/>
      </c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57" t="str">
        <f>IF(Copa2022!F63="","",IF(G55=I55,"empate",IF(G55&gt;I55,F55,J55)))</f>
        <v/>
      </c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57" t="str">
        <f>IF(Copa2022!F64="","",IF(G56=I56,"empate",IF(G56&gt;I56,F56,J56)))</f>
        <v/>
      </c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57" t="str">
        <f>IF(Copa2022!F65="","",IF(G57=I57,"empate",IF(G57&gt;I57,F57,J57)))</f>
        <v/>
      </c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57" t="str">
        <f>IF(Copa2022!F66="","",IF(G58=I58,"empate",IF(G58&gt;I58,F58,J58)))</f>
        <v/>
      </c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57" t="str">
        <f>IF(Copa2022!F67="","",IF(G59=I59,"empate",IF(G59&gt;I59,F59,J59)))</f>
        <v/>
      </c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57" t="str">
        <f>IF(Copa2022!F68="","",IF(G60=I60,"empate",IF(G60&gt;I60,F60,J60)))</f>
        <v/>
      </c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57" t="str">
        <f>IF(Copa2022!F69="","",IF(G61=I61,"empate",IF(G61&gt;I61,F61,J61)))</f>
        <v/>
      </c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57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57" t="str">
        <f>IF(Copa2022!F71="","",IF(G63=I63,"empate",IF(G63&gt;I63,F63,J63)))</f>
        <v/>
      </c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57" t="str">
        <f>IF(Copa2022!F72="","",IF(G64=I64,"empate",IF(G64&gt;I64,F64,J64)))</f>
        <v/>
      </c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57" t="str">
        <f>IF(Copa2022!F73="","",IF(G65=I65,"empate",IF(G65&gt;I65,F65,J65)))</f>
        <v/>
      </c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57" t="str">
        <f>IF(Copa2022!F74="","",IF(G66=I66,"empate",IF(G66&gt;I66,F66,J66)))</f>
        <v/>
      </c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57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57" t="str">
        <f>IF(Copa2022!F76="","",IF(G68=I68,"empate",IF(G68&gt;I68,F68,J68)))</f>
        <v/>
      </c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57" t="str">
        <f>IF(Copa2022!F77="","",IF(G69=I69,"empate",IF(G69&gt;I69,F69,J69)))</f>
        <v/>
      </c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57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57" t="str">
        <f>IF(Copa2022!F79="","",IF(G71=I71,"empate",IF(G71&gt;I71,F71,J71)))</f>
        <v/>
      </c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57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57" t="str">
        <f>IF(Copa2022!F81="","",IF(G73=I73,"empate",IF(G73&gt;I73,F73,J73)))</f>
        <v/>
      </c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O15:P15"/>
    <mergeCell ref="B15:B20"/>
    <mergeCell ref="B39:B44"/>
    <mergeCell ref="B45:B50"/>
    <mergeCell ref="C52:M52"/>
    <mergeCell ref="L53:M53"/>
    <mergeCell ref="B21:B26"/>
    <mergeCell ref="B27:B32"/>
    <mergeCell ref="B33:B38"/>
    <mergeCell ref="F78:J78"/>
    <mergeCell ref="F79:J79"/>
    <mergeCell ref="F80:J80"/>
    <mergeCell ref="L62:M62"/>
    <mergeCell ref="L67:M67"/>
    <mergeCell ref="L70:M70"/>
    <mergeCell ref="L72:M72"/>
    <mergeCell ref="F76:J76"/>
    <mergeCell ref="F77:J77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965" priority="54" stopIfTrue="1" operator="equal">
      <formula>#REF!</formula>
    </cfRule>
  </conditionalFormatting>
  <conditionalFormatting sqref="M54:N54 N55:N61">
    <cfRule type="expression" dxfId="964" priority="53">
      <formula>$H$14="penaltis"</formula>
    </cfRule>
  </conditionalFormatting>
  <conditionalFormatting sqref="L55:M55">
    <cfRule type="expression" dxfId="963" priority="52">
      <formula>$H$15="penaltis"</formula>
    </cfRule>
  </conditionalFormatting>
  <conditionalFormatting sqref="L56:M56">
    <cfRule type="expression" dxfId="962" priority="51">
      <formula>$H$16="penaltis"</formula>
    </cfRule>
  </conditionalFormatting>
  <conditionalFormatting sqref="L57:M57">
    <cfRule type="expression" dxfId="961" priority="50">
      <formula>$H$17="penaltis"</formula>
    </cfRule>
  </conditionalFormatting>
  <conditionalFormatting sqref="L58:M58">
    <cfRule type="expression" dxfId="960" priority="49">
      <formula>$H$18="penaltis"</formula>
    </cfRule>
  </conditionalFormatting>
  <conditionalFormatting sqref="L59:M59">
    <cfRule type="expression" dxfId="959" priority="48">
      <formula>$H$19="penaltis"</formula>
    </cfRule>
  </conditionalFormatting>
  <conditionalFormatting sqref="L60:M60">
    <cfRule type="expression" dxfId="958" priority="47">
      <formula>$H$20="penaltis"</formula>
    </cfRule>
  </conditionalFormatting>
  <conditionalFormatting sqref="L61:M61">
    <cfRule type="expression" dxfId="957" priority="46">
      <formula>$H$21="penaltis"</formula>
    </cfRule>
  </conditionalFormatting>
  <conditionalFormatting sqref="N63">
    <cfRule type="expression" dxfId="956" priority="45">
      <formula>$H$23="penaltis"</formula>
    </cfRule>
  </conditionalFormatting>
  <conditionalFormatting sqref="N64">
    <cfRule type="expression" dxfId="955" priority="44" stopIfTrue="1">
      <formula>$H$24="penaltis"</formula>
    </cfRule>
  </conditionalFormatting>
  <conditionalFormatting sqref="N65">
    <cfRule type="expression" dxfId="954" priority="43" stopIfTrue="1">
      <formula>$H$25="penaltis"</formula>
    </cfRule>
  </conditionalFormatting>
  <conditionalFormatting sqref="N66">
    <cfRule type="expression" dxfId="953" priority="42" stopIfTrue="1">
      <formula>$H$26="penaltis"</formula>
    </cfRule>
  </conditionalFormatting>
  <conditionalFormatting sqref="N68">
    <cfRule type="expression" dxfId="952" priority="41" stopIfTrue="1">
      <formula>$H$28="penaltis"</formula>
    </cfRule>
  </conditionalFormatting>
  <conditionalFormatting sqref="N69">
    <cfRule type="expression" dxfId="951" priority="40" stopIfTrue="1">
      <formula>$H$29="penaltis"</formula>
    </cfRule>
  </conditionalFormatting>
  <conditionalFormatting sqref="N71">
    <cfRule type="expression" dxfId="950" priority="39" stopIfTrue="1">
      <formula>$H$31="penaltis"</formula>
    </cfRule>
  </conditionalFormatting>
  <conditionalFormatting sqref="N73">
    <cfRule type="expression" dxfId="949" priority="38" stopIfTrue="1">
      <formula>$H$33="penaltis"</formula>
    </cfRule>
  </conditionalFormatting>
  <conditionalFormatting sqref="L54:M54">
    <cfRule type="expression" dxfId="948" priority="37" stopIfTrue="1">
      <formula>$K$54="penaltis"</formula>
    </cfRule>
  </conditionalFormatting>
  <conditionalFormatting sqref="L55:M55">
    <cfRule type="expression" dxfId="947" priority="36" stopIfTrue="1">
      <formula>$K$55="penaltis"</formula>
    </cfRule>
  </conditionalFormatting>
  <conditionalFormatting sqref="L56:M56">
    <cfRule type="expression" dxfId="946" priority="35" stopIfTrue="1">
      <formula>$K$56="penaltis"</formula>
    </cfRule>
  </conditionalFormatting>
  <conditionalFormatting sqref="L57:M57">
    <cfRule type="expression" dxfId="945" priority="34" stopIfTrue="1">
      <formula>$K$57="penaltis"</formula>
    </cfRule>
  </conditionalFormatting>
  <conditionalFormatting sqref="L58:M58">
    <cfRule type="expression" dxfId="944" priority="33" stopIfTrue="1">
      <formula>$K$58="penaltis"</formula>
    </cfRule>
  </conditionalFormatting>
  <conditionalFormatting sqref="L59:M59">
    <cfRule type="expression" dxfId="943" priority="32" stopIfTrue="1">
      <formula>$K$59="penaltis"</formula>
    </cfRule>
  </conditionalFormatting>
  <conditionalFormatting sqref="L60:M60">
    <cfRule type="expression" dxfId="942" priority="31" stopIfTrue="1">
      <formula>$K$60="penaltis"</formula>
    </cfRule>
  </conditionalFormatting>
  <conditionalFormatting sqref="L61:M61">
    <cfRule type="expression" dxfId="941" priority="30" stopIfTrue="1">
      <formula>$K$61="penaltis"</formula>
    </cfRule>
  </conditionalFormatting>
  <conditionalFormatting sqref="L63:M63">
    <cfRule type="expression" dxfId="940" priority="29">
      <formula>$K$63="penaltis"</formula>
    </cfRule>
  </conditionalFormatting>
  <conditionalFormatting sqref="L64:M64">
    <cfRule type="expression" dxfId="939" priority="28">
      <formula>$K$64="penaltis"</formula>
    </cfRule>
  </conditionalFormatting>
  <conditionalFormatting sqref="L65:M65">
    <cfRule type="expression" dxfId="938" priority="27">
      <formula>$K$65="penaltis"</formula>
    </cfRule>
  </conditionalFormatting>
  <conditionalFormatting sqref="L66:M66">
    <cfRule type="expression" dxfId="937" priority="26">
      <formula>$K$66="penaltis"</formula>
    </cfRule>
  </conditionalFormatting>
  <conditionalFormatting sqref="L68:M68">
    <cfRule type="expression" dxfId="936" priority="25">
      <formula>$K$68="penaltis"</formula>
    </cfRule>
  </conditionalFormatting>
  <conditionalFormatting sqref="L69:M69">
    <cfRule type="expression" dxfId="935" priority="24">
      <formula>$K$69="penaltis"</formula>
    </cfRule>
  </conditionalFormatting>
  <conditionalFormatting sqref="L71:M71">
    <cfRule type="expression" dxfId="934" priority="23">
      <formula>$K$71="penaltis"</formula>
    </cfRule>
  </conditionalFormatting>
  <conditionalFormatting sqref="L73:M73">
    <cfRule type="expression" dxfId="933" priority="22">
      <formula>$K$73="penaltis"</formula>
    </cfRule>
  </conditionalFormatting>
  <conditionalFormatting sqref="O5:X5 O4 Q4:X4">
    <cfRule type="expression" dxfId="932" priority="21">
      <formula>$R$8=12</formula>
    </cfRule>
  </conditionalFormatting>
  <conditionalFormatting sqref="O10:X11">
    <cfRule type="expression" dxfId="931" priority="20">
      <formula>$R$14=12</formula>
    </cfRule>
  </conditionalFormatting>
  <conditionalFormatting sqref="O16:X17">
    <cfRule type="expression" dxfId="930" priority="19">
      <formula>$R$20=12</formula>
    </cfRule>
  </conditionalFormatting>
  <conditionalFormatting sqref="O22:X23">
    <cfRule type="expression" dxfId="929" priority="18">
      <formula>$R$26=12</formula>
    </cfRule>
  </conditionalFormatting>
  <conditionalFormatting sqref="O28:X29">
    <cfRule type="expression" dxfId="928" priority="17">
      <formula>$R$32=12</formula>
    </cfRule>
  </conditionalFormatting>
  <conditionalFormatting sqref="O34:X35">
    <cfRule type="expression" dxfId="927" priority="16">
      <formula>$R$38=12</formula>
    </cfRule>
  </conditionalFormatting>
  <conditionalFormatting sqref="O40:X41">
    <cfRule type="expression" dxfId="926" priority="15">
      <formula>$R$44=12</formula>
    </cfRule>
  </conditionalFormatting>
  <conditionalFormatting sqref="O46:X46 O47 Q47:X47">
    <cfRule type="expression" dxfId="925" priority="14">
      <formula>$R$50=12</formula>
    </cfRule>
  </conditionalFormatting>
  <conditionalFormatting sqref="F67:J73 B45 B9 B15 B21 B27 B33 B3 F3:F50 J3:J50">
    <cfRule type="cellIs" dxfId="924" priority="55" stopIfTrue="1" operator="equal">
      <formula>#REF!</formula>
    </cfRule>
  </conditionalFormatting>
  <conditionalFormatting sqref="B39">
    <cfRule type="cellIs" dxfId="923" priority="11" stopIfTrue="1" operator="equal">
      <formula>#REF!</formula>
    </cfRule>
  </conditionalFormatting>
  <conditionalFormatting sqref="P47">
    <cfRule type="expression" dxfId="922" priority="8">
      <formula>$R$50=12</formula>
    </cfRule>
  </conditionalFormatting>
  <conditionalFormatting sqref="F55:J62 F64:J66">
    <cfRule type="cellIs" dxfId="921" priority="7" stopIfTrue="1" operator="equal">
      <formula>$Y$7</formula>
    </cfRule>
  </conditionalFormatting>
  <conditionalFormatting sqref="F63">
    <cfRule type="cellIs" dxfId="920" priority="6" stopIfTrue="1" operator="equal">
      <formula>$Y$7</formula>
    </cfRule>
  </conditionalFormatting>
  <conditionalFormatting sqref="J63">
    <cfRule type="cellIs" dxfId="919" priority="5" stopIfTrue="1" operator="equal">
      <formula>$Y$7</formula>
    </cfRule>
  </conditionalFormatting>
  <conditionalFormatting sqref="F54">
    <cfRule type="cellIs" dxfId="918" priority="4" stopIfTrue="1" operator="equal">
      <formula>$Y$7</formula>
    </cfRule>
  </conditionalFormatting>
  <conditionalFormatting sqref="J54">
    <cfRule type="cellIs" dxfId="917" priority="3" stopIfTrue="1" operator="equal">
      <formula>$Y$7</formula>
    </cfRule>
  </conditionalFormatting>
  <conditionalFormatting sqref="H54">
    <cfRule type="cellIs" dxfId="916" priority="2" stopIfTrue="1" operator="equal">
      <formula>$Y$7</formula>
    </cfRule>
  </conditionalFormatting>
  <conditionalFormatting sqref="H63">
    <cfRule type="cellIs" dxfId="91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4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W117"/>
  <sheetViews>
    <sheetView topLeftCell="A19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IF(Copa2022!F16="","",IF(Copa2022!O12=Laurindo!P4,Regras!$J$27,0))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IF(Copa2022!F22="","",IF(Copa2022!O18=Laurindo!P10,Regras!$J$27,0))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0</v>
      </c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Irã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IF(Copa2022!F28="","",IF(Copa2022!O24=Laurindo!P16,Regras!$J$27,0))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5</v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IF(Copa2022!F34="","",IF(Copa2022!O30=Laurindo!P22,Regras!$J$27,0))</f>
        <v>0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Dinamarca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empate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empate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O21:P21"/>
    <mergeCell ref="B27:B32"/>
    <mergeCell ref="O27:P27"/>
    <mergeCell ref="B21:B26"/>
    <mergeCell ref="O33:P33"/>
    <mergeCell ref="B3:B8"/>
    <mergeCell ref="O3:P3"/>
    <mergeCell ref="O9:P9"/>
    <mergeCell ref="B15:B20"/>
    <mergeCell ref="O15:P15"/>
    <mergeCell ref="B9:B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914" priority="50" stopIfTrue="1" operator="equal">
      <formula>#REF!</formula>
    </cfRule>
  </conditionalFormatting>
  <conditionalFormatting sqref="M54:N54 N55:N61">
    <cfRule type="expression" dxfId="913" priority="49">
      <formula>$H$14="penaltis"</formula>
    </cfRule>
  </conditionalFormatting>
  <conditionalFormatting sqref="L55:M55">
    <cfRule type="expression" dxfId="912" priority="48">
      <formula>$H$15="penaltis"</formula>
    </cfRule>
  </conditionalFormatting>
  <conditionalFormatting sqref="L56:M56">
    <cfRule type="expression" dxfId="911" priority="47">
      <formula>$H$16="penaltis"</formula>
    </cfRule>
  </conditionalFormatting>
  <conditionalFormatting sqref="L57:M57">
    <cfRule type="expression" dxfId="910" priority="46">
      <formula>$H$17="penaltis"</formula>
    </cfRule>
  </conditionalFormatting>
  <conditionalFormatting sqref="L58:M58">
    <cfRule type="expression" dxfId="909" priority="45">
      <formula>$H$18="penaltis"</formula>
    </cfRule>
  </conditionalFormatting>
  <conditionalFormatting sqref="L59:M59">
    <cfRule type="expression" dxfId="908" priority="44">
      <formula>$H$19="penaltis"</formula>
    </cfRule>
  </conditionalFormatting>
  <conditionalFormatting sqref="L60:M60">
    <cfRule type="expression" dxfId="907" priority="43">
      <formula>$H$20="penaltis"</formula>
    </cfRule>
  </conditionalFormatting>
  <conditionalFormatting sqref="L61:M61">
    <cfRule type="expression" dxfId="906" priority="42">
      <formula>$H$21="penaltis"</formula>
    </cfRule>
  </conditionalFormatting>
  <conditionalFormatting sqref="N63">
    <cfRule type="expression" dxfId="905" priority="41">
      <formula>$H$23="penaltis"</formula>
    </cfRule>
  </conditionalFormatting>
  <conditionalFormatting sqref="N64">
    <cfRule type="expression" dxfId="904" priority="40" stopIfTrue="1">
      <formula>$H$24="penaltis"</formula>
    </cfRule>
  </conditionalFormatting>
  <conditionalFormatting sqref="N65">
    <cfRule type="expression" dxfId="903" priority="39" stopIfTrue="1">
      <formula>$H$25="penaltis"</formula>
    </cfRule>
  </conditionalFormatting>
  <conditionalFormatting sqref="N66">
    <cfRule type="expression" dxfId="902" priority="38" stopIfTrue="1">
      <formula>$H$26="penaltis"</formula>
    </cfRule>
  </conditionalFormatting>
  <conditionalFormatting sqref="N68">
    <cfRule type="expression" dxfId="901" priority="37" stopIfTrue="1">
      <formula>$H$28="penaltis"</formula>
    </cfRule>
  </conditionalFormatting>
  <conditionalFormatting sqref="N69">
    <cfRule type="expression" dxfId="900" priority="36" stopIfTrue="1">
      <formula>$H$29="penaltis"</formula>
    </cfRule>
  </conditionalFormatting>
  <conditionalFormatting sqref="N71">
    <cfRule type="expression" dxfId="899" priority="35" stopIfTrue="1">
      <formula>$H$31="penaltis"</formula>
    </cfRule>
  </conditionalFormatting>
  <conditionalFormatting sqref="N73">
    <cfRule type="expression" dxfId="898" priority="34" stopIfTrue="1">
      <formula>$H$33="penaltis"</formula>
    </cfRule>
  </conditionalFormatting>
  <conditionalFormatting sqref="L54:M54">
    <cfRule type="expression" dxfId="897" priority="33" stopIfTrue="1">
      <formula>$K$54="penaltis"</formula>
    </cfRule>
  </conditionalFormatting>
  <conditionalFormatting sqref="L55:M55">
    <cfRule type="expression" dxfId="896" priority="32" stopIfTrue="1">
      <formula>$K$55="penaltis"</formula>
    </cfRule>
  </conditionalFormatting>
  <conditionalFormatting sqref="L56:M56">
    <cfRule type="expression" dxfId="895" priority="31" stopIfTrue="1">
      <formula>$K$56="penaltis"</formula>
    </cfRule>
  </conditionalFormatting>
  <conditionalFormatting sqref="L57:M57">
    <cfRule type="expression" dxfId="894" priority="30" stopIfTrue="1">
      <formula>$K$57="penaltis"</formula>
    </cfRule>
  </conditionalFormatting>
  <conditionalFormatting sqref="L58:M58">
    <cfRule type="expression" dxfId="893" priority="29" stopIfTrue="1">
      <formula>$K$58="penaltis"</formula>
    </cfRule>
  </conditionalFormatting>
  <conditionalFormatting sqref="L59:M59">
    <cfRule type="expression" dxfId="892" priority="28" stopIfTrue="1">
      <formula>$K$59="penaltis"</formula>
    </cfRule>
  </conditionalFormatting>
  <conditionalFormatting sqref="L60:M60">
    <cfRule type="expression" dxfId="891" priority="27" stopIfTrue="1">
      <formula>$K$60="penaltis"</formula>
    </cfRule>
  </conditionalFormatting>
  <conditionalFormatting sqref="L61:M61">
    <cfRule type="expression" dxfId="890" priority="26" stopIfTrue="1">
      <formula>$K$61="penaltis"</formula>
    </cfRule>
  </conditionalFormatting>
  <conditionalFormatting sqref="L63:M63">
    <cfRule type="expression" dxfId="889" priority="25">
      <formula>$K$63="penaltis"</formula>
    </cfRule>
  </conditionalFormatting>
  <conditionalFormatting sqref="L64:M64">
    <cfRule type="expression" dxfId="888" priority="24">
      <formula>$K$64="penaltis"</formula>
    </cfRule>
  </conditionalFormatting>
  <conditionalFormatting sqref="L65:M65">
    <cfRule type="expression" dxfId="887" priority="23">
      <formula>$K$65="penaltis"</formula>
    </cfRule>
  </conditionalFormatting>
  <conditionalFormatting sqref="L66:M66">
    <cfRule type="expression" dxfId="886" priority="22">
      <formula>$K$66="penaltis"</formula>
    </cfRule>
  </conditionalFormatting>
  <conditionalFormatting sqref="L68:M68">
    <cfRule type="expression" dxfId="885" priority="21">
      <formula>$K$68="penaltis"</formula>
    </cfRule>
  </conditionalFormatting>
  <conditionalFormatting sqref="L69:M69">
    <cfRule type="expression" dxfId="884" priority="20">
      <formula>$K$69="penaltis"</formula>
    </cfRule>
  </conditionalFormatting>
  <conditionalFormatting sqref="L71:M71">
    <cfRule type="expression" dxfId="883" priority="19">
      <formula>$K$71="penaltis"</formula>
    </cfRule>
  </conditionalFormatting>
  <conditionalFormatting sqref="L73:M73">
    <cfRule type="expression" dxfId="882" priority="18">
      <formula>$K$73="penaltis"</formula>
    </cfRule>
  </conditionalFormatting>
  <conditionalFormatting sqref="O4:X5">
    <cfRule type="expression" dxfId="881" priority="17">
      <formula>$R$8=12</formula>
    </cfRule>
  </conditionalFormatting>
  <conditionalFormatting sqref="O10:X11">
    <cfRule type="expression" dxfId="880" priority="16">
      <formula>$R$14=12</formula>
    </cfRule>
  </conditionalFormatting>
  <conditionalFormatting sqref="O16:X17">
    <cfRule type="expression" dxfId="879" priority="15">
      <formula>$R$20=12</formula>
    </cfRule>
  </conditionalFormatting>
  <conditionalFormatting sqref="O22:X23">
    <cfRule type="expression" dxfId="878" priority="14">
      <formula>$R$26=12</formula>
    </cfRule>
  </conditionalFormatting>
  <conditionalFormatting sqref="O28:X29">
    <cfRule type="expression" dxfId="877" priority="13">
      <formula>$R$32=12</formula>
    </cfRule>
  </conditionalFormatting>
  <conditionalFormatting sqref="O34:X35">
    <cfRule type="expression" dxfId="876" priority="12">
      <formula>$R$38=12</formula>
    </cfRule>
  </conditionalFormatting>
  <conditionalFormatting sqref="O40:X41">
    <cfRule type="expression" dxfId="875" priority="11">
      <formula>$R$44=12</formula>
    </cfRule>
  </conditionalFormatting>
  <conditionalFormatting sqref="O46:X47">
    <cfRule type="expression" dxfId="874" priority="10">
      <formula>$R$50=12</formula>
    </cfRule>
  </conditionalFormatting>
  <conditionalFormatting sqref="F67:J73 B45 B9 B15 B21 B27 B33 B3 F3:F50 J3:J50">
    <cfRule type="cellIs" dxfId="873" priority="51" stopIfTrue="1" operator="equal">
      <formula>#REF!</formula>
    </cfRule>
  </conditionalFormatting>
  <conditionalFormatting sqref="B39">
    <cfRule type="cellIs" dxfId="872" priority="9" stopIfTrue="1" operator="equal">
      <formula>#REF!</formula>
    </cfRule>
  </conditionalFormatting>
  <conditionalFormatting sqref="F55:J62 F64:J66">
    <cfRule type="cellIs" dxfId="871" priority="7" stopIfTrue="1" operator="equal">
      <formula>$Y$7</formula>
    </cfRule>
  </conditionalFormatting>
  <conditionalFormatting sqref="F63">
    <cfRule type="cellIs" dxfId="870" priority="6" stopIfTrue="1" operator="equal">
      <formula>$Y$7</formula>
    </cfRule>
  </conditionalFormatting>
  <conditionalFormatting sqref="J63">
    <cfRule type="cellIs" dxfId="869" priority="5" stopIfTrue="1" operator="equal">
      <formula>$Y$7</formula>
    </cfRule>
  </conditionalFormatting>
  <conditionalFormatting sqref="F54">
    <cfRule type="cellIs" dxfId="868" priority="4" stopIfTrue="1" operator="equal">
      <formula>$Y$7</formula>
    </cfRule>
  </conditionalFormatting>
  <conditionalFormatting sqref="J54">
    <cfRule type="cellIs" dxfId="867" priority="3" stopIfTrue="1" operator="equal">
      <formula>$Y$7</formula>
    </cfRule>
  </conditionalFormatting>
  <conditionalFormatting sqref="H54">
    <cfRule type="cellIs" dxfId="866" priority="2" stopIfTrue="1" operator="equal">
      <formula>$Y$7</formula>
    </cfRule>
  </conditionalFormatting>
  <conditionalFormatting sqref="H63">
    <cfRule type="cellIs" dxfId="86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5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W117"/>
  <sheetViews>
    <sheetView topLeftCell="A13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IF(Copa2022!F16="","",IF(Copa2022!O12=Priscilla!P4,Regras!$J$27,0))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IF(Copa2022!F22="","",IF(Copa2022!O18=Priscilla!P10,Regras!$J$27,0))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IF(Copa2022!F28="","",IF(Copa2022!O24=Priscilla!P16,Regras!$J$27,0))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10</v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IF(Copa2022!F34="","",IF(Copa2022!O30=Priscilla!P22,Regras!$J$27,0))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4" priority="58" stopIfTrue="1" operator="equal">
      <formula>#REF!</formula>
    </cfRule>
  </conditionalFormatting>
  <conditionalFormatting sqref="M54:N54 N55:N61">
    <cfRule type="expression" dxfId="863" priority="57">
      <formula>$H$14="penaltis"</formula>
    </cfRule>
  </conditionalFormatting>
  <conditionalFormatting sqref="L55:M55">
    <cfRule type="expression" dxfId="862" priority="56">
      <formula>$H$15="penaltis"</formula>
    </cfRule>
  </conditionalFormatting>
  <conditionalFormatting sqref="L56:M56">
    <cfRule type="expression" dxfId="861" priority="55">
      <formula>$H$16="penaltis"</formula>
    </cfRule>
  </conditionalFormatting>
  <conditionalFormatting sqref="L57:M57">
    <cfRule type="expression" dxfId="860" priority="54">
      <formula>$H$17="penaltis"</formula>
    </cfRule>
  </conditionalFormatting>
  <conditionalFormatting sqref="L58:M58">
    <cfRule type="expression" dxfId="859" priority="53">
      <formula>$H$18="penaltis"</formula>
    </cfRule>
  </conditionalFormatting>
  <conditionalFormatting sqref="L59:M59">
    <cfRule type="expression" dxfId="858" priority="52">
      <formula>$H$19="penaltis"</formula>
    </cfRule>
  </conditionalFormatting>
  <conditionalFormatting sqref="L60:M60">
    <cfRule type="expression" dxfId="857" priority="51">
      <formula>$H$20="penaltis"</formula>
    </cfRule>
  </conditionalFormatting>
  <conditionalFormatting sqref="L61:M61">
    <cfRule type="expression" dxfId="856" priority="50">
      <formula>$H$21="penaltis"</formula>
    </cfRule>
  </conditionalFormatting>
  <conditionalFormatting sqref="N63">
    <cfRule type="expression" dxfId="855" priority="49">
      <formula>$H$23="penaltis"</formula>
    </cfRule>
  </conditionalFormatting>
  <conditionalFormatting sqref="N64">
    <cfRule type="expression" dxfId="854" priority="48" stopIfTrue="1">
      <formula>$H$24="penaltis"</formula>
    </cfRule>
  </conditionalFormatting>
  <conditionalFormatting sqref="N65">
    <cfRule type="expression" dxfId="853" priority="47" stopIfTrue="1">
      <formula>$H$25="penaltis"</formula>
    </cfRule>
  </conditionalFormatting>
  <conditionalFormatting sqref="N66">
    <cfRule type="expression" dxfId="852" priority="46" stopIfTrue="1">
      <formula>$H$26="penaltis"</formula>
    </cfRule>
  </conditionalFormatting>
  <conditionalFormatting sqref="N68">
    <cfRule type="expression" dxfId="851" priority="45" stopIfTrue="1">
      <formula>$H$28="penaltis"</formula>
    </cfRule>
  </conditionalFormatting>
  <conditionalFormatting sqref="N69">
    <cfRule type="expression" dxfId="850" priority="44" stopIfTrue="1">
      <formula>$H$29="penaltis"</formula>
    </cfRule>
  </conditionalFormatting>
  <conditionalFormatting sqref="N71">
    <cfRule type="expression" dxfId="849" priority="43" stopIfTrue="1">
      <formula>$H$31="penaltis"</formula>
    </cfRule>
  </conditionalFormatting>
  <conditionalFormatting sqref="N73">
    <cfRule type="expression" dxfId="848" priority="42" stopIfTrue="1">
      <formula>$H$33="penaltis"</formula>
    </cfRule>
  </conditionalFormatting>
  <conditionalFormatting sqref="L54:M54">
    <cfRule type="expression" dxfId="847" priority="41" stopIfTrue="1">
      <formula>$K$54="penaltis"</formula>
    </cfRule>
  </conditionalFormatting>
  <conditionalFormatting sqref="L55:M55">
    <cfRule type="expression" dxfId="846" priority="40" stopIfTrue="1">
      <formula>$K$55="penaltis"</formula>
    </cfRule>
  </conditionalFormatting>
  <conditionalFormatting sqref="L56:M56">
    <cfRule type="expression" dxfId="845" priority="39" stopIfTrue="1">
      <formula>$K$56="penaltis"</formula>
    </cfRule>
  </conditionalFormatting>
  <conditionalFormatting sqref="L57:M57">
    <cfRule type="expression" dxfId="844" priority="38" stopIfTrue="1">
      <formula>$K$57="penaltis"</formula>
    </cfRule>
  </conditionalFormatting>
  <conditionalFormatting sqref="L58:M58">
    <cfRule type="expression" dxfId="843" priority="37" stopIfTrue="1">
      <formula>$K$58="penaltis"</formula>
    </cfRule>
  </conditionalFormatting>
  <conditionalFormatting sqref="L59:M59">
    <cfRule type="expression" dxfId="842" priority="36" stopIfTrue="1">
      <formula>$K$59="penaltis"</formula>
    </cfRule>
  </conditionalFormatting>
  <conditionalFormatting sqref="L60:M60">
    <cfRule type="expression" dxfId="841" priority="35" stopIfTrue="1">
      <formula>$K$60="penaltis"</formula>
    </cfRule>
  </conditionalFormatting>
  <conditionalFormatting sqref="L61:M61">
    <cfRule type="expression" dxfId="840" priority="34" stopIfTrue="1">
      <formula>$K$61="penaltis"</formula>
    </cfRule>
  </conditionalFormatting>
  <conditionalFormatting sqref="L63:M63">
    <cfRule type="expression" dxfId="839" priority="33">
      <formula>$K$63="penaltis"</formula>
    </cfRule>
  </conditionalFormatting>
  <conditionalFormatting sqref="L64:M64">
    <cfRule type="expression" dxfId="838" priority="32">
      <formula>$K$64="penaltis"</formula>
    </cfRule>
  </conditionalFormatting>
  <conditionalFormatting sqref="L65:M65">
    <cfRule type="expression" dxfId="837" priority="31">
      <formula>$K$65="penaltis"</formula>
    </cfRule>
  </conditionalFormatting>
  <conditionalFormatting sqref="L66:M66">
    <cfRule type="expression" dxfId="836" priority="30">
      <formula>$K$66="penaltis"</formula>
    </cfRule>
  </conditionalFormatting>
  <conditionalFormatting sqref="L68:M68">
    <cfRule type="expression" dxfId="835" priority="29">
      <formula>$K$68="penaltis"</formula>
    </cfRule>
  </conditionalFormatting>
  <conditionalFormatting sqref="L69:M69">
    <cfRule type="expression" dxfId="834" priority="28">
      <formula>$K$69="penaltis"</formula>
    </cfRule>
  </conditionalFormatting>
  <conditionalFormatting sqref="L71:M71">
    <cfRule type="expression" dxfId="833" priority="27">
      <formula>$K$71="penaltis"</formula>
    </cfRule>
  </conditionalFormatting>
  <conditionalFormatting sqref="L73:M73">
    <cfRule type="expression" dxfId="832" priority="26">
      <formula>$K$73="penaltis"</formula>
    </cfRule>
  </conditionalFormatting>
  <conditionalFormatting sqref="Q4:X5">
    <cfRule type="expression" dxfId="831" priority="25">
      <formula>$R$8=12</formula>
    </cfRule>
  </conditionalFormatting>
  <conditionalFormatting sqref="Q10:X11">
    <cfRule type="expression" dxfId="830" priority="24">
      <formula>$R$14=12</formula>
    </cfRule>
  </conditionalFormatting>
  <conditionalFormatting sqref="Q16:X17">
    <cfRule type="expression" dxfId="829" priority="23">
      <formula>$R$20=12</formula>
    </cfRule>
  </conditionalFormatting>
  <conditionalFormatting sqref="Q22:X23">
    <cfRule type="expression" dxfId="828" priority="22">
      <formula>$R$26=12</formula>
    </cfRule>
  </conditionalFormatting>
  <conditionalFormatting sqref="Q28:X29">
    <cfRule type="expression" dxfId="827" priority="21">
      <formula>$R$32=12</formula>
    </cfRule>
  </conditionalFormatting>
  <conditionalFormatting sqref="Q34:X35">
    <cfRule type="expression" dxfId="826" priority="20">
      <formula>$R$38=12</formula>
    </cfRule>
  </conditionalFormatting>
  <conditionalFormatting sqref="Q40:X41">
    <cfRule type="expression" dxfId="825" priority="19">
      <formula>$R$44=12</formula>
    </cfRule>
  </conditionalFormatting>
  <conditionalFormatting sqref="Q46:X47">
    <cfRule type="expression" dxfId="824" priority="18">
      <formula>$R$50=12</formula>
    </cfRule>
  </conditionalFormatting>
  <conditionalFormatting sqref="F67:J73 B45 B9 B15 B21 B27 B33 B3 F3:F50 J3:J50">
    <cfRule type="cellIs" dxfId="823" priority="59" stopIfTrue="1" operator="equal">
      <formula>#REF!</formula>
    </cfRule>
  </conditionalFormatting>
  <conditionalFormatting sqref="B39">
    <cfRule type="cellIs" dxfId="822" priority="17" stopIfTrue="1" operator="equal">
      <formula>#REF!</formula>
    </cfRule>
  </conditionalFormatting>
  <conditionalFormatting sqref="O4:P5">
    <cfRule type="expression" dxfId="821" priority="15">
      <formula>$R$16=12</formula>
    </cfRule>
  </conditionalFormatting>
  <conditionalFormatting sqref="O10:P11">
    <cfRule type="expression" dxfId="820" priority="14">
      <formula>$R$22=12</formula>
    </cfRule>
  </conditionalFormatting>
  <conditionalFormatting sqref="O16:P17">
    <cfRule type="expression" dxfId="819" priority="13">
      <formula>$R$28=12</formula>
    </cfRule>
  </conditionalFormatting>
  <conditionalFormatting sqref="O22:P23">
    <cfRule type="expression" dxfId="818" priority="12">
      <formula>$R$34=12</formula>
    </cfRule>
  </conditionalFormatting>
  <conditionalFormatting sqref="O28:P29">
    <cfRule type="expression" dxfId="817" priority="11">
      <formula>$R$40=12</formula>
    </cfRule>
  </conditionalFormatting>
  <conditionalFormatting sqref="O34:P35">
    <cfRule type="expression" dxfId="816" priority="10">
      <formula>$R$46=12</formula>
    </cfRule>
  </conditionalFormatting>
  <conditionalFormatting sqref="O40:P41">
    <cfRule type="expression" dxfId="815" priority="9">
      <formula>$R$52=12</formula>
    </cfRule>
  </conditionalFormatting>
  <conditionalFormatting sqref="O46:P47">
    <cfRule type="expression" dxfId="814" priority="8">
      <formula>$R$58=12</formula>
    </cfRule>
  </conditionalFormatting>
  <conditionalFormatting sqref="F55:J62 F64:J66">
    <cfRule type="cellIs" dxfId="813" priority="7" stopIfTrue="1" operator="equal">
      <formula>$Y$7</formula>
    </cfRule>
  </conditionalFormatting>
  <conditionalFormatting sqref="F63">
    <cfRule type="cellIs" dxfId="812" priority="6" stopIfTrue="1" operator="equal">
      <formula>$Y$7</formula>
    </cfRule>
  </conditionalFormatting>
  <conditionalFormatting sqref="J63">
    <cfRule type="cellIs" dxfId="811" priority="5" stopIfTrue="1" operator="equal">
      <formula>$Y$7</formula>
    </cfRule>
  </conditionalFormatting>
  <conditionalFormatting sqref="F54">
    <cfRule type="cellIs" dxfId="810" priority="4" stopIfTrue="1" operator="equal">
      <formula>$Y$7</formula>
    </cfRule>
  </conditionalFormatting>
  <conditionalFormatting sqref="J54">
    <cfRule type="cellIs" dxfId="809" priority="3" stopIfTrue="1" operator="equal">
      <formula>$Y$7</formula>
    </cfRule>
  </conditionalFormatting>
  <conditionalFormatting sqref="H54">
    <cfRule type="cellIs" dxfId="808" priority="2" stopIfTrue="1" operator="equal">
      <formula>$Y$7</formula>
    </cfRule>
  </conditionalFormatting>
  <conditionalFormatting sqref="H63">
    <cfRule type="cellIs" dxfId="80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6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W117"/>
  <sheetViews>
    <sheetView topLeftCell="A25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M3" s="495"/>
      <c r="N3" s="495">
        <f>IF(OR(Copa2022!F11="",G3=""),"",
IF(AND(Copa2022!F11=Aurea!G3,Copa2022!H11=Aurea!I3),Regras!$J$25,IF(Y3=Regras!F25,Regras!$J$26,0)))</f>
        <v>0</v>
      </c>
      <c r="O3" s="533" t="s">
        <v>198</v>
      </c>
      <c r="P3" s="557"/>
      <c r="Q3" s="324">
        <f>IF(Copa2022!F16="","",IF(Copa2022!O12=Aurea!P4,Regras!$J$27,0))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M4" s="495"/>
      <c r="N4" s="495">
        <f>IF(OR(Copa2022!F12="",G4=""),"",
IF(AND(Copa2022!F12=Aurea!G4,Copa2022!H12=Aurea!I4),Regras!$J$25,IF(Y4=Regras!F26,Regras!$J$26,0)))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IF(AND(Copa2022!F13=Aurea!G5,Copa2022!H13=Aurea!I5),Regras!$J$25,IF(Y5=Regras!F27,Regras!$J$26,0)))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IF(AND(Copa2022!F14=Aurea!G6,Copa2022!H14=Aurea!I6),Regras!$J$25,IF(Y6=Regras!F28,Regras!$J$26,0)))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IF(AND(Copa2022!F15=Aurea!G7,Copa2022!H15=Aurea!I7),Regras!$J$25,IF(Y7=Regras!F29,Regras!$J$26,0)))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M8" s="495"/>
      <c r="N8" s="495">
        <f>IF(OR(Copa2022!F16="",G8=""),"",
IF(AND(Copa2022!F16=Aurea!G8,Copa2022!H16=Aurea!I8),Regras!$J$25,IF(Y8=Regras!F30,Regras!$J$26,0)))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IF(AND(Copa2022!F17=Aurea!G9,Copa2022!H17=Aurea!I9),Regras!$J$25,IF(Y9=Regras!F31,Regras!$J$26,0)))</f>
        <v>5</v>
      </c>
      <c r="O9" s="533" t="s">
        <v>48</v>
      </c>
      <c r="P9" s="534"/>
      <c r="Q9" s="324">
        <f>IF(Copa2022!F22="","",IF(Copa2022!O18=Aurea!P10,Regras!$J$27,0))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IF(AND(Copa2022!F18=Aurea!G10,Copa2022!H18=Aurea!I10),Regras!$J$25,IF(Y10=Regras!F32,Regras!$J$26,0)))</f>
        <v>0</v>
      </c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IF(AND(Copa2022!F19=Aurea!G11,Copa2022!H19=Aurea!I11),Regras!$J$25,IF(Y11=Regras!F33,Regras!$J$26,0)))</f>
        <v>0</v>
      </c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M12" s="495"/>
      <c r="N12" s="495">
        <f>IF(OR(Copa2022!F20="",G12=""),"",
IF(AND(Copa2022!F20=Aurea!G12,Copa2022!H20=Aurea!I12),Regras!$J$25,IF(Y12=Regras!F34,Regras!$J$26,0)))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M13" s="495"/>
      <c r="N13" s="495">
        <f>IF(OR(Copa2022!F21="",G13=""),"",
IF(AND(Copa2022!F21=Aurea!G13,Copa2022!H21=Aurea!I13),Regras!$J$25,IF(Y13=Regras!F35,Regras!$J$26,0)))</f>
        <v>5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M14" s="495"/>
      <c r="N14" s="495">
        <f>IF(OR(Copa2022!F22="",G14=""),"",
IF(AND(Copa2022!F22=Aurea!G14,Copa2022!H22=Aurea!I14),Regras!$J$25,IF(Y14=Regras!F36,Regras!$J$26,0)))</f>
        <v>5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IF(AND(Copa2022!F23=Aurea!G15,Copa2022!H23=Aurea!I15),Regras!$J$25,IF(Y15=Regras!F37,Regras!$J$26,0)))</f>
        <v>0</v>
      </c>
      <c r="O15" s="533" t="s">
        <v>50</v>
      </c>
      <c r="P15" s="534"/>
      <c r="Q15" s="324">
        <f>IF(Copa2022!F28="","",IF(Copa2022!O24=Aurea!P16,Regras!$J$27,0))</f>
        <v>0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IF(AND(Copa2022!F24=Aurea!G16,Copa2022!H24=Aurea!I16),Regras!$J$25,IF(Y16=Regras!F38,Regras!$J$26,0)))</f>
        <v>0</v>
      </c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IF(AND(Copa2022!F25=Aurea!G17,Copa2022!H25=Aurea!I17),Regras!$J$25,IF(Y17=Regras!F39,Regras!$J$26,0)))</f>
        <v>5</v>
      </c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M18" s="495"/>
      <c r="N18" s="495">
        <f>IF(OR(Copa2022!F26="",G18=""),"",
IF(AND(Copa2022!F26=Aurea!G18,Copa2022!H26=Aurea!I18),Regras!$J$25,IF(Y18=Regras!F40,Regras!$J$26,0)))</f>
        <v>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>
        <f>IF(OR(Copa2022!F27="",G19=""),"",
IF(AND(Copa2022!F27=Aurea!G19,Copa2022!H27=Aurea!I19),Regras!$J$25,IF(Y19=Regras!F41,Regras!$J$26,0)))</f>
        <v>5</v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>
        <f>IF(OR(Copa2022!F28="",G20=""),"",
IF(AND(Copa2022!F28=Aurea!G20,Copa2022!H28=Aurea!I20),Regras!$J$25,IF(Y20=Regras!F42,Regras!$J$26,0)))</f>
        <v>5</v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M21" s="495"/>
      <c r="N21" s="495">
        <f>IF(OR(Copa2022!F29="",G21=""),"",
IF(AND(Copa2022!F29=Aurea!G21,Copa2022!H29=Aurea!I21),Regras!$J$25,IF(Y21=Regras!F43,Regras!$J$26,0)))</f>
        <v>0</v>
      </c>
      <c r="O21" s="533" t="s">
        <v>51</v>
      </c>
      <c r="P21" s="534"/>
      <c r="Q21" s="324">
        <f>IF(Copa2022!F34="","",IF(Copa2022!O30=Aurea!P22,Regras!$J$27,0))</f>
        <v>0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IF(AND(Copa2022!F30=Aurea!G22,Copa2022!H30=Aurea!I22),Regras!$J$25,IF(Y22=Regras!F44,Regras!$J$26,0)))</f>
        <v>5</v>
      </c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IF(AND(Copa2022!F31=Aurea!G23,Copa2022!H31=Aurea!I23),Regras!$J$25,IF(Y23=Regras!F45,Regras!$J$26,0)))</f>
        <v>0</v>
      </c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M24" s="495"/>
      <c r="N24" s="495">
        <f>IF(OR(Copa2022!F32="",G24=""),"",
IF(AND(Copa2022!F32=Aurea!G24,Copa2022!H32=Aurea!I24),Regras!$J$25,IF(Y24=Regras!F46,Regras!$J$26,0)))</f>
        <v>0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M25" s="495"/>
      <c r="N25" s="495">
        <f>IF(OR(Copa2022!F33="",G25=""),"",
IF(AND(Copa2022!F33=Aurea!G25,Copa2022!H33=Aurea!I25),Regras!$J$25,IF(Y25=Regras!F47,Regras!$J$26,0)))</f>
        <v>0</v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M26" s="495"/>
      <c r="N26" s="495">
        <f>IF(OR(Copa2022!F34="",G26=""),"",
IF(AND(Copa2022!F34=Aurea!G26,Copa2022!H34=Aurea!I26),Regras!$J$25,IF(Y26=Regras!F48,Regras!$J$26,0)))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IF(AND(Copa2022!F35=Aurea!G27,Copa2022!H35=Aurea!I27),Regras!$J$25,IF(Y27=Regras!F49,Regras!$J$26,0)))</f>
        <v>0</v>
      </c>
      <c r="O27" s="533" t="s">
        <v>53</v>
      </c>
      <c r="P27" s="534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M28" s="495"/>
      <c r="N28" s="495">
        <f>IF(OR(Copa2022!F36="",G28=""),"",
IF(AND(Copa2022!F36=Aurea!G28,Copa2022!H36=Aurea!I28),Regras!$J$25,IF(Y28=Regras!F50,Regras!$J$26,0)))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IF(AND(Copa2022!F37=Aurea!G29,Copa2022!H37=Aurea!I29),Regras!$J$25,IF(Y29=Regras!F51,Regras!$J$26,0)))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M30" s="495"/>
      <c r="N30" s="495">
        <f>IF(OR(Copa2022!F38="",G30=""),"",
IF(AND(Copa2022!F38=Aurea!G30,Copa2022!H38=Aurea!I30),Regras!$J$25,IF(Y30=Regras!F52,Regras!$J$26,0)))</f>
        <v>0</v>
      </c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M31" s="495"/>
      <c r="N31" s="495" t="str">
        <f>IF(OR(Copa2022!F39="",G31=""),"",
IF(AND(Copa2022!F39=Aurea!G31,Copa2022!H39=Aurea!I31),Regras!$J$25,IF(Y31=Regras!F53,Regras!$J$26,0)))</f>
        <v/>
      </c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IF(AND(Copa2022!F40=Aurea!G32,Copa2022!H40=Aurea!I32),Regras!$J$25,IF(Y32=Regras!F54,Regras!$J$26,0)))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M33" s="495"/>
      <c r="N33" s="495">
        <f>IF(OR(Copa2022!F41="",G33=""),"",
IF(AND(Copa2022!F41=Aurea!G33,Copa2022!H41=Aurea!I33),Regras!$J$25,IF(Y33=Regras!F55,Regras!$J$26,0)))</f>
        <v>0</v>
      </c>
      <c r="O33" s="533" t="s">
        <v>56</v>
      </c>
      <c r="P33" s="534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M34" s="495"/>
      <c r="N34" s="495">
        <f>IF(OR(Copa2022!F42="",G34=""),"",
IF(AND(Copa2022!F42=Aurea!G34,Copa2022!H42=Aurea!I34),Regras!$J$25,IF(Y34=Regras!F56,Regras!$J$26,0)))</f>
        <v>5</v>
      </c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IF(AND(Copa2022!F43=Aurea!G35,Copa2022!H43=Aurea!I35),Regras!$J$25,IF(Y35=Regras!F57,Regras!$J$26,0)))</f>
        <v>0</v>
      </c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M36" s="495"/>
      <c r="N36" s="495">
        <f>IF(OR(Copa2022!F44="",G36=""),"",
IF(AND(Copa2022!F44=Aurea!G36,Copa2022!H44=Aurea!I36),Regras!$J$25,IF(Y36=Regras!F58,Regras!$J$26,0)))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IF(AND(Copa2022!F45=Aurea!G37,Copa2022!H45=Aurea!I37),Regras!$J$25,IF(Y37=Regras!F59,Regras!$J$26,0)))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M38" s="495"/>
      <c r="N38" s="495" t="str">
        <f>IF(OR(Copa2022!F46="",G38=""),"",
IF(AND(Copa2022!F46=Aurea!G38,Copa2022!H46=Aurea!I38),Regras!$J$25,IF(Y38=Regras!F60,Regras!$J$26,0)))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M39" s="495"/>
      <c r="N39" s="495">
        <f>IF(OR(Copa2022!F47="",G39=""),"",
IF(AND(Copa2022!F47=Aurea!G39,Copa2022!H47=Aurea!I39),Regras!$J$25,IF(Y39=Regras!F61,Regras!$J$26,0)))</f>
        <v>5</v>
      </c>
      <c r="O39" s="533" t="s">
        <v>58</v>
      </c>
      <c r="P39" s="534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IF(AND(Copa2022!F48=Aurea!G40,Copa2022!H48=Aurea!I40),Regras!$J$25,IF(Y40=Regras!F62,Regras!$J$26,0)))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IF(AND(Copa2022!F49=Aurea!G41,Copa2022!H49=Aurea!I41),Regras!$J$25,IF(Y41=Regras!F63,Regras!$J$26,0)))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M42" s="495"/>
      <c r="N42" s="495">
        <f>IF(OR(Copa2022!F50="",G42=""),"",
IF(AND(Copa2022!F50=Aurea!G42,Copa2022!H50=Aurea!I42),Regras!$J$25,IF(Y42=Regras!F64,Regras!$J$26,0)))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IF(AND(Copa2022!F51=Aurea!G43,Copa2022!H51=Aurea!I43),Regras!$J$25,IF(Y43=Regras!F65,Regras!$J$26,0)))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M44" s="495"/>
      <c r="N44" s="495" t="str">
        <f>IF(OR(Copa2022!F52="",G44=""),"",
IF(AND(Copa2022!F52=Aurea!G44,Copa2022!H52=Aurea!I44),Regras!$J$25,IF(Y44=Regras!F66,Regras!$J$26,0)))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IF(AND(Copa2022!F53=Aurea!G45,Copa2022!H53=Aurea!I45),Regras!$J$25,IF(Y45=Regras!F67,Regras!$J$26,0)))</f>
        <v>0</v>
      </c>
      <c r="O45" s="533" t="s">
        <v>59</v>
      </c>
      <c r="P45" s="534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M46" s="495"/>
      <c r="N46" s="495">
        <f>IF(OR(Copa2022!F54="",G46=""),"",
IF(AND(Copa2022!F54=Aurea!G46,Copa2022!H54=Aurea!I46),Regras!$J$25,IF(Y46=Regras!F68,Regras!$J$26,0)))</f>
        <v>10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M47" s="495"/>
      <c r="N47" s="495">
        <f>IF(OR(Copa2022!F55="",G47=""),"",
IF(AND(Copa2022!F55=Aurea!G47,Copa2022!H55=Aurea!I47),Regras!$J$25,IF(Y47=Regras!F69,Regras!$J$26,0)))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IF(AND(Copa2022!F56=Aurea!G48,Copa2022!H56=Aurea!I48),Regras!$J$25,IF(Y48=Regras!F70,Regras!$J$26,0)))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M49" s="495"/>
      <c r="N49" s="495" t="str">
        <f>IF(OR(Copa2022!F57="",G49=""),"",
IF(AND(Copa2022!F57=Aurea!G49,Copa2022!H57=Aurea!I49),Regras!$J$25,IF(Y49=Regras!F71,Regras!$J$26,0)))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M50" s="495"/>
      <c r="N50" s="495" t="str">
        <f>IF(OR(Copa2022!F58="",G50=""),"",
IF(AND(Copa2022!F58=Aurea!G50,Copa2022!H58=Aurea!I50),Regras!$J$25,IF(Y50=Regras!F72,Regras!$J$26,0)))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A54" s="60" t="s">
        <v>325</v>
      </c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A55" s="60" t="s">
        <v>326</v>
      </c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A56" s="60" t="s">
        <v>327</v>
      </c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A57" s="60" t="s">
        <v>328</v>
      </c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60" t="s">
        <v>329</v>
      </c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A59" s="60" t="s">
        <v>330</v>
      </c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A60" s="60" t="s">
        <v>331</v>
      </c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A61" s="60" t="s">
        <v>332</v>
      </c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A63" s="60" t="s">
        <v>333</v>
      </c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60" t="s">
        <v>334</v>
      </c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60" t="s">
        <v>335</v>
      </c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A66" s="60" t="s">
        <v>336</v>
      </c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A68" s="60" t="s">
        <v>337</v>
      </c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A69" s="60" t="s">
        <v>338</v>
      </c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A71" s="60" t="s">
        <v>339</v>
      </c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A73" s="62" t="s">
        <v>340</v>
      </c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L72:M72"/>
    <mergeCell ref="B45:B50"/>
    <mergeCell ref="C52:M52"/>
    <mergeCell ref="L53:M53"/>
    <mergeCell ref="L62:M62"/>
    <mergeCell ref="L67:M67"/>
    <mergeCell ref="L70:M70"/>
    <mergeCell ref="O33:P33"/>
    <mergeCell ref="B27:B32"/>
    <mergeCell ref="O27:P27"/>
    <mergeCell ref="B33:B38"/>
    <mergeCell ref="O45:P45"/>
    <mergeCell ref="B39:B44"/>
    <mergeCell ref="O39:P39"/>
    <mergeCell ref="O9:P9"/>
    <mergeCell ref="B3:B8"/>
    <mergeCell ref="O3:P3"/>
    <mergeCell ref="B9:B14"/>
    <mergeCell ref="O21:P21"/>
    <mergeCell ref="B15:B20"/>
    <mergeCell ref="O15:P15"/>
    <mergeCell ref="B21:B26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06" priority="50" stopIfTrue="1" operator="equal">
      <formula>#REF!</formula>
    </cfRule>
  </conditionalFormatting>
  <conditionalFormatting sqref="M54:N54 N55:N61">
    <cfRule type="expression" dxfId="805" priority="49">
      <formula>$H$14="penaltis"</formula>
    </cfRule>
  </conditionalFormatting>
  <conditionalFormatting sqref="L55:M55">
    <cfRule type="expression" dxfId="804" priority="48">
      <formula>$H$15="penaltis"</formula>
    </cfRule>
  </conditionalFormatting>
  <conditionalFormatting sqref="L56:M56">
    <cfRule type="expression" dxfId="803" priority="47">
      <formula>$H$16="penaltis"</formula>
    </cfRule>
  </conditionalFormatting>
  <conditionalFormatting sqref="L57:M57">
    <cfRule type="expression" dxfId="802" priority="46">
      <formula>$H$17="penaltis"</formula>
    </cfRule>
  </conditionalFormatting>
  <conditionalFormatting sqref="L58:M58">
    <cfRule type="expression" dxfId="801" priority="45">
      <formula>$H$18="penaltis"</formula>
    </cfRule>
  </conditionalFormatting>
  <conditionalFormatting sqref="L59:M59">
    <cfRule type="expression" dxfId="800" priority="44">
      <formula>$H$19="penaltis"</formula>
    </cfRule>
  </conditionalFormatting>
  <conditionalFormatting sqref="L60:M60">
    <cfRule type="expression" dxfId="799" priority="43">
      <formula>$H$20="penaltis"</formula>
    </cfRule>
  </conditionalFormatting>
  <conditionalFormatting sqref="L61:M61">
    <cfRule type="expression" dxfId="798" priority="42">
      <formula>$H$21="penaltis"</formula>
    </cfRule>
  </conditionalFormatting>
  <conditionalFormatting sqref="N63">
    <cfRule type="expression" dxfId="797" priority="41">
      <formula>$H$23="penaltis"</formula>
    </cfRule>
  </conditionalFormatting>
  <conditionalFormatting sqref="N64">
    <cfRule type="expression" dxfId="796" priority="40" stopIfTrue="1">
      <formula>$H$24="penaltis"</formula>
    </cfRule>
  </conditionalFormatting>
  <conditionalFormatting sqref="N65">
    <cfRule type="expression" dxfId="795" priority="39" stopIfTrue="1">
      <formula>$H$25="penaltis"</formula>
    </cfRule>
  </conditionalFormatting>
  <conditionalFormatting sqref="N66">
    <cfRule type="expression" dxfId="794" priority="38" stopIfTrue="1">
      <formula>$H$26="penaltis"</formula>
    </cfRule>
  </conditionalFormatting>
  <conditionalFormatting sqref="N68">
    <cfRule type="expression" dxfId="793" priority="37" stopIfTrue="1">
      <formula>$H$28="penaltis"</formula>
    </cfRule>
  </conditionalFormatting>
  <conditionalFormatting sqref="N69">
    <cfRule type="expression" dxfId="792" priority="36" stopIfTrue="1">
      <formula>$H$29="penaltis"</formula>
    </cfRule>
  </conditionalFormatting>
  <conditionalFormatting sqref="N71">
    <cfRule type="expression" dxfId="791" priority="35" stopIfTrue="1">
      <formula>$H$31="penaltis"</formula>
    </cfRule>
  </conditionalFormatting>
  <conditionalFormatting sqref="N73">
    <cfRule type="expression" dxfId="790" priority="34" stopIfTrue="1">
      <formula>$H$33="penaltis"</formula>
    </cfRule>
  </conditionalFormatting>
  <conditionalFormatting sqref="L54:M54">
    <cfRule type="expression" dxfId="789" priority="33" stopIfTrue="1">
      <formula>$K$54="penaltis"</formula>
    </cfRule>
  </conditionalFormatting>
  <conditionalFormatting sqref="L55:M55">
    <cfRule type="expression" dxfId="788" priority="32" stopIfTrue="1">
      <formula>$K$55="penaltis"</formula>
    </cfRule>
  </conditionalFormatting>
  <conditionalFormatting sqref="L56:M56">
    <cfRule type="expression" dxfId="787" priority="31" stopIfTrue="1">
      <formula>$K$56="penaltis"</formula>
    </cfRule>
  </conditionalFormatting>
  <conditionalFormatting sqref="L57:M57">
    <cfRule type="expression" dxfId="786" priority="30" stopIfTrue="1">
      <formula>$K$57="penaltis"</formula>
    </cfRule>
  </conditionalFormatting>
  <conditionalFormatting sqref="L58:M58">
    <cfRule type="expression" dxfId="785" priority="29" stopIfTrue="1">
      <formula>$K$58="penaltis"</formula>
    </cfRule>
  </conditionalFormatting>
  <conditionalFormatting sqref="L59:M59">
    <cfRule type="expression" dxfId="784" priority="28" stopIfTrue="1">
      <formula>$K$59="penaltis"</formula>
    </cfRule>
  </conditionalFormatting>
  <conditionalFormatting sqref="L60:M60">
    <cfRule type="expression" dxfId="783" priority="27" stopIfTrue="1">
      <formula>$K$60="penaltis"</formula>
    </cfRule>
  </conditionalFormatting>
  <conditionalFormatting sqref="L61:M61">
    <cfRule type="expression" dxfId="782" priority="26" stopIfTrue="1">
      <formula>$K$61="penaltis"</formula>
    </cfRule>
  </conditionalFormatting>
  <conditionalFormatting sqref="L63:M63">
    <cfRule type="expression" dxfId="781" priority="25">
      <formula>$K$63="penaltis"</formula>
    </cfRule>
  </conditionalFormatting>
  <conditionalFormatting sqref="L64:M64">
    <cfRule type="expression" dxfId="780" priority="24">
      <formula>$K$64="penaltis"</formula>
    </cfRule>
  </conditionalFormatting>
  <conditionalFormatting sqref="L65:M65">
    <cfRule type="expression" dxfId="779" priority="23">
      <formula>$K$65="penaltis"</formula>
    </cfRule>
  </conditionalFormatting>
  <conditionalFormatting sqref="L66:M66">
    <cfRule type="expression" dxfId="778" priority="22">
      <formula>$K$66="penaltis"</formula>
    </cfRule>
  </conditionalFormatting>
  <conditionalFormatting sqref="L68:M68">
    <cfRule type="expression" dxfId="777" priority="21">
      <formula>$K$68="penaltis"</formula>
    </cfRule>
  </conditionalFormatting>
  <conditionalFormatting sqref="L69:M69">
    <cfRule type="expression" dxfId="776" priority="20">
      <formula>$K$69="penaltis"</formula>
    </cfRule>
  </conditionalFormatting>
  <conditionalFormatting sqref="L71:M71">
    <cfRule type="expression" dxfId="775" priority="19">
      <formula>$K$71="penaltis"</formula>
    </cfRule>
  </conditionalFormatting>
  <conditionalFormatting sqref="L73:M73">
    <cfRule type="expression" dxfId="774" priority="18">
      <formula>$K$73="penaltis"</formula>
    </cfRule>
  </conditionalFormatting>
  <conditionalFormatting sqref="O4:X5">
    <cfRule type="expression" dxfId="773" priority="17">
      <formula>$R$8=12</formula>
    </cfRule>
  </conditionalFormatting>
  <conditionalFormatting sqref="O10:X11">
    <cfRule type="expression" dxfId="772" priority="16">
      <formula>$R$14=12</formula>
    </cfRule>
  </conditionalFormatting>
  <conditionalFormatting sqref="O16:X17">
    <cfRule type="expression" dxfId="771" priority="15">
      <formula>$R$20=12</formula>
    </cfRule>
  </conditionalFormatting>
  <conditionalFormatting sqref="O22:X23">
    <cfRule type="expression" dxfId="770" priority="14">
      <formula>$R$26=12</formula>
    </cfRule>
  </conditionalFormatting>
  <conditionalFormatting sqref="O28:X29">
    <cfRule type="expression" dxfId="769" priority="13">
      <formula>$R$32=12</formula>
    </cfRule>
  </conditionalFormatting>
  <conditionalFormatting sqref="O34:X35">
    <cfRule type="expression" dxfId="768" priority="12">
      <formula>$R$38=12</formula>
    </cfRule>
  </conditionalFormatting>
  <conditionalFormatting sqref="O40:X41">
    <cfRule type="expression" dxfId="767" priority="11">
      <formula>$R$44=12</formula>
    </cfRule>
  </conditionalFormatting>
  <conditionalFormatting sqref="O46:X47">
    <cfRule type="expression" dxfId="766" priority="10">
      <formula>$R$50=12</formula>
    </cfRule>
  </conditionalFormatting>
  <conditionalFormatting sqref="F67:J73 B45 B9 B15 B21 B27 B33 B3 F3:F50 J3:J50">
    <cfRule type="cellIs" dxfId="765" priority="51" stopIfTrue="1" operator="equal">
      <formula>#REF!</formula>
    </cfRule>
  </conditionalFormatting>
  <conditionalFormatting sqref="B39">
    <cfRule type="cellIs" dxfId="764" priority="9" stopIfTrue="1" operator="equal">
      <formula>#REF!</formula>
    </cfRule>
  </conditionalFormatting>
  <conditionalFormatting sqref="F55:J62 F64:J66">
    <cfRule type="cellIs" dxfId="763" priority="7" stopIfTrue="1" operator="equal">
      <formula>$Y$7</formula>
    </cfRule>
  </conditionalFormatting>
  <conditionalFormatting sqref="F63">
    <cfRule type="cellIs" dxfId="762" priority="6" stopIfTrue="1" operator="equal">
      <formula>$Y$7</formula>
    </cfRule>
  </conditionalFormatting>
  <conditionalFormatting sqref="J63">
    <cfRule type="cellIs" dxfId="761" priority="5" stopIfTrue="1" operator="equal">
      <formula>$Y$7</formula>
    </cfRule>
  </conditionalFormatting>
  <conditionalFormatting sqref="F54">
    <cfRule type="cellIs" dxfId="760" priority="4" stopIfTrue="1" operator="equal">
      <formula>$Y$7</formula>
    </cfRule>
  </conditionalFormatting>
  <conditionalFormatting sqref="J54">
    <cfRule type="cellIs" dxfId="759" priority="3" stopIfTrue="1" operator="equal">
      <formula>$Y$7</formula>
    </cfRule>
  </conditionalFormatting>
  <conditionalFormatting sqref="H54">
    <cfRule type="cellIs" dxfId="758" priority="2" stopIfTrue="1" operator="equal">
      <formula>$Y$7</formula>
    </cfRule>
  </conditionalFormatting>
  <conditionalFormatting sqref="H63">
    <cfRule type="cellIs" dxfId="75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7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W117"/>
  <sheetViews>
    <sheetView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IF(Copa2022!F16="","",IF(Copa2022!O12=Rubiane!P4,Regras!$J$27,0))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IF(Copa2022!F22="","",IF(Copa2022!O18=Rubiane!P10,Regras!$J$27,0))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0</v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IF(Copa2022!F28="","",IF(Copa2022!O24=Rubiane!P16,Regras!$J$27,0))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Arábia Saudita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5</v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3" t="s">
        <v>51</v>
      </c>
      <c r="P21" s="534"/>
      <c r="Q21" s="324">
        <f>IF(Copa2022!F34="","",IF(Copa2022!O30=Rubiane!P22,Regras!$J$27,0))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empate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:B8"/>
    <mergeCell ref="O3:P3"/>
    <mergeCell ref="L2:M2"/>
    <mergeCell ref="B1:B2"/>
    <mergeCell ref="C1:C2"/>
    <mergeCell ref="D1:D2"/>
    <mergeCell ref="E1:E2"/>
    <mergeCell ref="F1:J2"/>
    <mergeCell ref="B21:B26"/>
    <mergeCell ref="O21:P21"/>
    <mergeCell ref="B15:B20"/>
    <mergeCell ref="O15:P15"/>
    <mergeCell ref="B9:B14"/>
    <mergeCell ref="O9:P9"/>
    <mergeCell ref="B39:B44"/>
    <mergeCell ref="O39:P39"/>
    <mergeCell ref="B33:B38"/>
    <mergeCell ref="O33:P33"/>
    <mergeCell ref="B27:B32"/>
    <mergeCell ref="O27:P27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56" priority="58" stopIfTrue="1" operator="equal">
      <formula>#REF!</formula>
    </cfRule>
  </conditionalFormatting>
  <conditionalFormatting sqref="M54:N54 N55:N61">
    <cfRule type="expression" dxfId="755" priority="57">
      <formula>$H$14="penaltis"</formula>
    </cfRule>
  </conditionalFormatting>
  <conditionalFormatting sqref="L55:M55">
    <cfRule type="expression" dxfId="754" priority="56">
      <formula>$H$15="penaltis"</formula>
    </cfRule>
  </conditionalFormatting>
  <conditionalFormatting sqref="L56:M56">
    <cfRule type="expression" dxfId="753" priority="55">
      <formula>$H$16="penaltis"</formula>
    </cfRule>
  </conditionalFormatting>
  <conditionalFormatting sqref="L57:M57">
    <cfRule type="expression" dxfId="752" priority="54">
      <formula>$H$17="penaltis"</formula>
    </cfRule>
  </conditionalFormatting>
  <conditionalFormatting sqref="L58:M58">
    <cfRule type="expression" dxfId="751" priority="53">
      <formula>$H$18="penaltis"</formula>
    </cfRule>
  </conditionalFormatting>
  <conditionalFormatting sqref="L59:M59">
    <cfRule type="expression" dxfId="750" priority="52">
      <formula>$H$19="penaltis"</formula>
    </cfRule>
  </conditionalFormatting>
  <conditionalFormatting sqref="L60:M60">
    <cfRule type="expression" dxfId="749" priority="51">
      <formula>$H$20="penaltis"</formula>
    </cfRule>
  </conditionalFormatting>
  <conditionalFormatting sqref="L61:M61">
    <cfRule type="expression" dxfId="748" priority="50">
      <formula>$H$21="penaltis"</formula>
    </cfRule>
  </conditionalFormatting>
  <conditionalFormatting sqref="N63">
    <cfRule type="expression" dxfId="747" priority="49">
      <formula>$H$23="penaltis"</formula>
    </cfRule>
  </conditionalFormatting>
  <conditionalFormatting sqref="N64">
    <cfRule type="expression" dxfId="746" priority="48" stopIfTrue="1">
      <formula>$H$24="penaltis"</formula>
    </cfRule>
  </conditionalFormatting>
  <conditionalFormatting sqref="N65">
    <cfRule type="expression" dxfId="745" priority="47" stopIfTrue="1">
      <formula>$H$25="penaltis"</formula>
    </cfRule>
  </conditionalFormatting>
  <conditionalFormatting sqref="N66">
    <cfRule type="expression" dxfId="744" priority="46" stopIfTrue="1">
      <formula>$H$26="penaltis"</formula>
    </cfRule>
  </conditionalFormatting>
  <conditionalFormatting sqref="N68">
    <cfRule type="expression" dxfId="743" priority="45" stopIfTrue="1">
      <formula>$H$28="penaltis"</formula>
    </cfRule>
  </conditionalFormatting>
  <conditionalFormatting sqref="N69">
    <cfRule type="expression" dxfId="742" priority="44" stopIfTrue="1">
      <formula>$H$29="penaltis"</formula>
    </cfRule>
  </conditionalFormatting>
  <conditionalFormatting sqref="N71">
    <cfRule type="expression" dxfId="741" priority="43" stopIfTrue="1">
      <formula>$H$31="penaltis"</formula>
    </cfRule>
  </conditionalFormatting>
  <conditionalFormatting sqref="N73">
    <cfRule type="expression" dxfId="740" priority="42" stopIfTrue="1">
      <formula>$H$33="penaltis"</formula>
    </cfRule>
  </conditionalFormatting>
  <conditionalFormatting sqref="L54:M54">
    <cfRule type="expression" dxfId="739" priority="41" stopIfTrue="1">
      <formula>$K$54="penaltis"</formula>
    </cfRule>
  </conditionalFormatting>
  <conditionalFormatting sqref="L55:M55">
    <cfRule type="expression" dxfId="738" priority="40" stopIfTrue="1">
      <formula>$K$55="penaltis"</formula>
    </cfRule>
  </conditionalFormatting>
  <conditionalFormatting sqref="L56:M56">
    <cfRule type="expression" dxfId="737" priority="39" stopIfTrue="1">
      <formula>$K$56="penaltis"</formula>
    </cfRule>
  </conditionalFormatting>
  <conditionalFormatting sqref="L57:M57">
    <cfRule type="expression" dxfId="736" priority="38" stopIfTrue="1">
      <formula>$K$57="penaltis"</formula>
    </cfRule>
  </conditionalFormatting>
  <conditionalFormatting sqref="L58:M58">
    <cfRule type="expression" dxfId="735" priority="37" stopIfTrue="1">
      <formula>$K$58="penaltis"</formula>
    </cfRule>
  </conditionalFormatting>
  <conditionalFormatting sqref="L59:M59">
    <cfRule type="expression" dxfId="734" priority="36" stopIfTrue="1">
      <formula>$K$59="penaltis"</formula>
    </cfRule>
  </conditionalFormatting>
  <conditionalFormatting sqref="L60:M60">
    <cfRule type="expression" dxfId="733" priority="35" stopIfTrue="1">
      <formula>$K$60="penaltis"</formula>
    </cfRule>
  </conditionalFormatting>
  <conditionalFormatting sqref="L61:M61">
    <cfRule type="expression" dxfId="732" priority="34" stopIfTrue="1">
      <formula>$K$61="penaltis"</formula>
    </cfRule>
  </conditionalFormatting>
  <conditionalFormatting sqref="L63:M63">
    <cfRule type="expression" dxfId="731" priority="33">
      <formula>$K$63="penaltis"</formula>
    </cfRule>
  </conditionalFormatting>
  <conditionalFormatting sqref="L64:M64">
    <cfRule type="expression" dxfId="730" priority="32">
      <formula>$K$64="penaltis"</formula>
    </cfRule>
  </conditionalFormatting>
  <conditionalFormatting sqref="L65:M65">
    <cfRule type="expression" dxfId="729" priority="31">
      <formula>$K$65="penaltis"</formula>
    </cfRule>
  </conditionalFormatting>
  <conditionalFormatting sqref="L66:M66">
    <cfRule type="expression" dxfId="728" priority="30">
      <formula>$K$66="penaltis"</formula>
    </cfRule>
  </conditionalFormatting>
  <conditionalFormatting sqref="L68:M68">
    <cfRule type="expression" dxfId="727" priority="29">
      <formula>$K$68="penaltis"</formula>
    </cfRule>
  </conditionalFormatting>
  <conditionalFormatting sqref="L69:M69">
    <cfRule type="expression" dxfId="726" priority="28">
      <formula>$K$69="penaltis"</formula>
    </cfRule>
  </conditionalFormatting>
  <conditionalFormatting sqref="L71:M71">
    <cfRule type="expression" dxfId="725" priority="27">
      <formula>$K$71="penaltis"</formula>
    </cfRule>
  </conditionalFormatting>
  <conditionalFormatting sqref="L73:M73">
    <cfRule type="expression" dxfId="724" priority="26">
      <formula>$K$73="penaltis"</formula>
    </cfRule>
  </conditionalFormatting>
  <conditionalFormatting sqref="Q4:X5">
    <cfRule type="expression" dxfId="723" priority="25">
      <formula>$R$8=12</formula>
    </cfRule>
  </conditionalFormatting>
  <conditionalFormatting sqref="Q10:X11">
    <cfRule type="expression" dxfId="722" priority="24">
      <formula>$R$14=12</formula>
    </cfRule>
  </conditionalFormatting>
  <conditionalFormatting sqref="Q16:X17">
    <cfRule type="expression" dxfId="721" priority="23">
      <formula>$R$20=12</formula>
    </cfRule>
  </conditionalFormatting>
  <conditionalFormatting sqref="Q22:X23">
    <cfRule type="expression" dxfId="720" priority="22">
      <formula>$R$26=12</formula>
    </cfRule>
  </conditionalFormatting>
  <conditionalFormatting sqref="Q28:X29">
    <cfRule type="expression" dxfId="719" priority="21">
      <formula>$R$32=12</formula>
    </cfRule>
  </conditionalFormatting>
  <conditionalFormatting sqref="Q34:X35">
    <cfRule type="expression" dxfId="718" priority="20">
      <formula>$R$38=12</formula>
    </cfRule>
  </conditionalFormatting>
  <conditionalFormatting sqref="Q40:X41">
    <cfRule type="expression" dxfId="717" priority="19">
      <formula>$R$44=12</formula>
    </cfRule>
  </conditionalFormatting>
  <conditionalFormatting sqref="Q46:X47">
    <cfRule type="expression" dxfId="716" priority="18">
      <formula>$R$50=12</formula>
    </cfRule>
  </conditionalFormatting>
  <conditionalFormatting sqref="F67:J73 B45 B9 B15 B21 B27 B33 B3 F3:F50 J3:J50">
    <cfRule type="cellIs" dxfId="715" priority="59" stopIfTrue="1" operator="equal">
      <formula>#REF!</formula>
    </cfRule>
  </conditionalFormatting>
  <conditionalFormatting sqref="B39">
    <cfRule type="cellIs" dxfId="714" priority="17" stopIfTrue="1" operator="equal">
      <formula>#REF!</formula>
    </cfRule>
  </conditionalFormatting>
  <conditionalFormatting sqref="O4:P5">
    <cfRule type="expression" dxfId="713" priority="15">
      <formula>$R$16=12</formula>
    </cfRule>
  </conditionalFormatting>
  <conditionalFormatting sqref="O10:P11">
    <cfRule type="expression" dxfId="712" priority="14">
      <formula>$R$22=12</formula>
    </cfRule>
  </conditionalFormatting>
  <conditionalFormatting sqref="O16:P17">
    <cfRule type="expression" dxfId="711" priority="13">
      <formula>$R$28=12</formula>
    </cfRule>
  </conditionalFormatting>
  <conditionalFormatting sqref="O22:P23">
    <cfRule type="expression" dxfId="710" priority="12">
      <formula>$R$34=12</formula>
    </cfRule>
  </conditionalFormatting>
  <conditionalFormatting sqref="O28:P29">
    <cfRule type="expression" dxfId="709" priority="11">
      <formula>$R$40=12</formula>
    </cfRule>
  </conditionalFormatting>
  <conditionalFormatting sqref="O34:P35">
    <cfRule type="expression" dxfId="708" priority="10">
      <formula>$R$46=12</formula>
    </cfRule>
  </conditionalFormatting>
  <conditionalFormatting sqref="O40:P41">
    <cfRule type="expression" dxfId="707" priority="9">
      <formula>$R$52=12</formula>
    </cfRule>
  </conditionalFormatting>
  <conditionalFormatting sqref="O46:P47">
    <cfRule type="expression" dxfId="706" priority="8">
      <formula>$R$58=12</formula>
    </cfRule>
  </conditionalFormatting>
  <conditionalFormatting sqref="F55:J62 F64:J66">
    <cfRule type="cellIs" dxfId="705" priority="7" stopIfTrue="1" operator="equal">
      <formula>$Y$7</formula>
    </cfRule>
  </conditionalFormatting>
  <conditionalFormatting sqref="F63">
    <cfRule type="cellIs" dxfId="704" priority="6" stopIfTrue="1" operator="equal">
      <formula>$Y$7</formula>
    </cfRule>
  </conditionalFormatting>
  <conditionalFormatting sqref="J63">
    <cfRule type="cellIs" dxfId="703" priority="5" stopIfTrue="1" operator="equal">
      <formula>$Y$7</formula>
    </cfRule>
  </conditionalFormatting>
  <conditionalFormatting sqref="F54">
    <cfRule type="cellIs" dxfId="702" priority="4" stopIfTrue="1" operator="equal">
      <formula>$Y$7</formula>
    </cfRule>
  </conditionalFormatting>
  <conditionalFormatting sqref="J54">
    <cfRule type="cellIs" dxfId="701" priority="3" stopIfTrue="1" operator="equal">
      <formula>$Y$7</formula>
    </cfRule>
  </conditionalFormatting>
  <conditionalFormatting sqref="H54">
    <cfRule type="cellIs" dxfId="700" priority="2" stopIfTrue="1" operator="equal">
      <formula>$Y$7</formula>
    </cfRule>
  </conditionalFormatting>
  <conditionalFormatting sqref="H63">
    <cfRule type="cellIs" dxfId="69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8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W117"/>
  <sheetViews>
    <sheetView topLeftCell="A16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34</v>
      </c>
      <c r="P3" s="534"/>
      <c r="Q3" s="324">
        <f>IF(Copa2022!F16="","",IF(Copa2022!O12=Germano!P4,Regras!$J$27,0))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IF(Copa2022!F22="","",IF(Copa2022!O18=Germano!P10,Regras!$J$27,0))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10</v>
      </c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IF(Copa2022!F28="","",IF(Copa2022!O24=Germano!P16,Regras!$J$27,0))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10</v>
      </c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5</v>
      </c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IF(Copa2022!F34="","",IF(Copa2022!O30=Germano!P22,Regras!$J$27,0))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3" t="s">
        <v>58</v>
      </c>
      <c r="P39" s="534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98" priority="58" stopIfTrue="1" operator="equal">
      <formula>#REF!</formula>
    </cfRule>
  </conditionalFormatting>
  <conditionalFormatting sqref="M54:N54 N55:N61">
    <cfRule type="expression" dxfId="697" priority="57">
      <formula>$H$14="penaltis"</formula>
    </cfRule>
  </conditionalFormatting>
  <conditionalFormatting sqref="L55:M55">
    <cfRule type="expression" dxfId="696" priority="56">
      <formula>$H$15="penaltis"</formula>
    </cfRule>
  </conditionalFormatting>
  <conditionalFormatting sqref="L56:M56">
    <cfRule type="expression" dxfId="695" priority="55">
      <formula>$H$16="penaltis"</formula>
    </cfRule>
  </conditionalFormatting>
  <conditionalFormatting sqref="L57:M57">
    <cfRule type="expression" dxfId="694" priority="54">
      <formula>$H$17="penaltis"</formula>
    </cfRule>
  </conditionalFormatting>
  <conditionalFormatting sqref="L58:M58">
    <cfRule type="expression" dxfId="693" priority="53">
      <formula>$H$18="penaltis"</formula>
    </cfRule>
  </conditionalFormatting>
  <conditionalFormatting sqref="L59:M59">
    <cfRule type="expression" dxfId="692" priority="52">
      <formula>$H$19="penaltis"</formula>
    </cfRule>
  </conditionalFormatting>
  <conditionalFormatting sqref="L60:M60">
    <cfRule type="expression" dxfId="691" priority="51">
      <formula>$H$20="penaltis"</formula>
    </cfRule>
  </conditionalFormatting>
  <conditionalFormatting sqref="L61:M61">
    <cfRule type="expression" dxfId="690" priority="50">
      <formula>$H$21="penaltis"</formula>
    </cfRule>
  </conditionalFormatting>
  <conditionalFormatting sqref="N63">
    <cfRule type="expression" dxfId="689" priority="49">
      <formula>$H$23="penaltis"</formula>
    </cfRule>
  </conditionalFormatting>
  <conditionalFormatting sqref="N64">
    <cfRule type="expression" dxfId="688" priority="48" stopIfTrue="1">
      <formula>$H$24="penaltis"</formula>
    </cfRule>
  </conditionalFormatting>
  <conditionalFormatting sqref="N65">
    <cfRule type="expression" dxfId="687" priority="47" stopIfTrue="1">
      <formula>$H$25="penaltis"</formula>
    </cfRule>
  </conditionalFormatting>
  <conditionalFormatting sqref="N66">
    <cfRule type="expression" dxfId="686" priority="46" stopIfTrue="1">
      <formula>$H$26="penaltis"</formula>
    </cfRule>
  </conditionalFormatting>
  <conditionalFormatting sqref="N68">
    <cfRule type="expression" dxfId="685" priority="45" stopIfTrue="1">
      <formula>$H$28="penaltis"</formula>
    </cfRule>
  </conditionalFormatting>
  <conditionalFormatting sqref="N69">
    <cfRule type="expression" dxfId="684" priority="44" stopIfTrue="1">
      <formula>$H$29="penaltis"</formula>
    </cfRule>
  </conditionalFormatting>
  <conditionalFormatting sqref="N71">
    <cfRule type="expression" dxfId="683" priority="43" stopIfTrue="1">
      <formula>$H$31="penaltis"</formula>
    </cfRule>
  </conditionalFormatting>
  <conditionalFormatting sqref="N73">
    <cfRule type="expression" dxfId="682" priority="42" stopIfTrue="1">
      <formula>$H$33="penaltis"</formula>
    </cfRule>
  </conditionalFormatting>
  <conditionalFormatting sqref="L54:M54">
    <cfRule type="expression" dxfId="681" priority="41" stopIfTrue="1">
      <formula>$K$54="penaltis"</formula>
    </cfRule>
  </conditionalFormatting>
  <conditionalFormatting sqref="L55:M55">
    <cfRule type="expression" dxfId="680" priority="40" stopIfTrue="1">
      <formula>$K$55="penaltis"</formula>
    </cfRule>
  </conditionalFormatting>
  <conditionalFormatting sqref="L56:M56">
    <cfRule type="expression" dxfId="679" priority="39" stopIfTrue="1">
      <formula>$K$56="penaltis"</formula>
    </cfRule>
  </conditionalFormatting>
  <conditionalFormatting sqref="L57:M57">
    <cfRule type="expression" dxfId="678" priority="38" stopIfTrue="1">
      <formula>$K$57="penaltis"</formula>
    </cfRule>
  </conditionalFormatting>
  <conditionalFormatting sqref="L58:M58">
    <cfRule type="expression" dxfId="677" priority="37" stopIfTrue="1">
      <formula>$K$58="penaltis"</formula>
    </cfRule>
  </conditionalFormatting>
  <conditionalFormatting sqref="L59:M59">
    <cfRule type="expression" dxfId="676" priority="36" stopIfTrue="1">
      <formula>$K$59="penaltis"</formula>
    </cfRule>
  </conditionalFormatting>
  <conditionalFormatting sqref="L60:M60">
    <cfRule type="expression" dxfId="675" priority="35" stopIfTrue="1">
      <formula>$K$60="penaltis"</formula>
    </cfRule>
  </conditionalFormatting>
  <conditionalFormatting sqref="L61:M61">
    <cfRule type="expression" dxfId="674" priority="34" stopIfTrue="1">
      <formula>$K$61="penaltis"</formula>
    </cfRule>
  </conditionalFormatting>
  <conditionalFormatting sqref="L63:M63">
    <cfRule type="expression" dxfId="673" priority="33">
      <formula>$K$63="penaltis"</formula>
    </cfRule>
  </conditionalFormatting>
  <conditionalFormatting sqref="L64:M64">
    <cfRule type="expression" dxfId="672" priority="32">
      <formula>$K$64="penaltis"</formula>
    </cfRule>
  </conditionalFormatting>
  <conditionalFormatting sqref="L65:M65">
    <cfRule type="expression" dxfId="671" priority="31">
      <formula>$K$65="penaltis"</formula>
    </cfRule>
  </conditionalFormatting>
  <conditionalFormatting sqref="L66:M66">
    <cfRule type="expression" dxfId="670" priority="30">
      <formula>$K$66="penaltis"</formula>
    </cfRule>
  </conditionalFormatting>
  <conditionalFormatting sqref="L68:M68">
    <cfRule type="expression" dxfId="669" priority="29">
      <formula>$K$68="penaltis"</formula>
    </cfRule>
  </conditionalFormatting>
  <conditionalFormatting sqref="L69:M69">
    <cfRule type="expression" dxfId="668" priority="28">
      <formula>$K$69="penaltis"</formula>
    </cfRule>
  </conditionalFormatting>
  <conditionalFormatting sqref="L71:M71">
    <cfRule type="expression" dxfId="667" priority="27">
      <formula>$K$71="penaltis"</formula>
    </cfRule>
  </conditionalFormatting>
  <conditionalFormatting sqref="L73:M73">
    <cfRule type="expression" dxfId="666" priority="26">
      <formula>$K$73="penaltis"</formula>
    </cfRule>
  </conditionalFormatting>
  <conditionalFormatting sqref="Q4:X5">
    <cfRule type="expression" dxfId="665" priority="25">
      <formula>$R$8=12</formula>
    </cfRule>
  </conditionalFormatting>
  <conditionalFormatting sqref="Q10:X11">
    <cfRule type="expression" dxfId="664" priority="24">
      <formula>$R$14=12</formula>
    </cfRule>
  </conditionalFormatting>
  <conditionalFormatting sqref="Q16:X17">
    <cfRule type="expression" dxfId="663" priority="23">
      <formula>$R$20=12</formula>
    </cfRule>
  </conditionalFormatting>
  <conditionalFormatting sqref="Q22:X23">
    <cfRule type="expression" dxfId="662" priority="22">
      <formula>$R$26=12</formula>
    </cfRule>
  </conditionalFormatting>
  <conditionalFormatting sqref="Q28:X29">
    <cfRule type="expression" dxfId="661" priority="21">
      <formula>$R$32=12</formula>
    </cfRule>
  </conditionalFormatting>
  <conditionalFormatting sqref="Q34:X35">
    <cfRule type="expression" dxfId="660" priority="20">
      <formula>$R$38=12</formula>
    </cfRule>
  </conditionalFormatting>
  <conditionalFormatting sqref="Q40:X41">
    <cfRule type="expression" dxfId="659" priority="19">
      <formula>$R$44=12</formula>
    </cfRule>
  </conditionalFormatting>
  <conditionalFormatting sqref="Q46:X47">
    <cfRule type="expression" dxfId="658" priority="18">
      <formula>$R$50=12</formula>
    </cfRule>
  </conditionalFormatting>
  <conditionalFormatting sqref="F67:J73 B45 B9 B15 B21 B27 B33 B3 F3:F50 J3:J50">
    <cfRule type="cellIs" dxfId="657" priority="59" stopIfTrue="1" operator="equal">
      <formula>#REF!</formula>
    </cfRule>
  </conditionalFormatting>
  <conditionalFormatting sqref="B39">
    <cfRule type="cellIs" dxfId="656" priority="17" stopIfTrue="1" operator="equal">
      <formula>#REF!</formula>
    </cfRule>
  </conditionalFormatting>
  <conditionalFormatting sqref="O4:P5">
    <cfRule type="expression" dxfId="655" priority="15">
      <formula>$R$16=12</formula>
    </cfRule>
  </conditionalFormatting>
  <conditionalFormatting sqref="O10:P11">
    <cfRule type="expression" dxfId="654" priority="14">
      <formula>$R$22=12</formula>
    </cfRule>
  </conditionalFormatting>
  <conditionalFormatting sqref="O16:P17">
    <cfRule type="expression" dxfId="653" priority="13">
      <formula>$R$28=12</formula>
    </cfRule>
  </conditionalFormatting>
  <conditionalFormatting sqref="O22:P23">
    <cfRule type="expression" dxfId="652" priority="12">
      <formula>$R$34=12</formula>
    </cfRule>
  </conditionalFormatting>
  <conditionalFormatting sqref="O28:P29">
    <cfRule type="expression" dxfId="651" priority="11">
      <formula>$R$40=12</formula>
    </cfRule>
  </conditionalFormatting>
  <conditionalFormatting sqref="O34:P35">
    <cfRule type="expression" dxfId="650" priority="10">
      <formula>$R$46=12</formula>
    </cfRule>
  </conditionalFormatting>
  <conditionalFormatting sqref="O40:P41">
    <cfRule type="expression" dxfId="649" priority="9">
      <formula>$R$52=12</formula>
    </cfRule>
  </conditionalFormatting>
  <conditionalFormatting sqref="O46:P47">
    <cfRule type="expression" dxfId="648" priority="8">
      <formula>$R$58=12</formula>
    </cfRule>
  </conditionalFormatting>
  <conditionalFormatting sqref="F55:J62 F64:J66">
    <cfRule type="cellIs" dxfId="647" priority="7" stopIfTrue="1" operator="equal">
      <formula>$Y$7</formula>
    </cfRule>
  </conditionalFormatting>
  <conditionalFormatting sqref="F63">
    <cfRule type="cellIs" dxfId="646" priority="6" stopIfTrue="1" operator="equal">
      <formula>$Y$7</formula>
    </cfRule>
  </conditionalFormatting>
  <conditionalFormatting sqref="J63">
    <cfRule type="cellIs" dxfId="645" priority="5" stopIfTrue="1" operator="equal">
      <formula>$Y$7</formula>
    </cfRule>
  </conditionalFormatting>
  <conditionalFormatting sqref="F54">
    <cfRule type="cellIs" dxfId="644" priority="4" stopIfTrue="1" operator="equal">
      <formula>$Y$7</formula>
    </cfRule>
  </conditionalFormatting>
  <conditionalFormatting sqref="J54">
    <cfRule type="cellIs" dxfId="643" priority="3" stopIfTrue="1" operator="equal">
      <formula>$Y$7</formula>
    </cfRule>
  </conditionalFormatting>
  <conditionalFormatting sqref="H54">
    <cfRule type="cellIs" dxfId="642" priority="2" stopIfTrue="1" operator="equal">
      <formula>$Y$7</formula>
    </cfRule>
  </conditionalFormatting>
  <conditionalFormatting sqref="H63">
    <cfRule type="cellIs" dxfId="64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9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W117"/>
  <sheetViews>
    <sheetView topLeftCell="A19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3" t="s">
        <v>198</v>
      </c>
      <c r="P3" s="557"/>
      <c r="Q3" s="324">
        <f>IF(Copa2022!F16="","",IF(Copa2022!O12=Albenice!P4,Regras!$J$27,0))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IF(Copa2022!F22="","",IF(Copa2022!O18=Albenice!P10,Regras!$J$27,0))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Irã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IF(Copa2022!F28="","",IF(Copa2022!O24=Albenice!P16,Regras!$J$27,0))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10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5</v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IF(Copa2022!F34="","",IF(Copa2022!O30=Albenice!P22,Regras!$J$27,0))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3" t="s">
        <v>56</v>
      </c>
      <c r="P33" s="534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5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40" priority="58" stopIfTrue="1" operator="equal">
      <formula>#REF!</formula>
    </cfRule>
  </conditionalFormatting>
  <conditionalFormatting sqref="M54:N54 N55:N61">
    <cfRule type="expression" dxfId="639" priority="57">
      <formula>$H$14="penaltis"</formula>
    </cfRule>
  </conditionalFormatting>
  <conditionalFormatting sqref="L55:M55">
    <cfRule type="expression" dxfId="638" priority="56">
      <formula>$H$15="penaltis"</formula>
    </cfRule>
  </conditionalFormatting>
  <conditionalFormatting sqref="L56:M56">
    <cfRule type="expression" dxfId="637" priority="55">
      <formula>$H$16="penaltis"</formula>
    </cfRule>
  </conditionalFormatting>
  <conditionalFormatting sqref="L57:M57">
    <cfRule type="expression" dxfId="636" priority="54">
      <formula>$H$17="penaltis"</formula>
    </cfRule>
  </conditionalFormatting>
  <conditionalFormatting sqref="L58:M58">
    <cfRule type="expression" dxfId="635" priority="53">
      <formula>$H$18="penaltis"</formula>
    </cfRule>
  </conditionalFormatting>
  <conditionalFormatting sqref="L59:M59">
    <cfRule type="expression" dxfId="634" priority="52">
      <formula>$H$19="penaltis"</formula>
    </cfRule>
  </conditionalFormatting>
  <conditionalFormatting sqref="L60:M60">
    <cfRule type="expression" dxfId="633" priority="51">
      <formula>$H$20="penaltis"</formula>
    </cfRule>
  </conditionalFormatting>
  <conditionalFormatting sqref="L61:M61">
    <cfRule type="expression" dxfId="632" priority="50">
      <formula>$H$21="penaltis"</formula>
    </cfRule>
  </conditionalFormatting>
  <conditionalFormatting sqref="N63">
    <cfRule type="expression" dxfId="631" priority="49">
      <formula>$H$23="penaltis"</formula>
    </cfRule>
  </conditionalFormatting>
  <conditionalFormatting sqref="N64">
    <cfRule type="expression" dxfId="630" priority="48" stopIfTrue="1">
      <formula>$H$24="penaltis"</formula>
    </cfRule>
  </conditionalFormatting>
  <conditionalFormatting sqref="N65">
    <cfRule type="expression" dxfId="629" priority="47" stopIfTrue="1">
      <formula>$H$25="penaltis"</formula>
    </cfRule>
  </conditionalFormatting>
  <conditionalFormatting sqref="N66">
    <cfRule type="expression" dxfId="628" priority="46" stopIfTrue="1">
      <formula>$H$26="penaltis"</formula>
    </cfRule>
  </conditionalFormatting>
  <conditionalFormatting sqref="N68">
    <cfRule type="expression" dxfId="627" priority="45" stopIfTrue="1">
      <formula>$H$28="penaltis"</formula>
    </cfRule>
  </conditionalFormatting>
  <conditionalFormatting sqref="N69">
    <cfRule type="expression" dxfId="626" priority="44" stopIfTrue="1">
      <formula>$H$29="penaltis"</formula>
    </cfRule>
  </conditionalFormatting>
  <conditionalFormatting sqref="N71">
    <cfRule type="expression" dxfId="625" priority="43" stopIfTrue="1">
      <formula>$H$31="penaltis"</formula>
    </cfRule>
  </conditionalFormatting>
  <conditionalFormatting sqref="N73">
    <cfRule type="expression" dxfId="624" priority="42" stopIfTrue="1">
      <formula>$H$33="penaltis"</formula>
    </cfRule>
  </conditionalFormatting>
  <conditionalFormatting sqref="L54:M54">
    <cfRule type="expression" dxfId="623" priority="41" stopIfTrue="1">
      <formula>$K$54="penaltis"</formula>
    </cfRule>
  </conditionalFormatting>
  <conditionalFormatting sqref="L55:M55">
    <cfRule type="expression" dxfId="622" priority="40" stopIfTrue="1">
      <formula>$K$55="penaltis"</formula>
    </cfRule>
  </conditionalFormatting>
  <conditionalFormatting sqref="L56:M56">
    <cfRule type="expression" dxfId="621" priority="39" stopIfTrue="1">
      <formula>$K$56="penaltis"</formula>
    </cfRule>
  </conditionalFormatting>
  <conditionalFormatting sqref="L57:M57">
    <cfRule type="expression" dxfId="620" priority="38" stopIfTrue="1">
      <formula>$K$57="penaltis"</formula>
    </cfRule>
  </conditionalFormatting>
  <conditionalFormatting sqref="L58:M58">
    <cfRule type="expression" dxfId="619" priority="37" stopIfTrue="1">
      <formula>$K$58="penaltis"</formula>
    </cfRule>
  </conditionalFormatting>
  <conditionalFormatting sqref="L59:M59">
    <cfRule type="expression" dxfId="618" priority="36" stopIfTrue="1">
      <formula>$K$59="penaltis"</formula>
    </cfRule>
  </conditionalFormatting>
  <conditionalFormatting sqref="L60:M60">
    <cfRule type="expression" dxfId="617" priority="35" stopIfTrue="1">
      <formula>$K$60="penaltis"</formula>
    </cfRule>
  </conditionalFormatting>
  <conditionalFormatting sqref="L61:M61">
    <cfRule type="expression" dxfId="616" priority="34" stopIfTrue="1">
      <formula>$K$61="penaltis"</formula>
    </cfRule>
  </conditionalFormatting>
  <conditionalFormatting sqref="L63:M63">
    <cfRule type="expression" dxfId="615" priority="33">
      <formula>$K$63="penaltis"</formula>
    </cfRule>
  </conditionalFormatting>
  <conditionalFormatting sqref="L64:M64">
    <cfRule type="expression" dxfId="614" priority="32">
      <formula>$K$64="penaltis"</formula>
    </cfRule>
  </conditionalFormatting>
  <conditionalFormatting sqref="L65:M65">
    <cfRule type="expression" dxfId="613" priority="31">
      <formula>$K$65="penaltis"</formula>
    </cfRule>
  </conditionalFormatting>
  <conditionalFormatting sqref="L66:M66">
    <cfRule type="expression" dxfId="612" priority="30">
      <formula>$K$66="penaltis"</formula>
    </cfRule>
  </conditionalFormatting>
  <conditionalFormatting sqref="L68:M68">
    <cfRule type="expression" dxfId="611" priority="29">
      <formula>$K$68="penaltis"</formula>
    </cfRule>
  </conditionalFormatting>
  <conditionalFormatting sqref="L69:M69">
    <cfRule type="expression" dxfId="610" priority="28">
      <formula>$K$69="penaltis"</formula>
    </cfRule>
  </conditionalFormatting>
  <conditionalFormatting sqref="L71:M71">
    <cfRule type="expression" dxfId="609" priority="27">
      <formula>$K$71="penaltis"</formula>
    </cfRule>
  </conditionalFormatting>
  <conditionalFormatting sqref="L73:M73">
    <cfRule type="expression" dxfId="608" priority="26">
      <formula>$K$73="penaltis"</formula>
    </cfRule>
  </conditionalFormatting>
  <conditionalFormatting sqref="Q4:X5">
    <cfRule type="expression" dxfId="607" priority="25">
      <formula>$R$8=12</formula>
    </cfRule>
  </conditionalFormatting>
  <conditionalFormatting sqref="Q10:X11">
    <cfRule type="expression" dxfId="606" priority="24">
      <formula>$R$14=12</formula>
    </cfRule>
  </conditionalFormatting>
  <conditionalFormatting sqref="Q16:X17">
    <cfRule type="expression" dxfId="605" priority="23">
      <formula>$R$20=12</formula>
    </cfRule>
  </conditionalFormatting>
  <conditionalFormatting sqref="Q22:X23">
    <cfRule type="expression" dxfId="604" priority="22">
      <formula>$R$26=12</formula>
    </cfRule>
  </conditionalFormatting>
  <conditionalFormatting sqref="Q28:X29">
    <cfRule type="expression" dxfId="603" priority="21">
      <formula>$R$32=12</formula>
    </cfRule>
  </conditionalFormatting>
  <conditionalFormatting sqref="Q34:X35">
    <cfRule type="expression" dxfId="602" priority="20">
      <formula>$R$38=12</formula>
    </cfRule>
  </conditionalFormatting>
  <conditionalFormatting sqref="Q40:X41">
    <cfRule type="expression" dxfId="601" priority="19">
      <formula>$R$44=12</formula>
    </cfRule>
  </conditionalFormatting>
  <conditionalFormatting sqref="Q46:X47">
    <cfRule type="expression" dxfId="600" priority="18">
      <formula>$R$50=12</formula>
    </cfRule>
  </conditionalFormatting>
  <conditionalFormatting sqref="F67:J73 B45 B9 B15 B21 B27 B33 B3 F3:F50 J3:J50">
    <cfRule type="cellIs" dxfId="599" priority="59" stopIfTrue="1" operator="equal">
      <formula>#REF!</formula>
    </cfRule>
  </conditionalFormatting>
  <conditionalFormatting sqref="B39">
    <cfRule type="cellIs" dxfId="598" priority="17" stopIfTrue="1" operator="equal">
      <formula>#REF!</formula>
    </cfRule>
  </conditionalFormatting>
  <conditionalFormatting sqref="O4:P5">
    <cfRule type="expression" dxfId="597" priority="15">
      <formula>$R$16=12</formula>
    </cfRule>
  </conditionalFormatting>
  <conditionalFormatting sqref="O10:P11">
    <cfRule type="expression" dxfId="596" priority="14">
      <formula>$R$22=12</formula>
    </cfRule>
  </conditionalFormatting>
  <conditionalFormatting sqref="O16:P17">
    <cfRule type="expression" dxfId="595" priority="13">
      <formula>$R$28=12</formula>
    </cfRule>
  </conditionalFormatting>
  <conditionalFormatting sqref="O22:P23">
    <cfRule type="expression" dxfId="594" priority="12">
      <formula>$R$34=12</formula>
    </cfRule>
  </conditionalFormatting>
  <conditionalFormatting sqref="O28:P29">
    <cfRule type="expression" dxfId="593" priority="11">
      <formula>$R$40=12</formula>
    </cfRule>
  </conditionalFormatting>
  <conditionalFormatting sqref="O34:P35">
    <cfRule type="expression" dxfId="592" priority="10">
      <formula>$R$46=12</formula>
    </cfRule>
  </conditionalFormatting>
  <conditionalFormatting sqref="O40:P41">
    <cfRule type="expression" dxfId="591" priority="9">
      <formula>$R$52=12</formula>
    </cfRule>
  </conditionalFormatting>
  <conditionalFormatting sqref="O46:P47">
    <cfRule type="expression" dxfId="590" priority="8">
      <formula>$R$58=12</formula>
    </cfRule>
  </conditionalFormatting>
  <conditionalFormatting sqref="F55:J62 F64:J66">
    <cfRule type="cellIs" dxfId="589" priority="7" stopIfTrue="1" operator="equal">
      <formula>$Y$7</formula>
    </cfRule>
  </conditionalFormatting>
  <conditionalFormatting sqref="F63">
    <cfRule type="cellIs" dxfId="588" priority="6" stopIfTrue="1" operator="equal">
      <formula>$Y$7</formula>
    </cfRule>
  </conditionalFormatting>
  <conditionalFormatting sqref="J63">
    <cfRule type="cellIs" dxfId="587" priority="5" stopIfTrue="1" operator="equal">
      <formula>$Y$7</formula>
    </cfRule>
  </conditionalFormatting>
  <conditionalFormatting sqref="F54">
    <cfRule type="cellIs" dxfId="586" priority="4" stopIfTrue="1" operator="equal">
      <formula>$Y$7</formula>
    </cfRule>
  </conditionalFormatting>
  <conditionalFormatting sqref="J54">
    <cfRule type="cellIs" dxfId="585" priority="3" stopIfTrue="1" operator="equal">
      <formula>$Y$7</formula>
    </cfRule>
  </conditionalFormatting>
  <conditionalFormatting sqref="H54">
    <cfRule type="cellIs" dxfId="584" priority="2" stopIfTrue="1" operator="equal">
      <formula>$Y$7</formula>
    </cfRule>
  </conditionalFormatting>
  <conditionalFormatting sqref="H63">
    <cfRule type="cellIs" dxfId="58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A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W117"/>
  <sheetViews>
    <sheetView topLeftCell="A16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IF(Copa2022!F16="","",IF(Copa2022!O12=Flavio!P4,Regras!$J$27,0))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IF(Copa2022!F22="","",IF(Copa2022!O18=Flavio!P10,Regras!$J$27,0))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IF(Copa2022!F28="","",IF(Copa2022!O24=Flavio!P16,Regras!$J$27,0))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5</v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IF(Copa2022!F34="","",IF(Copa2022!O30=Flavio!P22,Regras!$J$27,0))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3" t="s">
        <v>59</v>
      </c>
      <c r="P45" s="534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82" priority="58" stopIfTrue="1" operator="equal">
      <formula>#REF!</formula>
    </cfRule>
  </conditionalFormatting>
  <conditionalFormatting sqref="M54:N54 N55:N61">
    <cfRule type="expression" dxfId="581" priority="57">
      <formula>$H$14="penaltis"</formula>
    </cfRule>
  </conditionalFormatting>
  <conditionalFormatting sqref="L55:M55">
    <cfRule type="expression" dxfId="580" priority="56">
      <formula>$H$15="penaltis"</formula>
    </cfRule>
  </conditionalFormatting>
  <conditionalFormatting sqref="L56:M56">
    <cfRule type="expression" dxfId="579" priority="55">
      <formula>$H$16="penaltis"</formula>
    </cfRule>
  </conditionalFormatting>
  <conditionalFormatting sqref="L57:M57">
    <cfRule type="expression" dxfId="578" priority="54">
      <formula>$H$17="penaltis"</formula>
    </cfRule>
  </conditionalFormatting>
  <conditionalFormatting sqref="L58:M58">
    <cfRule type="expression" dxfId="577" priority="53">
      <formula>$H$18="penaltis"</formula>
    </cfRule>
  </conditionalFormatting>
  <conditionalFormatting sqref="L59:M59">
    <cfRule type="expression" dxfId="576" priority="52">
      <formula>$H$19="penaltis"</formula>
    </cfRule>
  </conditionalFormatting>
  <conditionalFormatting sqref="L60:M60">
    <cfRule type="expression" dxfId="575" priority="51">
      <formula>$H$20="penaltis"</formula>
    </cfRule>
  </conditionalFormatting>
  <conditionalFormatting sqref="L61:M61">
    <cfRule type="expression" dxfId="574" priority="50">
      <formula>$H$21="penaltis"</formula>
    </cfRule>
  </conditionalFormatting>
  <conditionalFormatting sqref="N63">
    <cfRule type="expression" dxfId="573" priority="49">
      <formula>$H$23="penaltis"</formula>
    </cfRule>
  </conditionalFormatting>
  <conditionalFormatting sqref="N64">
    <cfRule type="expression" dxfId="572" priority="48" stopIfTrue="1">
      <formula>$H$24="penaltis"</formula>
    </cfRule>
  </conditionalFormatting>
  <conditionalFormatting sqref="N65">
    <cfRule type="expression" dxfId="571" priority="47" stopIfTrue="1">
      <formula>$H$25="penaltis"</formula>
    </cfRule>
  </conditionalFormatting>
  <conditionalFormatting sqref="N66">
    <cfRule type="expression" dxfId="570" priority="46" stopIfTrue="1">
      <formula>$H$26="penaltis"</formula>
    </cfRule>
  </conditionalFormatting>
  <conditionalFormatting sqref="N68">
    <cfRule type="expression" dxfId="569" priority="45" stopIfTrue="1">
      <formula>$H$28="penaltis"</formula>
    </cfRule>
  </conditionalFormatting>
  <conditionalFormatting sqref="N69">
    <cfRule type="expression" dxfId="568" priority="44" stopIfTrue="1">
      <formula>$H$29="penaltis"</formula>
    </cfRule>
  </conditionalFormatting>
  <conditionalFormatting sqref="N71">
    <cfRule type="expression" dxfId="567" priority="43" stopIfTrue="1">
      <formula>$H$31="penaltis"</formula>
    </cfRule>
  </conditionalFormatting>
  <conditionalFormatting sqref="N73">
    <cfRule type="expression" dxfId="566" priority="42" stopIfTrue="1">
      <formula>$H$33="penaltis"</formula>
    </cfRule>
  </conditionalFormatting>
  <conditionalFormatting sqref="L54:M54">
    <cfRule type="expression" dxfId="565" priority="41" stopIfTrue="1">
      <formula>$K$54="penaltis"</formula>
    </cfRule>
  </conditionalFormatting>
  <conditionalFormatting sqref="L55:M55">
    <cfRule type="expression" dxfId="564" priority="40" stopIfTrue="1">
      <formula>$K$55="penaltis"</formula>
    </cfRule>
  </conditionalFormatting>
  <conditionalFormatting sqref="L56:M56">
    <cfRule type="expression" dxfId="563" priority="39" stopIfTrue="1">
      <formula>$K$56="penaltis"</formula>
    </cfRule>
  </conditionalFormatting>
  <conditionalFormatting sqref="L57:M57">
    <cfRule type="expression" dxfId="562" priority="38" stopIfTrue="1">
      <formula>$K$57="penaltis"</formula>
    </cfRule>
  </conditionalFormatting>
  <conditionalFormatting sqref="L58:M58">
    <cfRule type="expression" dxfId="561" priority="37" stopIfTrue="1">
      <formula>$K$58="penaltis"</formula>
    </cfRule>
  </conditionalFormatting>
  <conditionalFormatting sqref="L59:M59">
    <cfRule type="expression" dxfId="560" priority="36" stopIfTrue="1">
      <formula>$K$59="penaltis"</formula>
    </cfRule>
  </conditionalFormatting>
  <conditionalFormatting sqref="L60:M60">
    <cfRule type="expression" dxfId="559" priority="35" stopIfTrue="1">
      <formula>$K$60="penaltis"</formula>
    </cfRule>
  </conditionalFormatting>
  <conditionalFormatting sqref="L61:M61">
    <cfRule type="expression" dxfId="558" priority="34" stopIfTrue="1">
      <formula>$K$61="penaltis"</formula>
    </cfRule>
  </conditionalFormatting>
  <conditionalFormatting sqref="L63:M63">
    <cfRule type="expression" dxfId="557" priority="33">
      <formula>$K$63="penaltis"</formula>
    </cfRule>
  </conditionalFormatting>
  <conditionalFormatting sqref="L64:M64">
    <cfRule type="expression" dxfId="556" priority="32">
      <formula>$K$64="penaltis"</formula>
    </cfRule>
  </conditionalFormatting>
  <conditionalFormatting sqref="L65:M65">
    <cfRule type="expression" dxfId="555" priority="31">
      <formula>$K$65="penaltis"</formula>
    </cfRule>
  </conditionalFormatting>
  <conditionalFormatting sqref="L66:M66">
    <cfRule type="expression" dxfId="554" priority="30">
      <formula>$K$66="penaltis"</formula>
    </cfRule>
  </conditionalFormatting>
  <conditionalFormatting sqref="L68:M68">
    <cfRule type="expression" dxfId="553" priority="29">
      <formula>$K$68="penaltis"</formula>
    </cfRule>
  </conditionalFormatting>
  <conditionalFormatting sqref="L69:M69">
    <cfRule type="expression" dxfId="552" priority="28">
      <formula>$K$69="penaltis"</formula>
    </cfRule>
  </conditionalFormatting>
  <conditionalFormatting sqref="L71:M71">
    <cfRule type="expression" dxfId="551" priority="27">
      <formula>$K$71="penaltis"</formula>
    </cfRule>
  </conditionalFormatting>
  <conditionalFormatting sqref="L73:M73">
    <cfRule type="expression" dxfId="550" priority="26">
      <formula>$K$73="penaltis"</formula>
    </cfRule>
  </conditionalFormatting>
  <conditionalFormatting sqref="Q4:X5">
    <cfRule type="expression" dxfId="549" priority="25">
      <formula>$R$8=12</formula>
    </cfRule>
  </conditionalFormatting>
  <conditionalFormatting sqref="Q10:X11">
    <cfRule type="expression" dxfId="548" priority="24">
      <formula>$R$14=12</formula>
    </cfRule>
  </conditionalFormatting>
  <conditionalFormatting sqref="Q16:X17">
    <cfRule type="expression" dxfId="547" priority="23">
      <formula>$R$20=12</formula>
    </cfRule>
  </conditionalFormatting>
  <conditionalFormatting sqref="Q22:X23">
    <cfRule type="expression" dxfId="546" priority="22">
      <formula>$R$26=12</formula>
    </cfRule>
  </conditionalFormatting>
  <conditionalFormatting sqref="Q28:X29">
    <cfRule type="expression" dxfId="545" priority="21">
      <formula>$R$32=12</formula>
    </cfRule>
  </conditionalFormatting>
  <conditionalFormatting sqref="Q34:X35">
    <cfRule type="expression" dxfId="544" priority="20">
      <formula>$R$38=12</formula>
    </cfRule>
  </conditionalFormatting>
  <conditionalFormatting sqref="Q40:X41">
    <cfRule type="expression" dxfId="543" priority="19">
      <formula>$R$44=12</formula>
    </cfRule>
  </conditionalFormatting>
  <conditionalFormatting sqref="Q46:X47">
    <cfRule type="expression" dxfId="542" priority="18">
      <formula>$R$50=12</formula>
    </cfRule>
  </conditionalFormatting>
  <conditionalFormatting sqref="F67:J73 B45 B9 B15 B21 B27 B33 B3 F3:F50 J3:J50">
    <cfRule type="cellIs" dxfId="541" priority="59" stopIfTrue="1" operator="equal">
      <formula>#REF!</formula>
    </cfRule>
  </conditionalFormatting>
  <conditionalFormatting sqref="B39">
    <cfRule type="cellIs" dxfId="540" priority="17" stopIfTrue="1" operator="equal">
      <formula>#REF!</formula>
    </cfRule>
  </conditionalFormatting>
  <conditionalFormatting sqref="O4:P5">
    <cfRule type="expression" dxfId="539" priority="15">
      <formula>$R$16=12</formula>
    </cfRule>
  </conditionalFormatting>
  <conditionalFormatting sqref="O10:P11">
    <cfRule type="expression" dxfId="538" priority="14">
      <formula>$R$22=12</formula>
    </cfRule>
  </conditionalFormatting>
  <conditionalFormatting sqref="O16:P17">
    <cfRule type="expression" dxfId="537" priority="13">
      <formula>$R$28=12</formula>
    </cfRule>
  </conditionalFormatting>
  <conditionalFormatting sqref="O22:P23">
    <cfRule type="expression" dxfId="536" priority="12">
      <formula>$R$34=12</formula>
    </cfRule>
  </conditionalFormatting>
  <conditionalFormatting sqref="O28:P29">
    <cfRule type="expression" dxfId="535" priority="11">
      <formula>$R$40=12</formula>
    </cfRule>
  </conditionalFormatting>
  <conditionalFormatting sqref="O34:P35">
    <cfRule type="expression" dxfId="534" priority="10">
      <formula>$R$46=12</formula>
    </cfRule>
  </conditionalFormatting>
  <conditionalFormatting sqref="O40:P41">
    <cfRule type="expression" dxfId="533" priority="9">
      <formula>$R$52=12</formula>
    </cfRule>
  </conditionalFormatting>
  <conditionalFormatting sqref="O46:P47">
    <cfRule type="expression" dxfId="532" priority="8">
      <formula>$R$58=12</formula>
    </cfRule>
  </conditionalFormatting>
  <conditionalFormatting sqref="F55:J62 F64:J66">
    <cfRule type="cellIs" dxfId="531" priority="7" stopIfTrue="1" operator="equal">
      <formula>$Y$7</formula>
    </cfRule>
  </conditionalFormatting>
  <conditionalFormatting sqref="F63">
    <cfRule type="cellIs" dxfId="530" priority="6" stopIfTrue="1" operator="equal">
      <formula>$Y$7</formula>
    </cfRule>
  </conditionalFormatting>
  <conditionalFormatting sqref="J63">
    <cfRule type="cellIs" dxfId="529" priority="5" stopIfTrue="1" operator="equal">
      <formula>$Y$7</formula>
    </cfRule>
  </conditionalFormatting>
  <conditionalFormatting sqref="F54">
    <cfRule type="cellIs" dxfId="528" priority="4" stopIfTrue="1" operator="equal">
      <formula>$Y$7</formula>
    </cfRule>
  </conditionalFormatting>
  <conditionalFormatting sqref="J54">
    <cfRule type="cellIs" dxfId="527" priority="3" stopIfTrue="1" operator="equal">
      <formula>$Y$7</formula>
    </cfRule>
  </conditionalFormatting>
  <conditionalFormatting sqref="H54">
    <cfRule type="cellIs" dxfId="526" priority="2" stopIfTrue="1" operator="equal">
      <formula>$Y$7</formula>
    </cfRule>
  </conditionalFormatting>
  <conditionalFormatting sqref="H63">
    <cfRule type="cellIs" dxfId="52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B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W117"/>
  <sheetViews>
    <sheetView topLeftCell="A19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3" t="s">
        <v>198</v>
      </c>
      <c r="P3" s="557"/>
      <c r="Q3" s="324">
        <f>IF(Copa2022!F16="","",IF(Copa2022!O12=Claudio!P4,Regras!$J$27,0))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IF(Copa2022!F22="","",IF(Copa2022!O18=Claudio!P10,Regras!$J$27,0))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5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10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IF(Copa2022!F28="","",IF(Copa2022!O24=Claudio!P16,Regras!$J$27,0))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10</v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IF(Copa2022!F34="","",IF(Copa2022!O30=Claudio!P22,Regras!$J$27,0))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4" priority="58" stopIfTrue="1" operator="equal">
      <formula>#REF!</formula>
    </cfRule>
  </conditionalFormatting>
  <conditionalFormatting sqref="M54:N54 N55:N61">
    <cfRule type="expression" dxfId="523" priority="57">
      <formula>$H$14="penaltis"</formula>
    </cfRule>
  </conditionalFormatting>
  <conditionalFormatting sqref="L55:M55">
    <cfRule type="expression" dxfId="522" priority="56">
      <formula>$H$15="penaltis"</formula>
    </cfRule>
  </conditionalFormatting>
  <conditionalFormatting sqref="L56:M56">
    <cfRule type="expression" dxfId="521" priority="55">
      <formula>$H$16="penaltis"</formula>
    </cfRule>
  </conditionalFormatting>
  <conditionalFormatting sqref="L57:M57">
    <cfRule type="expression" dxfId="520" priority="54">
      <formula>$H$17="penaltis"</formula>
    </cfRule>
  </conditionalFormatting>
  <conditionalFormatting sqref="L58:M58">
    <cfRule type="expression" dxfId="519" priority="53">
      <formula>$H$18="penaltis"</formula>
    </cfRule>
  </conditionalFormatting>
  <conditionalFormatting sqref="L59:M59">
    <cfRule type="expression" dxfId="518" priority="52">
      <formula>$H$19="penaltis"</formula>
    </cfRule>
  </conditionalFormatting>
  <conditionalFormatting sqref="L60:M60">
    <cfRule type="expression" dxfId="517" priority="51">
      <formula>$H$20="penaltis"</formula>
    </cfRule>
  </conditionalFormatting>
  <conditionalFormatting sqref="L61:M61">
    <cfRule type="expression" dxfId="516" priority="50">
      <formula>$H$21="penaltis"</formula>
    </cfRule>
  </conditionalFormatting>
  <conditionalFormatting sqref="N63">
    <cfRule type="expression" dxfId="515" priority="49">
      <formula>$H$23="penaltis"</formula>
    </cfRule>
  </conditionalFormatting>
  <conditionalFormatting sqref="N64">
    <cfRule type="expression" dxfId="514" priority="48" stopIfTrue="1">
      <formula>$H$24="penaltis"</formula>
    </cfRule>
  </conditionalFormatting>
  <conditionalFormatting sqref="N65">
    <cfRule type="expression" dxfId="513" priority="47" stopIfTrue="1">
      <formula>$H$25="penaltis"</formula>
    </cfRule>
  </conditionalFormatting>
  <conditionalFormatting sqref="N66">
    <cfRule type="expression" dxfId="512" priority="46" stopIfTrue="1">
      <formula>$H$26="penaltis"</formula>
    </cfRule>
  </conditionalFormatting>
  <conditionalFormatting sqref="N68">
    <cfRule type="expression" dxfId="511" priority="45" stopIfTrue="1">
      <formula>$H$28="penaltis"</formula>
    </cfRule>
  </conditionalFormatting>
  <conditionalFormatting sqref="N69">
    <cfRule type="expression" dxfId="510" priority="44" stopIfTrue="1">
      <formula>$H$29="penaltis"</formula>
    </cfRule>
  </conditionalFormatting>
  <conditionalFormatting sqref="N71">
    <cfRule type="expression" dxfId="509" priority="43" stopIfTrue="1">
      <formula>$H$31="penaltis"</formula>
    </cfRule>
  </conditionalFormatting>
  <conditionalFormatting sqref="N73">
    <cfRule type="expression" dxfId="508" priority="42" stopIfTrue="1">
      <formula>$H$33="penaltis"</formula>
    </cfRule>
  </conditionalFormatting>
  <conditionalFormatting sqref="L54:M54">
    <cfRule type="expression" dxfId="507" priority="41" stopIfTrue="1">
      <formula>$K$54="penaltis"</formula>
    </cfRule>
  </conditionalFormatting>
  <conditionalFormatting sqref="L55:M55">
    <cfRule type="expression" dxfId="506" priority="40" stopIfTrue="1">
      <formula>$K$55="penaltis"</formula>
    </cfRule>
  </conditionalFormatting>
  <conditionalFormatting sqref="L56:M56">
    <cfRule type="expression" dxfId="505" priority="39" stopIfTrue="1">
      <formula>$K$56="penaltis"</formula>
    </cfRule>
  </conditionalFormatting>
  <conditionalFormatting sqref="L57:M57">
    <cfRule type="expression" dxfId="504" priority="38" stopIfTrue="1">
      <formula>$K$57="penaltis"</formula>
    </cfRule>
  </conditionalFormatting>
  <conditionalFormatting sqref="L58:M58">
    <cfRule type="expression" dxfId="503" priority="37" stopIfTrue="1">
      <formula>$K$58="penaltis"</formula>
    </cfRule>
  </conditionalFormatting>
  <conditionalFormatting sqref="L59:M59">
    <cfRule type="expression" dxfId="502" priority="36" stopIfTrue="1">
      <formula>$K$59="penaltis"</formula>
    </cfRule>
  </conditionalFormatting>
  <conditionalFormatting sqref="L60:M60">
    <cfRule type="expression" dxfId="501" priority="35" stopIfTrue="1">
      <formula>$K$60="penaltis"</formula>
    </cfRule>
  </conditionalFormatting>
  <conditionalFormatting sqref="L61:M61">
    <cfRule type="expression" dxfId="500" priority="34" stopIfTrue="1">
      <formula>$K$61="penaltis"</formula>
    </cfRule>
  </conditionalFormatting>
  <conditionalFormatting sqref="L63:M63">
    <cfRule type="expression" dxfId="499" priority="33">
      <formula>$K$63="penaltis"</formula>
    </cfRule>
  </conditionalFormatting>
  <conditionalFormatting sqref="L64:M64">
    <cfRule type="expression" dxfId="498" priority="32">
      <formula>$K$64="penaltis"</formula>
    </cfRule>
  </conditionalFormatting>
  <conditionalFormatting sqref="L65:M65">
    <cfRule type="expression" dxfId="497" priority="31">
      <formula>$K$65="penaltis"</formula>
    </cfRule>
  </conditionalFormatting>
  <conditionalFormatting sqref="L66:M66">
    <cfRule type="expression" dxfId="496" priority="30">
      <formula>$K$66="penaltis"</formula>
    </cfRule>
  </conditionalFormatting>
  <conditionalFormatting sqref="L68:M68">
    <cfRule type="expression" dxfId="495" priority="29">
      <formula>$K$68="penaltis"</formula>
    </cfRule>
  </conditionalFormatting>
  <conditionalFormatting sqref="L69:M69">
    <cfRule type="expression" dxfId="494" priority="28">
      <formula>$K$69="penaltis"</formula>
    </cfRule>
  </conditionalFormatting>
  <conditionalFormatting sqref="L71:M71">
    <cfRule type="expression" dxfId="493" priority="27">
      <formula>$K$71="penaltis"</formula>
    </cfRule>
  </conditionalFormatting>
  <conditionalFormatting sqref="L73:M73">
    <cfRule type="expression" dxfId="492" priority="26">
      <formula>$K$73="penaltis"</formula>
    </cfRule>
  </conditionalFormatting>
  <conditionalFormatting sqref="Q4:X5">
    <cfRule type="expression" dxfId="491" priority="25">
      <formula>$R$8=12</formula>
    </cfRule>
  </conditionalFormatting>
  <conditionalFormatting sqref="Q10:X11">
    <cfRule type="expression" dxfId="490" priority="24">
      <formula>$R$14=12</formula>
    </cfRule>
  </conditionalFormatting>
  <conditionalFormatting sqref="Q16:X17">
    <cfRule type="expression" dxfId="489" priority="23">
      <formula>$R$20=12</formula>
    </cfRule>
  </conditionalFormatting>
  <conditionalFormatting sqref="Q22:X23">
    <cfRule type="expression" dxfId="488" priority="22">
      <formula>$R$26=12</formula>
    </cfRule>
  </conditionalFormatting>
  <conditionalFormatting sqref="Q28:X29">
    <cfRule type="expression" dxfId="487" priority="21">
      <formula>$R$32=12</formula>
    </cfRule>
  </conditionalFormatting>
  <conditionalFormatting sqref="Q34:X35">
    <cfRule type="expression" dxfId="486" priority="20">
      <formula>$R$38=12</formula>
    </cfRule>
  </conditionalFormatting>
  <conditionalFormatting sqref="Q40:X41">
    <cfRule type="expression" dxfId="485" priority="19">
      <formula>$R$44=12</formula>
    </cfRule>
  </conditionalFormatting>
  <conditionalFormatting sqref="Q46:X47">
    <cfRule type="expression" dxfId="484" priority="18">
      <formula>$R$50=12</formula>
    </cfRule>
  </conditionalFormatting>
  <conditionalFormatting sqref="F67:J73 B45 B9 B15 B21 B27 B33 B3 F3:F50 J3:J50">
    <cfRule type="cellIs" dxfId="483" priority="59" stopIfTrue="1" operator="equal">
      <formula>#REF!</formula>
    </cfRule>
  </conditionalFormatting>
  <conditionalFormatting sqref="B39">
    <cfRule type="cellIs" dxfId="482" priority="17" stopIfTrue="1" operator="equal">
      <formula>#REF!</formula>
    </cfRule>
  </conditionalFormatting>
  <conditionalFormatting sqref="O4:P5">
    <cfRule type="expression" dxfId="481" priority="15">
      <formula>$R$16=12</formula>
    </cfRule>
  </conditionalFormatting>
  <conditionalFormatting sqref="O10:P11">
    <cfRule type="expression" dxfId="480" priority="14">
      <formula>$R$22=12</formula>
    </cfRule>
  </conditionalFormatting>
  <conditionalFormatting sqref="O16:P17">
    <cfRule type="expression" dxfId="479" priority="13">
      <formula>$R$28=12</formula>
    </cfRule>
  </conditionalFormatting>
  <conditionalFormatting sqref="O22:P23">
    <cfRule type="expression" dxfId="478" priority="12">
      <formula>$R$34=12</formula>
    </cfRule>
  </conditionalFormatting>
  <conditionalFormatting sqref="O28:P29">
    <cfRule type="expression" dxfId="477" priority="11">
      <formula>$R$40=12</formula>
    </cfRule>
  </conditionalFormatting>
  <conditionalFormatting sqref="O34:P35">
    <cfRule type="expression" dxfId="476" priority="10">
      <formula>$R$46=12</formula>
    </cfRule>
  </conditionalFormatting>
  <conditionalFormatting sqref="O40:P41">
    <cfRule type="expression" dxfId="475" priority="9">
      <formula>$R$52=12</formula>
    </cfRule>
  </conditionalFormatting>
  <conditionalFormatting sqref="O46:P47">
    <cfRule type="expression" dxfId="474" priority="8">
      <formula>$R$58=12</formula>
    </cfRule>
  </conditionalFormatting>
  <conditionalFormatting sqref="F55:J62 F64:J66">
    <cfRule type="cellIs" dxfId="473" priority="7" stopIfTrue="1" operator="equal">
      <formula>$Y$7</formula>
    </cfRule>
  </conditionalFormatting>
  <conditionalFormatting sqref="F63">
    <cfRule type="cellIs" dxfId="472" priority="6" stopIfTrue="1" operator="equal">
      <formula>$Y$7</formula>
    </cfRule>
  </conditionalFormatting>
  <conditionalFormatting sqref="J63">
    <cfRule type="cellIs" dxfId="471" priority="5" stopIfTrue="1" operator="equal">
      <formula>$Y$7</formula>
    </cfRule>
  </conditionalFormatting>
  <conditionalFormatting sqref="F54">
    <cfRule type="cellIs" dxfId="470" priority="4" stopIfTrue="1" operator="equal">
      <formula>$Y$7</formula>
    </cfRule>
  </conditionalFormatting>
  <conditionalFormatting sqref="J54">
    <cfRule type="cellIs" dxfId="469" priority="3" stopIfTrue="1" operator="equal">
      <formula>$Y$7</formula>
    </cfRule>
  </conditionalFormatting>
  <conditionalFormatting sqref="H54">
    <cfRule type="cellIs" dxfId="468" priority="2" stopIfTrue="1" operator="equal">
      <formula>$Y$7</formula>
    </cfRule>
  </conditionalFormatting>
  <conditionalFormatting sqref="H63">
    <cfRule type="cellIs" dxfId="46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C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W117"/>
  <sheetViews>
    <sheetView topLeftCell="A16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M3" s="495"/>
      <c r="N3" s="495">
        <f>IF(OR(Copa2022!F11="",G3=""),"",
IF(AND(Copa2022!F11=Eduardo!G3,Copa2022!H11=Eduardo!I3),Regras!$J$25,IF(Y3=Regras!F25,Regras!$J$26,0)))</f>
        <v>0</v>
      </c>
      <c r="O3" s="533" t="s">
        <v>198</v>
      </c>
      <c r="P3" s="557"/>
      <c r="Q3" s="324">
        <f>IF(Copa2022!F16="","",IF(Copa2022!O12=Eduardo!P4,Regras!$J$27,0))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IF(AND(Copa2022!F12=Eduardo!G4,Copa2022!H12=Eduardo!I4),Regras!$J$25,IF(Y4=Regras!F26,Regras!$J$26,0)))</f>
        <v>10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M5" s="495"/>
      <c r="N5" s="495">
        <f>IF(OR(Copa2022!F13="",G5=""),"",
IF(AND(Copa2022!F13=Eduardo!G5,Copa2022!H13=Eduardo!I5),Regras!$J$25,IF(Y5=Regras!F27,Regras!$J$26,0)))</f>
        <v>0</v>
      </c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IF(AND(Copa2022!F14=Eduardo!G6,Copa2022!H14=Eduardo!I6),Regras!$J$25,IF(Y6=Regras!F28,Regras!$J$26,0)))</f>
        <v>0</v>
      </c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IF(AND(Copa2022!F15=Eduardo!G7,Copa2022!H15=Eduardo!I7),Regras!$J$25,IF(Y7=Regras!F29,Regras!$J$26,0)))</f>
        <v>10</v>
      </c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M8" s="495"/>
      <c r="N8" s="495">
        <f>IF(OR(Copa2022!F16="",G8=""),"",
IF(AND(Copa2022!F16=Eduardo!G8,Copa2022!H16=Eduardo!I8),Regras!$J$25,IF(Y8=Regras!F30,Regras!$J$26,0)))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IF(AND(Copa2022!F17=Eduardo!G9,Copa2022!H17=Eduardo!I9),Regras!$J$25,IF(Y9=Regras!F31,Regras!$J$26,0)))</f>
        <v>5</v>
      </c>
      <c r="O9" s="533" t="s">
        <v>48</v>
      </c>
      <c r="P9" s="534"/>
      <c r="Q9" s="324">
        <f>IF(Copa2022!F22="","",IF(Copa2022!O18=Eduardo!P10,Regras!$J$27,0))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IF(AND(Copa2022!F18=Eduardo!G10,Copa2022!H18=Eduardo!I10),Regras!$J$25,IF(Y10=Regras!F32,Regras!$J$26,0)))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IF(AND(Copa2022!F19=Eduardo!G11,Copa2022!H19=Eduardo!I11),Regras!$J$25,IF(Y11=Regras!F33,Regras!$J$26,0)))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M12" s="495"/>
      <c r="N12" s="495">
        <f>IF(OR(Copa2022!F20="",G12=""),"",
IF(AND(Copa2022!F20=Eduardo!G12,Copa2022!H20=Eduardo!I12),Regras!$J$25,IF(Y12=Regras!F34,Regras!$J$26,0)))</f>
        <v>0</v>
      </c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M13" s="495"/>
      <c r="N13" s="495">
        <f>IF(OR(Copa2022!F21="",G13=""),"",
IF(AND(Copa2022!F21=Eduardo!G13,Copa2022!H21=Eduardo!I13),Regras!$J$25,IF(Y13=Regras!F35,Regras!$J$26,0)))</f>
        <v>0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IF(AND(Copa2022!F22=Eduardo!G14,Copa2022!H22=Eduardo!I14),Regras!$J$25,IF(Y14=Regras!F36,Regras!$J$26,0)))</f>
        <v>10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IF(AND(Copa2022!F23=Eduardo!G15,Copa2022!H23=Eduardo!I15),Regras!$J$25,IF(Y15=Regras!F37,Regras!$J$26,0)))</f>
        <v>0</v>
      </c>
      <c r="O15" s="533" t="s">
        <v>50</v>
      </c>
      <c r="P15" s="534"/>
      <c r="Q15" s="324">
        <f>IF(Copa2022!F28="","",IF(Copa2022!O24=Eduardo!P16,Regras!$J$27,0))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IF(AND(Copa2022!F24=Eduardo!G16,Copa2022!H24=Eduardo!I16),Regras!$J$25,IF(Y16=Regras!F38,Regras!$J$26,0)))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IF(AND(Copa2022!F25=Eduardo!G17,Copa2022!H25=Eduardo!I17),Regras!$J$25,IF(Y17=Regras!F39,Regras!$J$26,0)))</f>
        <v>5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IF(AND(Copa2022!F26=Eduardo!G18,Copa2022!H26=Eduardo!I18),Regras!$J$25,IF(Y18=Regras!F40,Regras!$J$26,0)))</f>
        <v>10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>
        <f>IF(OR(Copa2022!F27="",G19=""),"",
IF(AND(Copa2022!F27=Eduardo!G19,Copa2022!H27=Eduardo!I19),Regras!$J$25,IF(Y19=Regras!F41,Regras!$J$26,0)))</f>
        <v>5</v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>
        <f>IF(OR(Copa2022!F28="",G20=""),"",
IF(AND(Copa2022!F28=Eduardo!G20,Copa2022!H28=Eduardo!I20),Regras!$J$25,IF(Y20=Regras!F42,Regras!$J$26,0)))</f>
        <v>5</v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IF(AND(Copa2022!F29=Eduardo!G21,Copa2022!H29=Eduardo!I21),Regras!$J$25,IF(Y21=Regras!F43,Regras!$J$26,0)))</f>
        <v>0</v>
      </c>
      <c r="O21" s="533" t="s">
        <v>51</v>
      </c>
      <c r="P21" s="534"/>
      <c r="Q21" s="324">
        <f>IF(Copa2022!F34="","",IF(Copa2022!O30=Eduardo!P22,Regras!$J$27,0))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IF(AND(Copa2022!F30=Eduardo!G22,Copa2022!H30=Eduardo!I22),Regras!$J$25,IF(Y22=Regras!F44,Regras!$J$26,0)))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IF(AND(Copa2022!F31=Eduardo!G23,Copa2022!H31=Eduardo!I23),Regras!$J$25,IF(Y23=Regras!F45,Regras!$J$26,0)))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IF(AND(Copa2022!F32=Eduardo!G24,Copa2022!H32=Eduardo!I24),Regras!$J$25,IF(Y24=Regras!F46,Regras!$J$26,0)))</f>
        <v>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M25" s="495"/>
      <c r="N25" s="495">
        <f>IF(OR(Copa2022!F33="",G25=""),"",
IF(AND(Copa2022!F33=Eduardo!G25,Copa2022!H33=Eduardo!I25),Regras!$J$25,IF(Y25=Regras!F47,Regras!$J$26,0)))</f>
        <v>0</v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>
        <f>IF(OR(Copa2022!F34="",G26=""),"",
IF(AND(Copa2022!F34=Eduardo!G26,Copa2022!H34=Eduardo!I26),Regras!$J$25,IF(Y26=Regras!F48,Regras!$J$26,0)))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M27" s="495"/>
      <c r="N27" s="495">
        <f>IF(OR(Copa2022!F35="",G27=""),"",
IF(AND(Copa2022!F35=Eduardo!G27,Copa2022!H35=Eduardo!I27),Regras!$J$25,IF(Y27=Regras!F49,Regras!$J$26,0)))</f>
        <v>0</v>
      </c>
      <c r="O27" s="533" t="s">
        <v>53</v>
      </c>
      <c r="P27" s="534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IF(AND(Copa2022!F36=Eduardo!G28,Copa2022!H36=Eduardo!I28),Regras!$J$25,IF(Y28=Regras!F50,Regras!$J$26,0)))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IF(AND(Copa2022!F37=Eduardo!G29,Copa2022!H37=Eduardo!I29),Regras!$J$25,IF(Y29=Regras!F51,Regras!$J$26,0)))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IF(AND(Copa2022!F38=Eduardo!G30,Copa2022!H38=Eduardo!I30),Regras!$J$25,IF(Y30=Regras!F52,Regras!$J$26,0)))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IF(AND(Copa2022!F39=Eduardo!G31,Copa2022!H39=Eduardo!I31),Regras!$J$25,IF(Y31=Regras!F53,Regras!$J$26,0)))</f>
        <v/>
      </c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IF(AND(Copa2022!F40=Eduardo!G32,Copa2022!H40=Eduardo!I32),Regras!$J$25,IF(Y32=Regras!F54,Regras!$J$26,0)))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IF(AND(Copa2022!F41=Eduardo!G33,Copa2022!H41=Eduardo!I33),Regras!$J$25,IF(Y33=Regras!F55,Regras!$J$26,0)))</f>
        <v>0</v>
      </c>
      <c r="O33" s="533" t="s">
        <v>56</v>
      </c>
      <c r="P33" s="534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IF(AND(Copa2022!F42=Eduardo!G34,Copa2022!H42=Eduardo!I34),Regras!$J$25,IF(Y34=Regras!F56,Regras!$J$26,0)))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IF(AND(Copa2022!F43=Eduardo!G35,Copa2022!H43=Eduardo!I35),Regras!$J$25,IF(Y35=Regras!F57,Regras!$J$26,0)))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IF(AND(Copa2022!F44=Eduardo!G36,Copa2022!H44=Eduardo!I36),Regras!$J$25,IF(Y36=Regras!F58,Regras!$J$26,0)))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IF(AND(Copa2022!F45=Eduardo!G37,Copa2022!H45=Eduardo!I37),Regras!$J$25,IF(Y37=Regras!F59,Regras!$J$26,0)))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IF(AND(Copa2022!F46=Eduardo!G38,Copa2022!H46=Eduardo!I38),Regras!$J$25,IF(Y38=Regras!F60,Regras!$J$26,0)))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IF(AND(Copa2022!F47=Eduardo!G39,Copa2022!H47=Eduardo!I39),Regras!$J$25,IF(Y39=Regras!F61,Regras!$J$26,0)))</f>
        <v>5</v>
      </c>
      <c r="O39" s="533" t="s">
        <v>58</v>
      </c>
      <c r="P39" s="534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IF(AND(Copa2022!F48=Eduardo!G40,Copa2022!H48=Eduardo!I40),Regras!$J$25,IF(Y40=Regras!F62,Regras!$J$26,0)))</f>
        <v>10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IF(AND(Copa2022!F49=Eduardo!G41,Copa2022!H49=Eduardo!I41),Regras!$J$25,IF(Y41=Regras!F63,Regras!$J$26,0)))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IF(AND(Copa2022!F50=Eduardo!G42,Copa2022!H50=Eduardo!I42),Regras!$J$25,IF(Y42=Regras!F64,Regras!$J$26,0)))</f>
        <v>5</v>
      </c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IF(AND(Copa2022!F51=Eduardo!G43,Copa2022!H51=Eduardo!I43),Regras!$J$25,IF(Y43=Regras!F65,Regras!$J$26,0)))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IF(AND(Copa2022!F52=Eduardo!G44,Copa2022!H52=Eduardo!I44),Regras!$J$25,IF(Y44=Regras!F66,Regras!$J$26,0)))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IF(AND(Copa2022!F53=Eduardo!G45,Copa2022!H53=Eduardo!I45),Regras!$J$25,IF(Y45=Regras!F67,Regras!$J$26,0)))</f>
        <v>0</v>
      </c>
      <c r="O45" s="533" t="s">
        <v>59</v>
      </c>
      <c r="P45" s="534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IF(AND(Copa2022!F54=Eduardo!G46,Copa2022!H54=Eduardo!I46),Regras!$J$25,IF(Y46=Regras!F68,Regras!$J$26,0)))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IF(AND(Copa2022!F55=Eduardo!G47,Copa2022!H55=Eduardo!I47),Regras!$J$25,IF(Y47=Regras!F69,Regras!$J$26,0)))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M48" s="495"/>
      <c r="N48" s="495">
        <f>IF(OR(Copa2022!F56="",G48=""),"",
IF(AND(Copa2022!F56=Eduardo!G48,Copa2022!H56=Eduardo!I48),Regras!$J$25,IF(Y48=Regras!F70,Regras!$J$26,0)))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IF(AND(Copa2022!F57=Eduardo!G49,Copa2022!H57=Eduardo!I49),Regras!$J$25,IF(Y49=Regras!F71,Regras!$J$26,0)))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M50" s="495"/>
      <c r="N50" s="495" t="str">
        <f>IF(OR(Copa2022!F58="",G50=""),"",
IF(AND(Copa2022!F58=Eduardo!G50,Copa2022!H58=Eduardo!I50),Regras!$J$25,IF(Y50=Regras!F72,Regras!$J$26,0)))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66" priority="58" stopIfTrue="1" operator="equal">
      <formula>#REF!</formula>
    </cfRule>
  </conditionalFormatting>
  <conditionalFormatting sqref="M54:N54 N55:N61">
    <cfRule type="expression" dxfId="465" priority="57">
      <formula>$H$14="penaltis"</formula>
    </cfRule>
  </conditionalFormatting>
  <conditionalFormatting sqref="L55:M55">
    <cfRule type="expression" dxfId="464" priority="56">
      <formula>$H$15="penaltis"</formula>
    </cfRule>
  </conditionalFormatting>
  <conditionalFormatting sqref="L56:M56">
    <cfRule type="expression" dxfId="463" priority="55">
      <formula>$H$16="penaltis"</formula>
    </cfRule>
  </conditionalFormatting>
  <conditionalFormatting sqref="L57:M57">
    <cfRule type="expression" dxfId="462" priority="54">
      <formula>$H$17="penaltis"</formula>
    </cfRule>
  </conditionalFormatting>
  <conditionalFormatting sqref="L58:M58">
    <cfRule type="expression" dxfId="461" priority="53">
      <formula>$H$18="penaltis"</formula>
    </cfRule>
  </conditionalFormatting>
  <conditionalFormatting sqref="L59:M59">
    <cfRule type="expression" dxfId="460" priority="52">
      <formula>$H$19="penaltis"</formula>
    </cfRule>
  </conditionalFormatting>
  <conditionalFormatting sqref="L60:M60">
    <cfRule type="expression" dxfId="459" priority="51">
      <formula>$H$20="penaltis"</formula>
    </cfRule>
  </conditionalFormatting>
  <conditionalFormatting sqref="L61:M61">
    <cfRule type="expression" dxfId="458" priority="50">
      <formula>$H$21="penaltis"</formula>
    </cfRule>
  </conditionalFormatting>
  <conditionalFormatting sqref="N63">
    <cfRule type="expression" dxfId="457" priority="49">
      <formula>$H$23="penaltis"</formula>
    </cfRule>
  </conditionalFormatting>
  <conditionalFormatting sqref="N64">
    <cfRule type="expression" dxfId="456" priority="48" stopIfTrue="1">
      <formula>$H$24="penaltis"</formula>
    </cfRule>
  </conditionalFormatting>
  <conditionalFormatting sqref="N65">
    <cfRule type="expression" dxfId="455" priority="47" stopIfTrue="1">
      <formula>$H$25="penaltis"</formula>
    </cfRule>
  </conditionalFormatting>
  <conditionalFormatting sqref="N66">
    <cfRule type="expression" dxfId="454" priority="46" stopIfTrue="1">
      <formula>$H$26="penaltis"</formula>
    </cfRule>
  </conditionalFormatting>
  <conditionalFormatting sqref="N68">
    <cfRule type="expression" dxfId="453" priority="45" stopIfTrue="1">
      <formula>$H$28="penaltis"</formula>
    </cfRule>
  </conditionalFormatting>
  <conditionalFormatting sqref="N69">
    <cfRule type="expression" dxfId="452" priority="44" stopIfTrue="1">
      <formula>$H$29="penaltis"</formula>
    </cfRule>
  </conditionalFormatting>
  <conditionalFormatting sqref="N71">
    <cfRule type="expression" dxfId="451" priority="43" stopIfTrue="1">
      <formula>$H$31="penaltis"</formula>
    </cfRule>
  </conditionalFormatting>
  <conditionalFormatting sqref="N73">
    <cfRule type="expression" dxfId="450" priority="42" stopIfTrue="1">
      <formula>$H$33="penaltis"</formula>
    </cfRule>
  </conditionalFormatting>
  <conditionalFormatting sqref="L54:M54">
    <cfRule type="expression" dxfId="449" priority="41" stopIfTrue="1">
      <formula>$K$54="penaltis"</formula>
    </cfRule>
  </conditionalFormatting>
  <conditionalFormatting sqref="L55:M55">
    <cfRule type="expression" dxfId="448" priority="40" stopIfTrue="1">
      <formula>$K$55="penaltis"</formula>
    </cfRule>
  </conditionalFormatting>
  <conditionalFormatting sqref="L56:M56">
    <cfRule type="expression" dxfId="447" priority="39" stopIfTrue="1">
      <formula>$K$56="penaltis"</formula>
    </cfRule>
  </conditionalFormatting>
  <conditionalFormatting sqref="L57:M57">
    <cfRule type="expression" dxfId="446" priority="38" stopIfTrue="1">
      <formula>$K$57="penaltis"</formula>
    </cfRule>
  </conditionalFormatting>
  <conditionalFormatting sqref="L58:M58">
    <cfRule type="expression" dxfId="445" priority="37" stopIfTrue="1">
      <formula>$K$58="penaltis"</formula>
    </cfRule>
  </conditionalFormatting>
  <conditionalFormatting sqref="L59:M59">
    <cfRule type="expression" dxfId="444" priority="36" stopIfTrue="1">
      <formula>$K$59="penaltis"</formula>
    </cfRule>
  </conditionalFormatting>
  <conditionalFormatting sqref="L60:M60">
    <cfRule type="expression" dxfId="443" priority="35" stopIfTrue="1">
      <formula>$K$60="penaltis"</formula>
    </cfRule>
  </conditionalFormatting>
  <conditionalFormatting sqref="L61:M61">
    <cfRule type="expression" dxfId="442" priority="34" stopIfTrue="1">
      <formula>$K$61="penaltis"</formula>
    </cfRule>
  </conditionalFormatting>
  <conditionalFormatting sqref="L63:M63">
    <cfRule type="expression" dxfId="441" priority="33">
      <formula>$K$63="penaltis"</formula>
    </cfRule>
  </conditionalFormatting>
  <conditionalFormatting sqref="L64:M64">
    <cfRule type="expression" dxfId="440" priority="32">
      <formula>$K$64="penaltis"</formula>
    </cfRule>
  </conditionalFormatting>
  <conditionalFormatting sqref="L65:M65">
    <cfRule type="expression" dxfId="439" priority="31">
      <formula>$K$65="penaltis"</formula>
    </cfRule>
  </conditionalFormatting>
  <conditionalFormatting sqref="L66:M66">
    <cfRule type="expression" dxfId="438" priority="30">
      <formula>$K$66="penaltis"</formula>
    </cfRule>
  </conditionalFormatting>
  <conditionalFormatting sqref="L68:M68">
    <cfRule type="expression" dxfId="437" priority="29">
      <formula>$K$68="penaltis"</formula>
    </cfRule>
  </conditionalFormatting>
  <conditionalFormatting sqref="L69:M69">
    <cfRule type="expression" dxfId="436" priority="28">
      <formula>$K$69="penaltis"</formula>
    </cfRule>
  </conditionalFormatting>
  <conditionalFormatting sqref="L71:M71">
    <cfRule type="expression" dxfId="435" priority="27">
      <formula>$K$71="penaltis"</formula>
    </cfRule>
  </conditionalFormatting>
  <conditionalFormatting sqref="L73:M73">
    <cfRule type="expression" dxfId="434" priority="26">
      <formula>$K$73="penaltis"</formula>
    </cfRule>
  </conditionalFormatting>
  <conditionalFormatting sqref="Q4:X5">
    <cfRule type="expression" dxfId="433" priority="25">
      <formula>$R$8=12</formula>
    </cfRule>
  </conditionalFormatting>
  <conditionalFormatting sqref="Q10:X11">
    <cfRule type="expression" dxfId="432" priority="24">
      <formula>$R$14=12</formula>
    </cfRule>
  </conditionalFormatting>
  <conditionalFormatting sqref="Q16:X17">
    <cfRule type="expression" dxfId="431" priority="23">
      <formula>$R$20=12</formula>
    </cfRule>
  </conditionalFormatting>
  <conditionalFormatting sqref="Q22:X23">
    <cfRule type="expression" dxfId="430" priority="22">
      <formula>$R$26=12</formula>
    </cfRule>
  </conditionalFormatting>
  <conditionalFormatting sqref="Q28:X29">
    <cfRule type="expression" dxfId="429" priority="21">
      <formula>$R$32=12</formula>
    </cfRule>
  </conditionalFormatting>
  <conditionalFormatting sqref="Q34:X35">
    <cfRule type="expression" dxfId="428" priority="20">
      <formula>$R$38=12</formula>
    </cfRule>
  </conditionalFormatting>
  <conditionalFormatting sqref="Q40:X41">
    <cfRule type="expression" dxfId="427" priority="19">
      <formula>$R$44=12</formula>
    </cfRule>
  </conditionalFormatting>
  <conditionalFormatting sqref="Q46:X47">
    <cfRule type="expression" dxfId="426" priority="18">
      <formula>$R$50=12</formula>
    </cfRule>
  </conditionalFormatting>
  <conditionalFormatting sqref="F67:J73 B45 B9 B15 B21 B27 B33 B3 F3:F50 J3:J50">
    <cfRule type="cellIs" dxfId="425" priority="59" stopIfTrue="1" operator="equal">
      <formula>#REF!</formula>
    </cfRule>
  </conditionalFormatting>
  <conditionalFormatting sqref="B39">
    <cfRule type="cellIs" dxfId="424" priority="17" stopIfTrue="1" operator="equal">
      <formula>#REF!</formula>
    </cfRule>
  </conditionalFormatting>
  <conditionalFormatting sqref="O4:P5">
    <cfRule type="expression" dxfId="423" priority="15">
      <formula>$R$16=12</formula>
    </cfRule>
  </conditionalFormatting>
  <conditionalFormatting sqref="O10:P11">
    <cfRule type="expression" dxfId="422" priority="14">
      <formula>$R$22=12</formula>
    </cfRule>
  </conditionalFormatting>
  <conditionalFormatting sqref="O16:P17">
    <cfRule type="expression" dxfId="421" priority="13">
      <formula>$R$28=12</formula>
    </cfRule>
  </conditionalFormatting>
  <conditionalFormatting sqref="O22:P23">
    <cfRule type="expression" dxfId="420" priority="12">
      <formula>$R$34=12</formula>
    </cfRule>
  </conditionalFormatting>
  <conditionalFormatting sqref="O28:P29">
    <cfRule type="expression" dxfId="419" priority="11">
      <formula>$R$40=12</formula>
    </cfRule>
  </conditionalFormatting>
  <conditionalFormatting sqref="O34:P35">
    <cfRule type="expression" dxfId="418" priority="10">
      <formula>$R$46=12</formula>
    </cfRule>
  </conditionalFormatting>
  <conditionalFormatting sqref="O40:P41">
    <cfRule type="expression" dxfId="417" priority="9">
      <formula>$R$52=12</formula>
    </cfRule>
  </conditionalFormatting>
  <conditionalFormatting sqref="O46:P47">
    <cfRule type="expression" dxfId="416" priority="8">
      <formula>$R$58=12</formula>
    </cfRule>
  </conditionalFormatting>
  <conditionalFormatting sqref="F55:J62 F64:J66">
    <cfRule type="cellIs" dxfId="415" priority="7" stopIfTrue="1" operator="equal">
      <formula>$Y$7</formula>
    </cfRule>
  </conditionalFormatting>
  <conditionalFormatting sqref="F63">
    <cfRule type="cellIs" dxfId="414" priority="6" stopIfTrue="1" operator="equal">
      <formula>$Y$7</formula>
    </cfRule>
  </conditionalFormatting>
  <conditionalFormatting sqref="J63">
    <cfRule type="cellIs" dxfId="413" priority="5" stopIfTrue="1" operator="equal">
      <formula>$Y$7</formula>
    </cfRule>
  </conditionalFormatting>
  <conditionalFormatting sqref="F54">
    <cfRule type="cellIs" dxfId="412" priority="4" stopIfTrue="1" operator="equal">
      <formula>$Y$7</formula>
    </cfRule>
  </conditionalFormatting>
  <conditionalFormatting sqref="J54">
    <cfRule type="cellIs" dxfId="411" priority="3" stopIfTrue="1" operator="equal">
      <formula>$Y$7</formula>
    </cfRule>
  </conditionalFormatting>
  <conditionalFormatting sqref="H54">
    <cfRule type="cellIs" dxfId="410" priority="2" stopIfTrue="1" operator="equal">
      <formula>$Y$7</formula>
    </cfRule>
  </conditionalFormatting>
  <conditionalFormatting sqref="H63">
    <cfRule type="cellIs" dxfId="40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D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W117"/>
  <sheetViews>
    <sheetView topLeftCell="A7" workbookViewId="0">
      <selection activeCell="N24" sqref="N24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IF(Copa2022!F16="","",IF(Copa2022!O12=Marcus!P4,Regras!$J$27,0))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0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empate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IF(Copa2022!F22="","",IF(Copa2022!O18=Marcus!P10,Regras!$J$27,0))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IF(Copa2022!F28="","",IF(Copa2022!O24=Marcus!P16,Regras!$J$27,0))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0</v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empate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0</v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empate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IF(Copa2022!F34="","",IF(Copa2022!O30=Marcus!P22,Regras!$J$27,0))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empate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3" t="s">
        <v>56</v>
      </c>
      <c r="P33" s="534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3" t="s">
        <v>58</v>
      </c>
      <c r="P39" s="534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08" priority="58" stopIfTrue="1" operator="equal">
      <formula>#REF!</formula>
    </cfRule>
  </conditionalFormatting>
  <conditionalFormatting sqref="M54:N54 N55:N61">
    <cfRule type="expression" dxfId="407" priority="57">
      <formula>$H$14="penaltis"</formula>
    </cfRule>
  </conditionalFormatting>
  <conditionalFormatting sqref="L55:M55">
    <cfRule type="expression" dxfId="406" priority="56">
      <formula>$H$15="penaltis"</formula>
    </cfRule>
  </conditionalFormatting>
  <conditionalFormatting sqref="L56:M56">
    <cfRule type="expression" dxfId="405" priority="55">
      <formula>$H$16="penaltis"</formula>
    </cfRule>
  </conditionalFormatting>
  <conditionalFormatting sqref="L57:M57">
    <cfRule type="expression" dxfId="404" priority="54">
      <formula>$H$17="penaltis"</formula>
    </cfRule>
  </conditionalFormatting>
  <conditionalFormatting sqref="L58:M58">
    <cfRule type="expression" dxfId="403" priority="53">
      <formula>$H$18="penaltis"</formula>
    </cfRule>
  </conditionalFormatting>
  <conditionalFormatting sqref="L59:M59">
    <cfRule type="expression" dxfId="402" priority="52">
      <formula>$H$19="penaltis"</formula>
    </cfRule>
  </conditionalFormatting>
  <conditionalFormatting sqref="L60:M60">
    <cfRule type="expression" dxfId="401" priority="51">
      <formula>$H$20="penaltis"</formula>
    </cfRule>
  </conditionalFormatting>
  <conditionalFormatting sqref="L61:M61">
    <cfRule type="expression" dxfId="400" priority="50">
      <formula>$H$21="penaltis"</formula>
    </cfRule>
  </conditionalFormatting>
  <conditionalFormatting sqref="N63">
    <cfRule type="expression" dxfId="399" priority="49">
      <formula>$H$23="penaltis"</formula>
    </cfRule>
  </conditionalFormatting>
  <conditionalFormatting sqref="N64">
    <cfRule type="expression" dxfId="398" priority="48" stopIfTrue="1">
      <formula>$H$24="penaltis"</formula>
    </cfRule>
  </conditionalFormatting>
  <conditionalFormatting sqref="N65">
    <cfRule type="expression" dxfId="397" priority="47" stopIfTrue="1">
      <formula>$H$25="penaltis"</formula>
    </cfRule>
  </conditionalFormatting>
  <conditionalFormatting sqref="N66">
    <cfRule type="expression" dxfId="396" priority="46" stopIfTrue="1">
      <formula>$H$26="penaltis"</formula>
    </cfRule>
  </conditionalFormatting>
  <conditionalFormatting sqref="N68">
    <cfRule type="expression" dxfId="395" priority="45" stopIfTrue="1">
      <formula>$H$28="penaltis"</formula>
    </cfRule>
  </conditionalFormatting>
  <conditionalFormatting sqref="N69">
    <cfRule type="expression" dxfId="394" priority="44" stopIfTrue="1">
      <formula>$H$29="penaltis"</formula>
    </cfRule>
  </conditionalFormatting>
  <conditionalFormatting sqref="N71">
    <cfRule type="expression" dxfId="393" priority="43" stopIfTrue="1">
      <formula>$H$31="penaltis"</formula>
    </cfRule>
  </conditionalFormatting>
  <conditionalFormatting sqref="N73">
    <cfRule type="expression" dxfId="392" priority="42" stopIfTrue="1">
      <formula>$H$33="penaltis"</formula>
    </cfRule>
  </conditionalFormatting>
  <conditionalFormatting sqref="L54:M54">
    <cfRule type="expression" dxfId="391" priority="41" stopIfTrue="1">
      <formula>$K$54="penaltis"</formula>
    </cfRule>
  </conditionalFormatting>
  <conditionalFormatting sqref="L55:M55">
    <cfRule type="expression" dxfId="390" priority="40" stopIfTrue="1">
      <formula>$K$55="penaltis"</formula>
    </cfRule>
  </conditionalFormatting>
  <conditionalFormatting sqref="L56:M56">
    <cfRule type="expression" dxfId="389" priority="39" stopIfTrue="1">
      <formula>$K$56="penaltis"</formula>
    </cfRule>
  </conditionalFormatting>
  <conditionalFormatting sqref="L57:M57">
    <cfRule type="expression" dxfId="388" priority="38" stopIfTrue="1">
      <formula>$K$57="penaltis"</formula>
    </cfRule>
  </conditionalFormatting>
  <conditionalFormatting sqref="L58:M58">
    <cfRule type="expression" dxfId="387" priority="37" stopIfTrue="1">
      <formula>$K$58="penaltis"</formula>
    </cfRule>
  </conditionalFormatting>
  <conditionalFormatting sqref="L59:M59">
    <cfRule type="expression" dxfId="386" priority="36" stopIfTrue="1">
      <formula>$K$59="penaltis"</formula>
    </cfRule>
  </conditionalFormatting>
  <conditionalFormatting sqref="L60:M60">
    <cfRule type="expression" dxfId="385" priority="35" stopIfTrue="1">
      <formula>$K$60="penaltis"</formula>
    </cfRule>
  </conditionalFormatting>
  <conditionalFormatting sqref="L61:M61">
    <cfRule type="expression" dxfId="384" priority="34" stopIfTrue="1">
      <formula>$K$61="penaltis"</formula>
    </cfRule>
  </conditionalFormatting>
  <conditionalFormatting sqref="L63:M63">
    <cfRule type="expression" dxfId="383" priority="33">
      <formula>$K$63="penaltis"</formula>
    </cfRule>
  </conditionalFormatting>
  <conditionalFormatting sqref="L64:M64">
    <cfRule type="expression" dxfId="382" priority="32">
      <formula>$K$64="penaltis"</formula>
    </cfRule>
  </conditionalFormatting>
  <conditionalFormatting sqref="L65:M65">
    <cfRule type="expression" dxfId="381" priority="31">
      <formula>$K$65="penaltis"</formula>
    </cfRule>
  </conditionalFormatting>
  <conditionalFormatting sqref="L66:M66">
    <cfRule type="expression" dxfId="380" priority="30">
      <formula>$K$66="penaltis"</formula>
    </cfRule>
  </conditionalFormatting>
  <conditionalFormatting sqref="L68:M68">
    <cfRule type="expression" dxfId="379" priority="29">
      <formula>$K$68="penaltis"</formula>
    </cfRule>
  </conditionalFormatting>
  <conditionalFormatting sqref="L69:M69">
    <cfRule type="expression" dxfId="378" priority="28">
      <formula>$K$69="penaltis"</formula>
    </cfRule>
  </conditionalFormatting>
  <conditionalFormatting sqref="L71:M71">
    <cfRule type="expression" dxfId="377" priority="27">
      <formula>$K$71="penaltis"</formula>
    </cfRule>
  </conditionalFormatting>
  <conditionalFormatting sqref="L73:M73">
    <cfRule type="expression" dxfId="376" priority="26">
      <formula>$K$73="penaltis"</formula>
    </cfRule>
  </conditionalFormatting>
  <conditionalFormatting sqref="Q4:X5">
    <cfRule type="expression" dxfId="375" priority="25">
      <formula>$R$8=12</formula>
    </cfRule>
  </conditionalFormatting>
  <conditionalFormatting sqref="Q10:X11">
    <cfRule type="expression" dxfId="374" priority="24">
      <formula>$R$14=12</formula>
    </cfRule>
  </conditionalFormatting>
  <conditionalFormatting sqref="Q16:X17">
    <cfRule type="expression" dxfId="373" priority="23">
      <formula>$R$20=12</formula>
    </cfRule>
  </conditionalFormatting>
  <conditionalFormatting sqref="Q22:X23">
    <cfRule type="expression" dxfId="372" priority="22">
      <formula>$R$26=12</formula>
    </cfRule>
  </conditionalFormatting>
  <conditionalFormatting sqref="Q28:X29">
    <cfRule type="expression" dxfId="371" priority="21">
      <formula>$R$32=12</formula>
    </cfRule>
  </conditionalFormatting>
  <conditionalFormatting sqref="Q34:X35">
    <cfRule type="expression" dxfId="370" priority="20">
      <formula>$R$38=12</formula>
    </cfRule>
  </conditionalFormatting>
  <conditionalFormatting sqref="Q40:X41">
    <cfRule type="expression" dxfId="369" priority="19">
      <formula>$R$44=12</formula>
    </cfRule>
  </conditionalFormatting>
  <conditionalFormatting sqref="Q46:X47">
    <cfRule type="expression" dxfId="368" priority="18">
      <formula>$R$50=12</formula>
    </cfRule>
  </conditionalFormatting>
  <conditionalFormatting sqref="F67:J73 B45 B9 B15 B21 B27 B33 B3 F3:F50 J3:J50">
    <cfRule type="cellIs" dxfId="367" priority="59" stopIfTrue="1" operator="equal">
      <formula>#REF!</formula>
    </cfRule>
  </conditionalFormatting>
  <conditionalFormatting sqref="B39">
    <cfRule type="cellIs" dxfId="366" priority="17" stopIfTrue="1" operator="equal">
      <formula>#REF!</formula>
    </cfRule>
  </conditionalFormatting>
  <conditionalFormatting sqref="O4:P5">
    <cfRule type="expression" dxfId="365" priority="15">
      <formula>$R$16=12</formula>
    </cfRule>
  </conditionalFormatting>
  <conditionalFormatting sqref="O10:P11">
    <cfRule type="expression" dxfId="364" priority="14">
      <formula>$R$22=12</formula>
    </cfRule>
  </conditionalFormatting>
  <conditionalFormatting sqref="O16:P17">
    <cfRule type="expression" dxfId="363" priority="13">
      <formula>$R$28=12</formula>
    </cfRule>
  </conditionalFormatting>
  <conditionalFormatting sqref="O22:P23">
    <cfRule type="expression" dxfId="362" priority="12">
      <formula>$R$34=12</formula>
    </cfRule>
  </conditionalFormatting>
  <conditionalFormatting sqref="O28:P29">
    <cfRule type="expression" dxfId="361" priority="11">
      <formula>$R$40=12</formula>
    </cfRule>
  </conditionalFormatting>
  <conditionalFormatting sqref="O34:P35">
    <cfRule type="expression" dxfId="360" priority="10">
      <formula>$R$46=12</formula>
    </cfRule>
  </conditionalFormatting>
  <conditionalFormatting sqref="O40:P41">
    <cfRule type="expression" dxfId="359" priority="9">
      <formula>$R$52=12</formula>
    </cfRule>
  </conditionalFormatting>
  <conditionalFormatting sqref="O46:P47">
    <cfRule type="expression" dxfId="358" priority="8">
      <formula>$R$58=12</formula>
    </cfRule>
  </conditionalFormatting>
  <conditionalFormatting sqref="F55:J62 F64:J66">
    <cfRule type="cellIs" dxfId="357" priority="7" stopIfTrue="1" operator="equal">
      <formula>$Y$7</formula>
    </cfRule>
  </conditionalFormatting>
  <conditionalFormatting sqref="F63">
    <cfRule type="cellIs" dxfId="356" priority="6" stopIfTrue="1" operator="equal">
      <formula>$Y$7</formula>
    </cfRule>
  </conditionalFormatting>
  <conditionalFormatting sqref="J63">
    <cfRule type="cellIs" dxfId="355" priority="5" stopIfTrue="1" operator="equal">
      <formula>$Y$7</formula>
    </cfRule>
  </conditionalFormatting>
  <conditionalFormatting sqref="F54">
    <cfRule type="cellIs" dxfId="354" priority="4" stopIfTrue="1" operator="equal">
      <formula>$Y$7</formula>
    </cfRule>
  </conditionalFormatting>
  <conditionalFormatting sqref="J54">
    <cfRule type="cellIs" dxfId="353" priority="3" stopIfTrue="1" operator="equal">
      <formula>$Y$7</formula>
    </cfRule>
  </conditionalFormatting>
  <conditionalFormatting sqref="H54">
    <cfRule type="cellIs" dxfId="352" priority="2" stopIfTrue="1" operator="equal">
      <formula>$Y$7</formula>
    </cfRule>
  </conditionalFormatting>
  <conditionalFormatting sqref="H63">
    <cfRule type="cellIs" dxfId="35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E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W117"/>
  <sheetViews>
    <sheetView topLeftCell="A19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IF(Copa2022!F16="","",IF(Copa2022!O12=Adalberto!P4,Regras!$J$27,0))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IF(Copa2022!F22="","",IF(Copa2022!O18=Adalberto!P10,Regras!$J$27,0))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IF(Copa2022!F28="","",IF(Copa2022!O24=Adalberto!P16,Regras!$J$27,0))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10</v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IF(Copa2022!F34="","",IF(Copa2022!O30=Adalberto!P22,Regras!$J$27,0))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3" t="s">
        <v>58</v>
      </c>
      <c r="P39" s="534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50" priority="58" stopIfTrue="1" operator="equal">
      <formula>#REF!</formula>
    </cfRule>
  </conditionalFormatting>
  <conditionalFormatting sqref="M54:N54 N55:N61">
    <cfRule type="expression" dxfId="349" priority="57">
      <formula>$H$14="penaltis"</formula>
    </cfRule>
  </conditionalFormatting>
  <conditionalFormatting sqref="L55:M55">
    <cfRule type="expression" dxfId="348" priority="56">
      <formula>$H$15="penaltis"</formula>
    </cfRule>
  </conditionalFormatting>
  <conditionalFormatting sqref="L56:M56">
    <cfRule type="expression" dxfId="347" priority="55">
      <formula>$H$16="penaltis"</formula>
    </cfRule>
  </conditionalFormatting>
  <conditionalFormatting sqref="L57:M57">
    <cfRule type="expression" dxfId="346" priority="54">
      <formula>$H$17="penaltis"</formula>
    </cfRule>
  </conditionalFormatting>
  <conditionalFormatting sqref="L58:M58">
    <cfRule type="expression" dxfId="345" priority="53">
      <formula>$H$18="penaltis"</formula>
    </cfRule>
  </conditionalFormatting>
  <conditionalFormatting sqref="L59:M59">
    <cfRule type="expression" dxfId="344" priority="52">
      <formula>$H$19="penaltis"</formula>
    </cfRule>
  </conditionalFormatting>
  <conditionalFormatting sqref="L60:M60">
    <cfRule type="expression" dxfId="343" priority="51">
      <formula>$H$20="penaltis"</formula>
    </cfRule>
  </conditionalFormatting>
  <conditionalFormatting sqref="L61:M61">
    <cfRule type="expression" dxfId="342" priority="50">
      <formula>$H$21="penaltis"</formula>
    </cfRule>
  </conditionalFormatting>
  <conditionalFormatting sqref="N63">
    <cfRule type="expression" dxfId="341" priority="49">
      <formula>$H$23="penaltis"</formula>
    </cfRule>
  </conditionalFormatting>
  <conditionalFormatting sqref="N64">
    <cfRule type="expression" dxfId="340" priority="48" stopIfTrue="1">
      <formula>$H$24="penaltis"</formula>
    </cfRule>
  </conditionalFormatting>
  <conditionalFormatting sqref="N65">
    <cfRule type="expression" dxfId="339" priority="47" stopIfTrue="1">
      <formula>$H$25="penaltis"</formula>
    </cfRule>
  </conditionalFormatting>
  <conditionalFormatting sqref="N66">
    <cfRule type="expression" dxfId="338" priority="46" stopIfTrue="1">
      <formula>$H$26="penaltis"</formula>
    </cfRule>
  </conditionalFormatting>
  <conditionalFormatting sqref="N68">
    <cfRule type="expression" dxfId="337" priority="45" stopIfTrue="1">
      <formula>$H$28="penaltis"</formula>
    </cfRule>
  </conditionalFormatting>
  <conditionalFormatting sqref="N69">
    <cfRule type="expression" dxfId="336" priority="44" stopIfTrue="1">
      <formula>$H$29="penaltis"</formula>
    </cfRule>
  </conditionalFormatting>
  <conditionalFormatting sqref="N71">
    <cfRule type="expression" dxfId="335" priority="43" stopIfTrue="1">
      <formula>$H$31="penaltis"</formula>
    </cfRule>
  </conditionalFormatting>
  <conditionalFormatting sqref="N73">
    <cfRule type="expression" dxfId="334" priority="42" stopIfTrue="1">
      <formula>$H$33="penaltis"</formula>
    </cfRule>
  </conditionalFormatting>
  <conditionalFormatting sqref="L54:M54">
    <cfRule type="expression" dxfId="333" priority="41" stopIfTrue="1">
      <formula>$K$54="penaltis"</formula>
    </cfRule>
  </conditionalFormatting>
  <conditionalFormatting sqref="L55:M55">
    <cfRule type="expression" dxfId="332" priority="40" stopIfTrue="1">
      <formula>$K$55="penaltis"</formula>
    </cfRule>
  </conditionalFormatting>
  <conditionalFormatting sqref="L56:M56">
    <cfRule type="expression" dxfId="331" priority="39" stopIfTrue="1">
      <formula>$K$56="penaltis"</formula>
    </cfRule>
  </conditionalFormatting>
  <conditionalFormatting sqref="L57:M57">
    <cfRule type="expression" dxfId="330" priority="38" stopIfTrue="1">
      <formula>$K$57="penaltis"</formula>
    </cfRule>
  </conditionalFormatting>
  <conditionalFormatting sqref="L58:M58">
    <cfRule type="expression" dxfId="329" priority="37" stopIfTrue="1">
      <formula>$K$58="penaltis"</formula>
    </cfRule>
  </conditionalFormatting>
  <conditionalFormatting sqref="L59:M59">
    <cfRule type="expression" dxfId="328" priority="36" stopIfTrue="1">
      <formula>$K$59="penaltis"</formula>
    </cfRule>
  </conditionalFormatting>
  <conditionalFormatting sqref="L60:M60">
    <cfRule type="expression" dxfId="327" priority="35" stopIfTrue="1">
      <formula>$K$60="penaltis"</formula>
    </cfRule>
  </conditionalFormatting>
  <conditionalFormatting sqref="L61:M61">
    <cfRule type="expression" dxfId="326" priority="34" stopIfTrue="1">
      <formula>$K$61="penaltis"</formula>
    </cfRule>
  </conditionalFormatting>
  <conditionalFormatting sqref="L63:M63">
    <cfRule type="expression" dxfId="325" priority="33">
      <formula>$K$63="penaltis"</formula>
    </cfRule>
  </conditionalFormatting>
  <conditionalFormatting sqref="L64:M64">
    <cfRule type="expression" dxfId="324" priority="32">
      <formula>$K$64="penaltis"</formula>
    </cfRule>
  </conditionalFormatting>
  <conditionalFormatting sqref="L65:M65">
    <cfRule type="expression" dxfId="323" priority="31">
      <formula>$K$65="penaltis"</formula>
    </cfRule>
  </conditionalFormatting>
  <conditionalFormatting sqref="L66:M66">
    <cfRule type="expression" dxfId="322" priority="30">
      <formula>$K$66="penaltis"</formula>
    </cfRule>
  </conditionalFormatting>
  <conditionalFormatting sqref="L68:M68">
    <cfRule type="expression" dxfId="321" priority="29">
      <formula>$K$68="penaltis"</formula>
    </cfRule>
  </conditionalFormatting>
  <conditionalFormatting sqref="L69:M69">
    <cfRule type="expression" dxfId="320" priority="28">
      <formula>$K$69="penaltis"</formula>
    </cfRule>
  </conditionalFormatting>
  <conditionalFormatting sqref="L71:M71">
    <cfRule type="expression" dxfId="319" priority="27">
      <formula>$K$71="penaltis"</formula>
    </cfRule>
  </conditionalFormatting>
  <conditionalFormatting sqref="L73:M73">
    <cfRule type="expression" dxfId="318" priority="26">
      <formula>$K$73="penaltis"</formula>
    </cfRule>
  </conditionalFormatting>
  <conditionalFormatting sqref="Q4:X5">
    <cfRule type="expression" dxfId="317" priority="25">
      <formula>$R$8=12</formula>
    </cfRule>
  </conditionalFormatting>
  <conditionalFormatting sqref="Q10:X11">
    <cfRule type="expression" dxfId="316" priority="24">
      <formula>$R$14=12</formula>
    </cfRule>
  </conditionalFormatting>
  <conditionalFormatting sqref="Q16:X17">
    <cfRule type="expression" dxfId="315" priority="23">
      <formula>$R$20=12</formula>
    </cfRule>
  </conditionalFormatting>
  <conditionalFormatting sqref="Q22:X23">
    <cfRule type="expression" dxfId="314" priority="22">
      <formula>$R$26=12</formula>
    </cfRule>
  </conditionalFormatting>
  <conditionalFormatting sqref="Q28:X29">
    <cfRule type="expression" dxfId="313" priority="21">
      <formula>$R$32=12</formula>
    </cfRule>
  </conditionalFormatting>
  <conditionalFormatting sqref="Q34:X35">
    <cfRule type="expression" dxfId="312" priority="20">
      <formula>$R$38=12</formula>
    </cfRule>
  </conditionalFormatting>
  <conditionalFormatting sqref="Q40:X41">
    <cfRule type="expression" dxfId="311" priority="19">
      <formula>$R$44=12</formula>
    </cfRule>
  </conditionalFormatting>
  <conditionalFormatting sqref="Q46:X47">
    <cfRule type="expression" dxfId="310" priority="18">
      <formula>$R$50=12</formula>
    </cfRule>
  </conditionalFormatting>
  <conditionalFormatting sqref="F67:J73 B45 B9 B15 B21 B27 B33 B3 F3:F50 J3:J50">
    <cfRule type="cellIs" dxfId="309" priority="59" stopIfTrue="1" operator="equal">
      <formula>#REF!</formula>
    </cfRule>
  </conditionalFormatting>
  <conditionalFormatting sqref="B39">
    <cfRule type="cellIs" dxfId="308" priority="17" stopIfTrue="1" operator="equal">
      <formula>#REF!</formula>
    </cfRule>
  </conditionalFormatting>
  <conditionalFormatting sqref="O4:P5">
    <cfRule type="expression" dxfId="307" priority="15">
      <formula>$R$16=12</formula>
    </cfRule>
  </conditionalFormatting>
  <conditionalFormatting sqref="O10:P11">
    <cfRule type="expression" dxfId="306" priority="14">
      <formula>$R$22=12</formula>
    </cfRule>
  </conditionalFormatting>
  <conditionalFormatting sqref="O16:P17">
    <cfRule type="expression" dxfId="305" priority="13">
      <formula>$R$28=12</formula>
    </cfRule>
  </conditionalFormatting>
  <conditionalFormatting sqref="O22:P23">
    <cfRule type="expression" dxfId="304" priority="12">
      <formula>$R$34=12</formula>
    </cfRule>
  </conditionalFormatting>
  <conditionalFormatting sqref="O28:P29">
    <cfRule type="expression" dxfId="303" priority="11">
      <formula>$R$40=12</formula>
    </cfRule>
  </conditionalFormatting>
  <conditionalFormatting sqref="O34:P35">
    <cfRule type="expression" dxfId="302" priority="10">
      <formula>$R$46=12</formula>
    </cfRule>
  </conditionalFormatting>
  <conditionalFormatting sqref="O40:P41">
    <cfRule type="expression" dxfId="301" priority="9">
      <formula>$R$52=12</formula>
    </cfRule>
  </conditionalFormatting>
  <conditionalFormatting sqref="O46:P47">
    <cfRule type="expression" dxfId="300" priority="8">
      <formula>$R$58=12</formula>
    </cfRule>
  </conditionalFormatting>
  <conditionalFormatting sqref="F55:J62 F64:J66">
    <cfRule type="cellIs" dxfId="299" priority="7" stopIfTrue="1" operator="equal">
      <formula>$Y$7</formula>
    </cfRule>
  </conditionalFormatting>
  <conditionalFormatting sqref="F63">
    <cfRule type="cellIs" dxfId="298" priority="6" stopIfTrue="1" operator="equal">
      <formula>$Y$7</formula>
    </cfRule>
  </conditionalFormatting>
  <conditionalFormatting sqref="J63">
    <cfRule type="cellIs" dxfId="297" priority="5" stopIfTrue="1" operator="equal">
      <formula>$Y$7</formula>
    </cfRule>
  </conditionalFormatting>
  <conditionalFormatting sqref="F54">
    <cfRule type="cellIs" dxfId="296" priority="4" stopIfTrue="1" operator="equal">
      <formula>$Y$7</formula>
    </cfRule>
  </conditionalFormatting>
  <conditionalFormatting sqref="J54">
    <cfRule type="cellIs" dxfId="295" priority="3" stopIfTrue="1" operator="equal">
      <formula>$Y$7</formula>
    </cfRule>
  </conditionalFormatting>
  <conditionalFormatting sqref="H54">
    <cfRule type="cellIs" dxfId="294" priority="2" stopIfTrue="1" operator="equal">
      <formula>$Y$7</formula>
    </cfRule>
  </conditionalFormatting>
  <conditionalFormatting sqref="H63">
    <cfRule type="cellIs" dxfId="29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F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W117"/>
  <sheetViews>
    <sheetView topLeftCell="A19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3" t="s">
        <v>198</v>
      </c>
      <c r="P3" s="557"/>
      <c r="Q3" s="324">
        <f>IF(Copa2022!F16="","",IF(Copa2022!O12=Adriano!P4,Regras!$J$27,0))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IF(Copa2022!F22="","",IF(Copa2022!O18=Adriano!P10,Regras!$J$27,0))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IF(Copa2022!F28="","",IF(Copa2022!O24=Adriano!P16,Regras!$J$27,0))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5</v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IF(Copa2022!F34="","",IF(Copa2022!O30=Adriano!P22,Regras!$J$27,0))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3" t="s">
        <v>59</v>
      </c>
      <c r="P45" s="534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92" priority="58" stopIfTrue="1" operator="equal">
      <formula>#REF!</formula>
    </cfRule>
  </conditionalFormatting>
  <conditionalFormatting sqref="M54:N54 N55:N61">
    <cfRule type="expression" dxfId="291" priority="57">
      <formula>$H$14="penaltis"</formula>
    </cfRule>
  </conditionalFormatting>
  <conditionalFormatting sqref="L55:M55">
    <cfRule type="expression" dxfId="290" priority="56">
      <formula>$H$15="penaltis"</formula>
    </cfRule>
  </conditionalFormatting>
  <conditionalFormatting sqref="L56:M56">
    <cfRule type="expression" dxfId="289" priority="55">
      <formula>$H$16="penaltis"</formula>
    </cfRule>
  </conditionalFormatting>
  <conditionalFormatting sqref="L57:M57">
    <cfRule type="expression" dxfId="288" priority="54">
      <formula>$H$17="penaltis"</formula>
    </cfRule>
  </conditionalFormatting>
  <conditionalFormatting sqref="L58:M58">
    <cfRule type="expression" dxfId="287" priority="53">
      <formula>$H$18="penaltis"</formula>
    </cfRule>
  </conditionalFormatting>
  <conditionalFormatting sqref="L59:M59">
    <cfRule type="expression" dxfId="286" priority="52">
      <formula>$H$19="penaltis"</formula>
    </cfRule>
  </conditionalFormatting>
  <conditionalFormatting sqref="L60:M60">
    <cfRule type="expression" dxfId="285" priority="51">
      <formula>$H$20="penaltis"</formula>
    </cfRule>
  </conditionalFormatting>
  <conditionalFormatting sqref="L61:M61">
    <cfRule type="expression" dxfId="284" priority="50">
      <formula>$H$21="penaltis"</formula>
    </cfRule>
  </conditionalFormatting>
  <conditionalFormatting sqref="N63">
    <cfRule type="expression" dxfId="283" priority="49">
      <formula>$H$23="penaltis"</formula>
    </cfRule>
  </conditionalFormatting>
  <conditionalFormatting sqref="N64">
    <cfRule type="expression" dxfId="282" priority="48" stopIfTrue="1">
      <formula>$H$24="penaltis"</formula>
    </cfRule>
  </conditionalFormatting>
  <conditionalFormatting sqref="N65">
    <cfRule type="expression" dxfId="281" priority="47" stopIfTrue="1">
      <formula>$H$25="penaltis"</formula>
    </cfRule>
  </conditionalFormatting>
  <conditionalFormatting sqref="N66">
    <cfRule type="expression" dxfId="280" priority="46" stopIfTrue="1">
      <formula>$H$26="penaltis"</formula>
    </cfRule>
  </conditionalFormatting>
  <conditionalFormatting sqref="N68">
    <cfRule type="expression" dxfId="279" priority="45" stopIfTrue="1">
      <formula>$H$28="penaltis"</formula>
    </cfRule>
  </conditionalFormatting>
  <conditionalFormatting sqref="N69">
    <cfRule type="expression" dxfId="278" priority="44" stopIfTrue="1">
      <formula>$H$29="penaltis"</formula>
    </cfRule>
  </conditionalFormatting>
  <conditionalFormatting sqref="N71">
    <cfRule type="expression" dxfId="277" priority="43" stopIfTrue="1">
      <formula>$H$31="penaltis"</formula>
    </cfRule>
  </conditionalFormatting>
  <conditionalFormatting sqref="N73">
    <cfRule type="expression" dxfId="276" priority="42" stopIfTrue="1">
      <formula>$H$33="penaltis"</formula>
    </cfRule>
  </conditionalFormatting>
  <conditionalFormatting sqref="L54:M54">
    <cfRule type="expression" dxfId="275" priority="41" stopIfTrue="1">
      <formula>$K$54="penaltis"</formula>
    </cfRule>
  </conditionalFormatting>
  <conditionalFormatting sqref="L55:M55">
    <cfRule type="expression" dxfId="274" priority="40" stopIfTrue="1">
      <formula>$K$55="penaltis"</formula>
    </cfRule>
  </conditionalFormatting>
  <conditionalFormatting sqref="L56:M56">
    <cfRule type="expression" dxfId="273" priority="39" stopIfTrue="1">
      <formula>$K$56="penaltis"</formula>
    </cfRule>
  </conditionalFormatting>
  <conditionalFormatting sqref="L57:M57">
    <cfRule type="expression" dxfId="272" priority="38" stopIfTrue="1">
      <formula>$K$57="penaltis"</formula>
    </cfRule>
  </conditionalFormatting>
  <conditionalFormatting sqref="L58:M58">
    <cfRule type="expression" dxfId="271" priority="37" stopIfTrue="1">
      <formula>$K$58="penaltis"</formula>
    </cfRule>
  </conditionalFormatting>
  <conditionalFormatting sqref="L59:M59">
    <cfRule type="expression" dxfId="270" priority="36" stopIfTrue="1">
      <formula>$K$59="penaltis"</formula>
    </cfRule>
  </conditionalFormatting>
  <conditionalFormatting sqref="L60:M60">
    <cfRule type="expression" dxfId="269" priority="35" stopIfTrue="1">
      <formula>$K$60="penaltis"</formula>
    </cfRule>
  </conditionalFormatting>
  <conditionalFormatting sqref="L61:M61">
    <cfRule type="expression" dxfId="268" priority="34" stopIfTrue="1">
      <formula>$K$61="penaltis"</formula>
    </cfRule>
  </conditionalFormatting>
  <conditionalFormatting sqref="L63:M63">
    <cfRule type="expression" dxfId="267" priority="33">
      <formula>$K$63="penaltis"</formula>
    </cfRule>
  </conditionalFormatting>
  <conditionalFormatting sqref="L64:M64">
    <cfRule type="expression" dxfId="266" priority="32">
      <formula>$K$64="penaltis"</formula>
    </cfRule>
  </conditionalFormatting>
  <conditionalFormatting sqref="L65:M65">
    <cfRule type="expression" dxfId="265" priority="31">
      <formula>$K$65="penaltis"</formula>
    </cfRule>
  </conditionalFormatting>
  <conditionalFormatting sqref="L66:M66">
    <cfRule type="expression" dxfId="264" priority="30">
      <formula>$K$66="penaltis"</formula>
    </cfRule>
  </conditionalFormatting>
  <conditionalFormatting sqref="L68:M68">
    <cfRule type="expression" dxfId="263" priority="29">
      <formula>$K$68="penaltis"</formula>
    </cfRule>
  </conditionalFormatting>
  <conditionalFormatting sqref="L69:M69">
    <cfRule type="expression" dxfId="262" priority="28">
      <formula>$K$69="penaltis"</formula>
    </cfRule>
  </conditionalFormatting>
  <conditionalFormatting sqref="L71:M71">
    <cfRule type="expression" dxfId="261" priority="27">
      <formula>$K$71="penaltis"</formula>
    </cfRule>
  </conditionalFormatting>
  <conditionalFormatting sqref="L73:M73">
    <cfRule type="expression" dxfId="260" priority="26">
      <formula>$K$73="penaltis"</formula>
    </cfRule>
  </conditionalFormatting>
  <conditionalFormatting sqref="Q4:X5">
    <cfRule type="expression" dxfId="259" priority="25">
      <formula>$R$8=12</formula>
    </cfRule>
  </conditionalFormatting>
  <conditionalFormatting sqref="Q10:X11">
    <cfRule type="expression" dxfId="258" priority="24">
      <formula>$R$14=12</formula>
    </cfRule>
  </conditionalFormatting>
  <conditionalFormatting sqref="Q16:X17">
    <cfRule type="expression" dxfId="257" priority="23">
      <formula>$R$20=12</formula>
    </cfRule>
  </conditionalFormatting>
  <conditionalFormatting sqref="Q22:X23">
    <cfRule type="expression" dxfId="256" priority="22">
      <formula>$R$26=12</formula>
    </cfRule>
  </conditionalFormatting>
  <conditionalFormatting sqref="Q28:X29">
    <cfRule type="expression" dxfId="255" priority="21">
      <formula>$R$32=12</formula>
    </cfRule>
  </conditionalFormatting>
  <conditionalFormatting sqref="Q34:X35">
    <cfRule type="expression" dxfId="254" priority="20">
      <formula>$R$38=12</formula>
    </cfRule>
  </conditionalFormatting>
  <conditionalFormatting sqref="Q40:X41">
    <cfRule type="expression" dxfId="253" priority="19">
      <formula>$R$44=12</formula>
    </cfRule>
  </conditionalFormatting>
  <conditionalFormatting sqref="Q46:X47">
    <cfRule type="expression" dxfId="252" priority="18">
      <formula>$R$50=12</formula>
    </cfRule>
  </conditionalFormatting>
  <conditionalFormatting sqref="F67:J73 B45 B9 B15 B21 B27 B33 B3 F3:F50 J3:J50">
    <cfRule type="cellIs" dxfId="251" priority="59" stopIfTrue="1" operator="equal">
      <formula>#REF!</formula>
    </cfRule>
  </conditionalFormatting>
  <conditionalFormatting sqref="B39">
    <cfRule type="cellIs" dxfId="250" priority="17" stopIfTrue="1" operator="equal">
      <formula>#REF!</formula>
    </cfRule>
  </conditionalFormatting>
  <conditionalFormatting sqref="O4:P5">
    <cfRule type="expression" dxfId="249" priority="15">
      <formula>$R$16=12</formula>
    </cfRule>
  </conditionalFormatting>
  <conditionalFormatting sqref="O10:P11">
    <cfRule type="expression" dxfId="248" priority="14">
      <formula>$R$22=12</formula>
    </cfRule>
  </conditionalFormatting>
  <conditionalFormatting sqref="O16:P17">
    <cfRule type="expression" dxfId="247" priority="13">
      <formula>$R$28=12</formula>
    </cfRule>
  </conditionalFormatting>
  <conditionalFormatting sqref="O22:P23">
    <cfRule type="expression" dxfId="246" priority="12">
      <formula>$R$34=12</formula>
    </cfRule>
  </conditionalFormatting>
  <conditionalFormatting sqref="O28:P29">
    <cfRule type="expression" dxfId="245" priority="11">
      <formula>$R$40=12</formula>
    </cfRule>
  </conditionalFormatting>
  <conditionalFormatting sqref="O34:P35">
    <cfRule type="expression" dxfId="244" priority="10">
      <formula>$R$46=12</formula>
    </cfRule>
  </conditionalFormatting>
  <conditionalFormatting sqref="O40:P41">
    <cfRule type="expression" dxfId="243" priority="9">
      <formula>$R$52=12</formula>
    </cfRule>
  </conditionalFormatting>
  <conditionalFormatting sqref="O46:P47">
    <cfRule type="expression" dxfId="242" priority="8">
      <formula>$R$58=12</formula>
    </cfRule>
  </conditionalFormatting>
  <conditionalFormatting sqref="F55:J62 F64:J66">
    <cfRule type="cellIs" dxfId="241" priority="7" stopIfTrue="1" operator="equal">
      <formula>$Y$7</formula>
    </cfRule>
  </conditionalFormatting>
  <conditionalFormatting sqref="F63">
    <cfRule type="cellIs" dxfId="240" priority="6" stopIfTrue="1" operator="equal">
      <formula>$Y$7</formula>
    </cfRule>
  </conditionalFormatting>
  <conditionalFormatting sqref="J63">
    <cfRule type="cellIs" dxfId="239" priority="5" stopIfTrue="1" operator="equal">
      <formula>$Y$7</formula>
    </cfRule>
  </conditionalFormatting>
  <conditionalFormatting sqref="F54">
    <cfRule type="cellIs" dxfId="238" priority="4" stopIfTrue="1" operator="equal">
      <formula>$Y$7</formula>
    </cfRule>
  </conditionalFormatting>
  <conditionalFormatting sqref="J54">
    <cfRule type="cellIs" dxfId="237" priority="3" stopIfTrue="1" operator="equal">
      <formula>$Y$7</formula>
    </cfRule>
  </conditionalFormatting>
  <conditionalFormatting sqref="H54">
    <cfRule type="cellIs" dxfId="236" priority="2" stopIfTrue="1" operator="equal">
      <formula>$Y$7</formula>
    </cfRule>
  </conditionalFormatting>
  <conditionalFormatting sqref="H63">
    <cfRule type="cellIs" dxfId="23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0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W117"/>
  <sheetViews>
    <sheetView topLeftCell="A16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3" t="s">
        <v>198</v>
      </c>
      <c r="P3" s="557"/>
      <c r="Q3" s="324">
        <f>IF(Copa2022!F16="","",IF(Copa2022!O12=Girlayne!P4,Regras!$J$27,0))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IF(Copa2022!F22="","",IF(Copa2022!O18=Girlayne!P10,Regras!$J$27,0))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IF(Copa2022!F28="","",IF(Copa2022!O24=Girlayne!P16,Regras!$J$27,0))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5</v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IF(Copa2022!F34="","",IF(Copa2022!O30=Girlayne!P22,Regras!$J$27,0))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10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0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34" priority="58" stopIfTrue="1" operator="equal">
      <formula>#REF!</formula>
    </cfRule>
  </conditionalFormatting>
  <conditionalFormatting sqref="M54:N54 N55:N61">
    <cfRule type="expression" dxfId="233" priority="57">
      <formula>$H$14="penaltis"</formula>
    </cfRule>
  </conditionalFormatting>
  <conditionalFormatting sqref="L55:M55">
    <cfRule type="expression" dxfId="232" priority="56">
      <formula>$H$15="penaltis"</formula>
    </cfRule>
  </conditionalFormatting>
  <conditionalFormatting sqref="L56:M56">
    <cfRule type="expression" dxfId="231" priority="55">
      <formula>$H$16="penaltis"</formula>
    </cfRule>
  </conditionalFormatting>
  <conditionalFormatting sqref="L57:M57">
    <cfRule type="expression" dxfId="230" priority="54">
      <formula>$H$17="penaltis"</formula>
    </cfRule>
  </conditionalFormatting>
  <conditionalFormatting sqref="L58:M58">
    <cfRule type="expression" dxfId="229" priority="53">
      <formula>$H$18="penaltis"</formula>
    </cfRule>
  </conditionalFormatting>
  <conditionalFormatting sqref="L59:M59">
    <cfRule type="expression" dxfId="228" priority="52">
      <formula>$H$19="penaltis"</formula>
    </cfRule>
  </conditionalFormatting>
  <conditionalFormatting sqref="L60:M60">
    <cfRule type="expression" dxfId="227" priority="51">
      <formula>$H$20="penaltis"</formula>
    </cfRule>
  </conditionalFormatting>
  <conditionalFormatting sqref="L61:M61">
    <cfRule type="expression" dxfId="226" priority="50">
      <formula>$H$21="penaltis"</formula>
    </cfRule>
  </conditionalFormatting>
  <conditionalFormatting sqref="N63">
    <cfRule type="expression" dxfId="225" priority="49">
      <formula>$H$23="penaltis"</formula>
    </cfRule>
  </conditionalFormatting>
  <conditionalFormatting sqref="N64">
    <cfRule type="expression" dxfId="224" priority="48" stopIfTrue="1">
      <formula>$H$24="penaltis"</formula>
    </cfRule>
  </conditionalFormatting>
  <conditionalFormatting sqref="N65">
    <cfRule type="expression" dxfId="223" priority="47" stopIfTrue="1">
      <formula>$H$25="penaltis"</formula>
    </cfRule>
  </conditionalFormatting>
  <conditionalFormatting sqref="N66">
    <cfRule type="expression" dxfId="222" priority="46" stopIfTrue="1">
      <formula>$H$26="penaltis"</formula>
    </cfRule>
  </conditionalFormatting>
  <conditionalFormatting sqref="N68">
    <cfRule type="expression" dxfId="221" priority="45" stopIfTrue="1">
      <formula>$H$28="penaltis"</formula>
    </cfRule>
  </conditionalFormatting>
  <conditionalFormatting sqref="N69">
    <cfRule type="expression" dxfId="220" priority="44" stopIfTrue="1">
      <formula>$H$29="penaltis"</formula>
    </cfRule>
  </conditionalFormatting>
  <conditionalFormatting sqref="N71">
    <cfRule type="expression" dxfId="219" priority="43" stopIfTrue="1">
      <formula>$H$31="penaltis"</formula>
    </cfRule>
  </conditionalFormatting>
  <conditionalFormatting sqref="N73">
    <cfRule type="expression" dxfId="218" priority="42" stopIfTrue="1">
      <formula>$H$33="penaltis"</formula>
    </cfRule>
  </conditionalFormatting>
  <conditionalFormatting sqref="L54:M54">
    <cfRule type="expression" dxfId="217" priority="41" stopIfTrue="1">
      <formula>$K$54="penaltis"</formula>
    </cfRule>
  </conditionalFormatting>
  <conditionalFormatting sqref="L55:M55">
    <cfRule type="expression" dxfId="216" priority="40" stopIfTrue="1">
      <formula>$K$55="penaltis"</formula>
    </cfRule>
  </conditionalFormatting>
  <conditionalFormatting sqref="L56:M56">
    <cfRule type="expression" dxfId="215" priority="39" stopIfTrue="1">
      <formula>$K$56="penaltis"</formula>
    </cfRule>
  </conditionalFormatting>
  <conditionalFormatting sqref="L57:M57">
    <cfRule type="expression" dxfId="214" priority="38" stopIfTrue="1">
      <formula>$K$57="penaltis"</formula>
    </cfRule>
  </conditionalFormatting>
  <conditionalFormatting sqref="L58:M58">
    <cfRule type="expression" dxfId="213" priority="37" stopIfTrue="1">
      <formula>$K$58="penaltis"</formula>
    </cfRule>
  </conditionalFormatting>
  <conditionalFormatting sqref="L59:M59">
    <cfRule type="expression" dxfId="212" priority="36" stopIfTrue="1">
      <formula>$K$59="penaltis"</formula>
    </cfRule>
  </conditionalFormatting>
  <conditionalFormatting sqref="L60:M60">
    <cfRule type="expression" dxfId="211" priority="35" stopIfTrue="1">
      <formula>$K$60="penaltis"</formula>
    </cfRule>
  </conditionalFormatting>
  <conditionalFormatting sqref="L61:M61">
    <cfRule type="expression" dxfId="210" priority="34" stopIfTrue="1">
      <formula>$K$61="penaltis"</formula>
    </cfRule>
  </conditionalFormatting>
  <conditionalFormatting sqref="L63:M63">
    <cfRule type="expression" dxfId="209" priority="33">
      <formula>$K$63="penaltis"</formula>
    </cfRule>
  </conditionalFormatting>
  <conditionalFormatting sqref="L64:M64">
    <cfRule type="expression" dxfId="208" priority="32">
      <formula>$K$64="penaltis"</formula>
    </cfRule>
  </conditionalFormatting>
  <conditionalFormatting sqref="L65:M65">
    <cfRule type="expression" dxfId="207" priority="31">
      <formula>$K$65="penaltis"</formula>
    </cfRule>
  </conditionalFormatting>
  <conditionalFormatting sqref="L66:M66">
    <cfRule type="expression" dxfId="206" priority="30">
      <formula>$K$66="penaltis"</formula>
    </cfRule>
  </conditionalFormatting>
  <conditionalFormatting sqref="L68:M68">
    <cfRule type="expression" dxfId="205" priority="29">
      <formula>$K$68="penaltis"</formula>
    </cfRule>
  </conditionalFormatting>
  <conditionalFormatting sqref="L69:M69">
    <cfRule type="expression" dxfId="204" priority="28">
      <formula>$K$69="penaltis"</formula>
    </cfRule>
  </conditionalFormatting>
  <conditionalFormatting sqref="L71:M71">
    <cfRule type="expression" dxfId="203" priority="27">
      <formula>$K$71="penaltis"</formula>
    </cfRule>
  </conditionalFormatting>
  <conditionalFormatting sqref="L73:M73">
    <cfRule type="expression" dxfId="202" priority="26">
      <formula>$K$73="penaltis"</formula>
    </cfRule>
  </conditionalFormatting>
  <conditionalFormatting sqref="Q4:X5">
    <cfRule type="expression" dxfId="201" priority="25">
      <formula>$R$8=12</formula>
    </cfRule>
  </conditionalFormatting>
  <conditionalFormatting sqref="Q10:X11">
    <cfRule type="expression" dxfId="200" priority="24">
      <formula>$R$14=12</formula>
    </cfRule>
  </conditionalFormatting>
  <conditionalFormatting sqref="Q16:X17">
    <cfRule type="expression" dxfId="199" priority="23">
      <formula>$R$20=12</formula>
    </cfRule>
  </conditionalFormatting>
  <conditionalFormatting sqref="Q22:X23">
    <cfRule type="expression" dxfId="198" priority="22">
      <formula>$R$26=12</formula>
    </cfRule>
  </conditionalFormatting>
  <conditionalFormatting sqref="Q28:X29">
    <cfRule type="expression" dxfId="197" priority="21">
      <formula>$R$32=12</formula>
    </cfRule>
  </conditionalFormatting>
  <conditionalFormatting sqref="Q34:X35">
    <cfRule type="expression" dxfId="196" priority="20">
      <formula>$R$38=12</formula>
    </cfRule>
  </conditionalFormatting>
  <conditionalFormatting sqref="Q40:X41">
    <cfRule type="expression" dxfId="195" priority="19">
      <formula>$R$44=12</formula>
    </cfRule>
  </conditionalFormatting>
  <conditionalFormatting sqref="Q46:X47">
    <cfRule type="expression" dxfId="194" priority="18">
      <formula>$R$50=12</formula>
    </cfRule>
  </conditionalFormatting>
  <conditionalFormatting sqref="F67:J73 B45 B9 B15 B21 B27 B33 B3 F3:F50 J3:J50">
    <cfRule type="cellIs" dxfId="193" priority="59" stopIfTrue="1" operator="equal">
      <formula>#REF!</formula>
    </cfRule>
  </conditionalFormatting>
  <conditionalFormatting sqref="B39">
    <cfRule type="cellIs" dxfId="192" priority="17" stopIfTrue="1" operator="equal">
      <formula>#REF!</formula>
    </cfRule>
  </conditionalFormatting>
  <conditionalFormatting sqref="O4:P5">
    <cfRule type="expression" dxfId="191" priority="15">
      <formula>$R$16=12</formula>
    </cfRule>
  </conditionalFormatting>
  <conditionalFormatting sqref="O10:P11">
    <cfRule type="expression" dxfId="190" priority="14">
      <formula>$R$22=12</formula>
    </cfRule>
  </conditionalFormatting>
  <conditionalFormatting sqref="O16:P17">
    <cfRule type="expression" dxfId="189" priority="13">
      <formula>$R$28=12</formula>
    </cfRule>
  </conditionalFormatting>
  <conditionalFormatting sqref="O22:P23">
    <cfRule type="expression" dxfId="188" priority="12">
      <formula>$R$34=12</formula>
    </cfRule>
  </conditionalFormatting>
  <conditionalFormatting sqref="O28:P29">
    <cfRule type="expression" dxfId="187" priority="11">
      <formula>$R$40=12</formula>
    </cfRule>
  </conditionalFormatting>
  <conditionalFormatting sqref="O34:P35">
    <cfRule type="expression" dxfId="186" priority="10">
      <formula>$R$46=12</formula>
    </cfRule>
  </conditionalFormatting>
  <conditionalFormatting sqref="O40:P41">
    <cfRule type="expression" dxfId="185" priority="9">
      <formula>$R$52=12</formula>
    </cfRule>
  </conditionalFormatting>
  <conditionalFormatting sqref="O46:P47">
    <cfRule type="expression" dxfId="184" priority="8">
      <formula>$R$58=12</formula>
    </cfRule>
  </conditionalFormatting>
  <conditionalFormatting sqref="F55:J62 F64:J66">
    <cfRule type="cellIs" dxfId="183" priority="7" stopIfTrue="1" operator="equal">
      <formula>$Y$7</formula>
    </cfRule>
  </conditionalFormatting>
  <conditionalFormatting sqref="F63">
    <cfRule type="cellIs" dxfId="182" priority="6" stopIfTrue="1" operator="equal">
      <formula>$Y$7</formula>
    </cfRule>
  </conditionalFormatting>
  <conditionalFormatting sqref="J63">
    <cfRule type="cellIs" dxfId="181" priority="5" stopIfTrue="1" operator="equal">
      <formula>$Y$7</formula>
    </cfRule>
  </conditionalFormatting>
  <conditionalFormatting sqref="F54">
    <cfRule type="cellIs" dxfId="180" priority="4" stopIfTrue="1" operator="equal">
      <formula>$Y$7</formula>
    </cfRule>
  </conditionalFormatting>
  <conditionalFormatting sqref="J54">
    <cfRule type="cellIs" dxfId="179" priority="3" stopIfTrue="1" operator="equal">
      <formula>$Y$7</formula>
    </cfRule>
  </conditionalFormatting>
  <conditionalFormatting sqref="H54">
    <cfRule type="cellIs" dxfId="178" priority="2" stopIfTrue="1" operator="equal">
      <formula>$Y$7</formula>
    </cfRule>
  </conditionalFormatting>
  <conditionalFormatting sqref="H63">
    <cfRule type="cellIs" dxfId="17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1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W117"/>
  <sheetViews>
    <sheetView topLeftCell="A16"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IF(Copa2022!F16="","",IF(Copa2022!O12=Denise!P4,Regras!$J$27,0))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IF(Copa2022!F22="","",IF(Copa2022!O18=Denise!P10,Regras!$J$27,0))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IF(Copa2022!F28="","",IF(Copa2022!O24=Denise!P16,Regras!$J$27,0))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5</v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0</v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empate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IF(Copa2022!F34="","",IF(Copa2022!O30=Denise!P22,Regras!$J$27,0))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3" t="s">
        <v>56</v>
      </c>
      <c r="P33" s="534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10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76" priority="58" stopIfTrue="1" operator="equal">
      <formula>#REF!</formula>
    </cfRule>
  </conditionalFormatting>
  <conditionalFormatting sqref="M54:N54 N55:N61">
    <cfRule type="expression" dxfId="175" priority="57">
      <formula>$H$14="penaltis"</formula>
    </cfRule>
  </conditionalFormatting>
  <conditionalFormatting sqref="L55:M55">
    <cfRule type="expression" dxfId="174" priority="56">
      <formula>$H$15="penaltis"</formula>
    </cfRule>
  </conditionalFormatting>
  <conditionalFormatting sqref="L56:M56">
    <cfRule type="expression" dxfId="173" priority="55">
      <formula>$H$16="penaltis"</formula>
    </cfRule>
  </conditionalFormatting>
  <conditionalFormatting sqref="L57:M57">
    <cfRule type="expression" dxfId="172" priority="54">
      <formula>$H$17="penaltis"</formula>
    </cfRule>
  </conditionalFormatting>
  <conditionalFormatting sqref="L58:M58">
    <cfRule type="expression" dxfId="171" priority="53">
      <formula>$H$18="penaltis"</formula>
    </cfRule>
  </conditionalFormatting>
  <conditionalFormatting sqref="L59:M59">
    <cfRule type="expression" dxfId="170" priority="52">
      <formula>$H$19="penaltis"</formula>
    </cfRule>
  </conditionalFormatting>
  <conditionalFormatting sqref="L60:M60">
    <cfRule type="expression" dxfId="169" priority="51">
      <formula>$H$20="penaltis"</formula>
    </cfRule>
  </conditionalFormatting>
  <conditionalFormatting sqref="L61:M61">
    <cfRule type="expression" dxfId="168" priority="50">
      <formula>$H$21="penaltis"</formula>
    </cfRule>
  </conditionalFormatting>
  <conditionalFormatting sqref="N63">
    <cfRule type="expression" dxfId="167" priority="49">
      <formula>$H$23="penaltis"</formula>
    </cfRule>
  </conditionalFormatting>
  <conditionalFormatting sqref="N64">
    <cfRule type="expression" dxfId="166" priority="48" stopIfTrue="1">
      <formula>$H$24="penaltis"</formula>
    </cfRule>
  </conditionalFormatting>
  <conditionalFormatting sqref="N65">
    <cfRule type="expression" dxfId="165" priority="47" stopIfTrue="1">
      <formula>$H$25="penaltis"</formula>
    </cfRule>
  </conditionalFormatting>
  <conditionalFormatting sqref="N66">
    <cfRule type="expression" dxfId="164" priority="46" stopIfTrue="1">
      <formula>$H$26="penaltis"</formula>
    </cfRule>
  </conditionalFormatting>
  <conditionalFormatting sqref="N68">
    <cfRule type="expression" dxfId="163" priority="45" stopIfTrue="1">
      <formula>$H$28="penaltis"</formula>
    </cfRule>
  </conditionalFormatting>
  <conditionalFormatting sqref="N69">
    <cfRule type="expression" dxfId="162" priority="44" stopIfTrue="1">
      <formula>$H$29="penaltis"</formula>
    </cfRule>
  </conditionalFormatting>
  <conditionalFormatting sqref="N71">
    <cfRule type="expression" dxfId="161" priority="43" stopIfTrue="1">
      <formula>$H$31="penaltis"</formula>
    </cfRule>
  </conditionalFormatting>
  <conditionalFormatting sqref="N73">
    <cfRule type="expression" dxfId="160" priority="42" stopIfTrue="1">
      <formula>$H$33="penaltis"</formula>
    </cfRule>
  </conditionalFormatting>
  <conditionalFormatting sqref="L54:M54">
    <cfRule type="expression" dxfId="159" priority="41" stopIfTrue="1">
      <formula>$K$54="penaltis"</formula>
    </cfRule>
  </conditionalFormatting>
  <conditionalFormatting sqref="L55:M55">
    <cfRule type="expression" dxfId="158" priority="40" stopIfTrue="1">
      <formula>$K$55="penaltis"</formula>
    </cfRule>
  </conditionalFormatting>
  <conditionalFormatting sqref="L56:M56">
    <cfRule type="expression" dxfId="157" priority="39" stopIfTrue="1">
      <formula>$K$56="penaltis"</formula>
    </cfRule>
  </conditionalFormatting>
  <conditionalFormatting sqref="L57:M57">
    <cfRule type="expression" dxfId="156" priority="38" stopIfTrue="1">
      <formula>$K$57="penaltis"</formula>
    </cfRule>
  </conditionalFormatting>
  <conditionalFormatting sqref="L58:M58">
    <cfRule type="expression" dxfId="155" priority="37" stopIfTrue="1">
      <formula>$K$58="penaltis"</formula>
    </cfRule>
  </conditionalFormatting>
  <conditionalFormatting sqref="L59:M59">
    <cfRule type="expression" dxfId="154" priority="36" stopIfTrue="1">
      <formula>$K$59="penaltis"</formula>
    </cfRule>
  </conditionalFormatting>
  <conditionalFormatting sqref="L60:M60">
    <cfRule type="expression" dxfId="153" priority="35" stopIfTrue="1">
      <formula>$K$60="penaltis"</formula>
    </cfRule>
  </conditionalFormatting>
  <conditionalFormatting sqref="L61:M61">
    <cfRule type="expression" dxfId="152" priority="34" stopIfTrue="1">
      <formula>$K$61="penaltis"</formula>
    </cfRule>
  </conditionalFormatting>
  <conditionalFormatting sqref="L63:M63">
    <cfRule type="expression" dxfId="151" priority="33">
      <formula>$K$63="penaltis"</formula>
    </cfRule>
  </conditionalFormatting>
  <conditionalFormatting sqref="L64:M64">
    <cfRule type="expression" dxfId="150" priority="32">
      <formula>$K$64="penaltis"</formula>
    </cfRule>
  </conditionalFormatting>
  <conditionalFormatting sqref="L65:M65">
    <cfRule type="expression" dxfId="149" priority="31">
      <formula>$K$65="penaltis"</formula>
    </cfRule>
  </conditionalFormatting>
  <conditionalFormatting sqref="L66:M66">
    <cfRule type="expression" dxfId="148" priority="30">
      <formula>$K$66="penaltis"</formula>
    </cfRule>
  </conditionalFormatting>
  <conditionalFormatting sqref="L68:M68">
    <cfRule type="expression" dxfId="147" priority="29">
      <formula>$K$68="penaltis"</formula>
    </cfRule>
  </conditionalFormatting>
  <conditionalFormatting sqref="L69:M69">
    <cfRule type="expression" dxfId="146" priority="28">
      <formula>$K$69="penaltis"</formula>
    </cfRule>
  </conditionalFormatting>
  <conditionalFormatting sqref="L71:M71">
    <cfRule type="expression" dxfId="145" priority="27">
      <formula>$K$71="penaltis"</formula>
    </cfRule>
  </conditionalFormatting>
  <conditionalFormatting sqref="L73:M73">
    <cfRule type="expression" dxfId="144" priority="26">
      <formula>$K$73="penaltis"</formula>
    </cfRule>
  </conditionalFormatting>
  <conditionalFormatting sqref="Q4:X5">
    <cfRule type="expression" dxfId="143" priority="25">
      <formula>$R$8=12</formula>
    </cfRule>
  </conditionalFormatting>
  <conditionalFormatting sqref="Q10:X11">
    <cfRule type="expression" dxfId="142" priority="24">
      <formula>$R$14=12</formula>
    </cfRule>
  </conditionalFormatting>
  <conditionalFormatting sqref="Q16:X17">
    <cfRule type="expression" dxfId="141" priority="23">
      <formula>$R$20=12</formula>
    </cfRule>
  </conditionalFormatting>
  <conditionalFormatting sqref="Q22:X23">
    <cfRule type="expression" dxfId="140" priority="22">
      <formula>$R$26=12</formula>
    </cfRule>
  </conditionalFormatting>
  <conditionalFormatting sqref="Q28:X29">
    <cfRule type="expression" dxfId="139" priority="21">
      <formula>$R$32=12</formula>
    </cfRule>
  </conditionalFormatting>
  <conditionalFormatting sqref="Q34:X35">
    <cfRule type="expression" dxfId="138" priority="20">
      <formula>$R$38=12</formula>
    </cfRule>
  </conditionalFormatting>
  <conditionalFormatting sqref="Q40:X41">
    <cfRule type="expression" dxfId="137" priority="19">
      <formula>$R$44=12</formula>
    </cfRule>
  </conditionalFormatting>
  <conditionalFormatting sqref="Q46:X47">
    <cfRule type="expression" dxfId="136" priority="18">
      <formula>$R$50=12</formula>
    </cfRule>
  </conditionalFormatting>
  <conditionalFormatting sqref="F67:J73 B45 B9 B15 B21 B27 B33 B3 F3:F50 J3:J50">
    <cfRule type="cellIs" dxfId="135" priority="59" stopIfTrue="1" operator="equal">
      <formula>#REF!</formula>
    </cfRule>
  </conditionalFormatting>
  <conditionalFormatting sqref="B39">
    <cfRule type="cellIs" dxfId="134" priority="17" stopIfTrue="1" operator="equal">
      <formula>#REF!</formula>
    </cfRule>
  </conditionalFormatting>
  <conditionalFormatting sqref="O4:P5">
    <cfRule type="expression" dxfId="133" priority="15">
      <formula>$R$16=12</formula>
    </cfRule>
  </conditionalFormatting>
  <conditionalFormatting sqref="O10:P11">
    <cfRule type="expression" dxfId="132" priority="14">
      <formula>$R$22=12</formula>
    </cfRule>
  </conditionalFormatting>
  <conditionalFormatting sqref="O16:P17">
    <cfRule type="expression" dxfId="131" priority="13">
      <formula>$R$28=12</formula>
    </cfRule>
  </conditionalFormatting>
  <conditionalFormatting sqref="O22:P23">
    <cfRule type="expression" dxfId="130" priority="12">
      <formula>$R$34=12</formula>
    </cfRule>
  </conditionalFormatting>
  <conditionalFormatting sqref="O28:P29">
    <cfRule type="expression" dxfId="129" priority="11">
      <formula>$R$40=12</formula>
    </cfRule>
  </conditionalFormatting>
  <conditionalFormatting sqref="O34:P35">
    <cfRule type="expression" dxfId="128" priority="10">
      <formula>$R$46=12</formula>
    </cfRule>
  </conditionalFormatting>
  <conditionalFormatting sqref="O40:P41">
    <cfRule type="expression" dxfId="127" priority="9">
      <formula>$R$52=12</formula>
    </cfRule>
  </conditionalFormatting>
  <conditionalFormatting sqref="O46:P47">
    <cfRule type="expression" dxfId="126" priority="8">
      <formula>$R$58=12</formula>
    </cfRule>
  </conditionalFormatting>
  <conditionalFormatting sqref="F55:J62 F64:J66">
    <cfRule type="cellIs" dxfId="125" priority="7" stopIfTrue="1" operator="equal">
      <formula>$Y$7</formula>
    </cfRule>
  </conditionalFormatting>
  <conditionalFormatting sqref="F63">
    <cfRule type="cellIs" dxfId="124" priority="6" stopIfTrue="1" operator="equal">
      <formula>$Y$7</formula>
    </cfRule>
  </conditionalFormatting>
  <conditionalFormatting sqref="J63">
    <cfRule type="cellIs" dxfId="123" priority="5" stopIfTrue="1" operator="equal">
      <formula>$Y$7</formula>
    </cfRule>
  </conditionalFormatting>
  <conditionalFormatting sqref="F54">
    <cfRule type="cellIs" dxfId="122" priority="4" stopIfTrue="1" operator="equal">
      <formula>$Y$7</formula>
    </cfRule>
  </conditionalFormatting>
  <conditionalFormatting sqref="J54">
    <cfRule type="cellIs" dxfId="121" priority="3" stopIfTrue="1" operator="equal">
      <formula>$Y$7</formula>
    </cfRule>
  </conditionalFormatting>
  <conditionalFormatting sqref="H54">
    <cfRule type="cellIs" dxfId="120" priority="2" stopIfTrue="1" operator="equal">
      <formula>$Y$7</formula>
    </cfRule>
  </conditionalFormatting>
  <conditionalFormatting sqref="H63">
    <cfRule type="cellIs" dxfId="11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2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W117"/>
  <sheetViews>
    <sheetView topLeftCell="A19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IF(Copa2022!F16="","",IF(Copa2022!O12=Silvia!P4,Regras!$J$27,0))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IF(Copa2022!F22="","",IF(Copa2022!O18=Silvia!P10,Regras!$J$27,0))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IF(Copa2022!F28="","",IF(Copa2022!O24=Silvia!P16,Regras!$J$27,0))</f>
        <v>15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10</v>
      </c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Argentina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10</v>
      </c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IF(Copa2022!F34="","",IF(Copa2022!O30=Silvia!P22,Regras!$J$27,0))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O21:P21"/>
    <mergeCell ref="B27:B32"/>
    <mergeCell ref="O27:P27"/>
    <mergeCell ref="B21:B26"/>
    <mergeCell ref="O33:P33"/>
    <mergeCell ref="B3:B8"/>
    <mergeCell ref="O3:P3"/>
    <mergeCell ref="O9:P9"/>
    <mergeCell ref="B15:B20"/>
    <mergeCell ref="O15:P15"/>
    <mergeCell ref="B9:B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18" priority="50" stopIfTrue="1" operator="equal">
      <formula>#REF!</formula>
    </cfRule>
  </conditionalFormatting>
  <conditionalFormatting sqref="M54:N54 N55:N61">
    <cfRule type="expression" dxfId="117" priority="49">
      <formula>$H$14="penaltis"</formula>
    </cfRule>
  </conditionalFormatting>
  <conditionalFormatting sqref="L55:M55">
    <cfRule type="expression" dxfId="116" priority="48">
      <formula>$H$15="penaltis"</formula>
    </cfRule>
  </conditionalFormatting>
  <conditionalFormatting sqref="L56:M56">
    <cfRule type="expression" dxfId="115" priority="47">
      <formula>$H$16="penaltis"</formula>
    </cfRule>
  </conditionalFormatting>
  <conditionalFormatting sqref="L57:M57">
    <cfRule type="expression" dxfId="114" priority="46">
      <formula>$H$17="penaltis"</formula>
    </cfRule>
  </conditionalFormatting>
  <conditionalFormatting sqref="L58:M58">
    <cfRule type="expression" dxfId="113" priority="45">
      <formula>$H$18="penaltis"</formula>
    </cfRule>
  </conditionalFormatting>
  <conditionalFormatting sqref="L59:M59">
    <cfRule type="expression" dxfId="112" priority="44">
      <formula>$H$19="penaltis"</formula>
    </cfRule>
  </conditionalFormatting>
  <conditionalFormatting sqref="L60:M60">
    <cfRule type="expression" dxfId="111" priority="43">
      <formula>$H$20="penaltis"</formula>
    </cfRule>
  </conditionalFormatting>
  <conditionalFormatting sqref="L61:M61">
    <cfRule type="expression" dxfId="110" priority="42">
      <formula>$H$21="penaltis"</formula>
    </cfRule>
  </conditionalFormatting>
  <conditionalFormatting sqref="N63">
    <cfRule type="expression" dxfId="109" priority="41">
      <formula>$H$23="penaltis"</formula>
    </cfRule>
  </conditionalFormatting>
  <conditionalFormatting sqref="N64">
    <cfRule type="expression" dxfId="108" priority="40" stopIfTrue="1">
      <formula>$H$24="penaltis"</formula>
    </cfRule>
  </conditionalFormatting>
  <conditionalFormatting sqref="N65">
    <cfRule type="expression" dxfId="107" priority="39" stopIfTrue="1">
      <formula>$H$25="penaltis"</formula>
    </cfRule>
  </conditionalFormatting>
  <conditionalFormatting sqref="N66">
    <cfRule type="expression" dxfId="106" priority="38" stopIfTrue="1">
      <formula>$H$26="penaltis"</formula>
    </cfRule>
  </conditionalFormatting>
  <conditionalFormatting sqref="N68">
    <cfRule type="expression" dxfId="105" priority="37" stopIfTrue="1">
      <formula>$H$28="penaltis"</formula>
    </cfRule>
  </conditionalFormatting>
  <conditionalFormatting sqref="N69">
    <cfRule type="expression" dxfId="104" priority="36" stopIfTrue="1">
      <formula>$H$29="penaltis"</formula>
    </cfRule>
  </conditionalFormatting>
  <conditionalFormatting sqref="N71">
    <cfRule type="expression" dxfId="103" priority="35" stopIfTrue="1">
      <formula>$H$31="penaltis"</formula>
    </cfRule>
  </conditionalFormatting>
  <conditionalFormatting sqref="N73">
    <cfRule type="expression" dxfId="102" priority="34" stopIfTrue="1">
      <formula>$H$33="penaltis"</formula>
    </cfRule>
  </conditionalFormatting>
  <conditionalFormatting sqref="L54:M54">
    <cfRule type="expression" dxfId="101" priority="33" stopIfTrue="1">
      <formula>$K$54="penaltis"</formula>
    </cfRule>
  </conditionalFormatting>
  <conditionalFormatting sqref="L55:M55">
    <cfRule type="expression" dxfId="100" priority="32" stopIfTrue="1">
      <formula>$K$55="penaltis"</formula>
    </cfRule>
  </conditionalFormatting>
  <conditionalFormatting sqref="L56:M56">
    <cfRule type="expression" dxfId="99" priority="31" stopIfTrue="1">
      <formula>$K$56="penaltis"</formula>
    </cfRule>
  </conditionalFormatting>
  <conditionalFormatting sqref="L57:M57">
    <cfRule type="expression" dxfId="98" priority="30" stopIfTrue="1">
      <formula>$K$57="penaltis"</formula>
    </cfRule>
  </conditionalFormatting>
  <conditionalFormatting sqref="L58:M58">
    <cfRule type="expression" dxfId="97" priority="29" stopIfTrue="1">
      <formula>$K$58="penaltis"</formula>
    </cfRule>
  </conditionalFormatting>
  <conditionalFormatting sqref="L59:M59">
    <cfRule type="expression" dxfId="96" priority="28" stopIfTrue="1">
      <formula>$K$59="penaltis"</formula>
    </cfRule>
  </conditionalFormatting>
  <conditionalFormatting sqref="L60:M60">
    <cfRule type="expression" dxfId="95" priority="27" stopIfTrue="1">
      <formula>$K$60="penaltis"</formula>
    </cfRule>
  </conditionalFormatting>
  <conditionalFormatting sqref="L61:M61">
    <cfRule type="expression" dxfId="94" priority="26" stopIfTrue="1">
      <formula>$K$61="penaltis"</formula>
    </cfRule>
  </conditionalFormatting>
  <conditionalFormatting sqref="L63:M63">
    <cfRule type="expression" dxfId="93" priority="25">
      <formula>$K$63="penaltis"</formula>
    </cfRule>
  </conditionalFormatting>
  <conditionalFormatting sqref="L64:M64">
    <cfRule type="expression" dxfId="92" priority="24">
      <formula>$K$64="penaltis"</formula>
    </cfRule>
  </conditionalFormatting>
  <conditionalFormatting sqref="L65:M65">
    <cfRule type="expression" dxfId="91" priority="23">
      <formula>$K$65="penaltis"</formula>
    </cfRule>
  </conditionalFormatting>
  <conditionalFormatting sqref="L66:M66">
    <cfRule type="expression" dxfId="90" priority="22">
      <formula>$K$66="penaltis"</formula>
    </cfRule>
  </conditionalFormatting>
  <conditionalFormatting sqref="L68:M68">
    <cfRule type="expression" dxfId="89" priority="21">
      <formula>$K$68="penaltis"</formula>
    </cfRule>
  </conditionalFormatting>
  <conditionalFormatting sqref="L69:M69">
    <cfRule type="expression" dxfId="88" priority="20">
      <formula>$K$69="penaltis"</formula>
    </cfRule>
  </conditionalFormatting>
  <conditionalFormatting sqref="L71:M71">
    <cfRule type="expression" dxfId="87" priority="19">
      <formula>$K$71="penaltis"</formula>
    </cfRule>
  </conditionalFormatting>
  <conditionalFormatting sqref="L73:M73">
    <cfRule type="expression" dxfId="86" priority="18">
      <formula>$K$73="penaltis"</formula>
    </cfRule>
  </conditionalFormatting>
  <conditionalFormatting sqref="O4:X5">
    <cfRule type="expression" dxfId="85" priority="17">
      <formula>$R$8=12</formula>
    </cfRule>
  </conditionalFormatting>
  <conditionalFormatting sqref="O10:X11">
    <cfRule type="expression" dxfId="84" priority="16">
      <formula>$R$14=12</formula>
    </cfRule>
  </conditionalFormatting>
  <conditionalFormatting sqref="O16:X17">
    <cfRule type="expression" dxfId="83" priority="15">
      <formula>$R$20=12</formula>
    </cfRule>
  </conditionalFormatting>
  <conditionalFormatting sqref="O22:X23">
    <cfRule type="expression" dxfId="82" priority="14">
      <formula>$R$26=12</formula>
    </cfRule>
  </conditionalFormatting>
  <conditionalFormatting sqref="O28:X29">
    <cfRule type="expression" dxfId="81" priority="13">
      <formula>$R$32=12</formula>
    </cfRule>
  </conditionalFormatting>
  <conditionalFormatting sqref="O34:X35">
    <cfRule type="expression" dxfId="80" priority="12">
      <formula>$R$38=12</formula>
    </cfRule>
  </conditionalFormatting>
  <conditionalFormatting sqref="O40:X41">
    <cfRule type="expression" dxfId="79" priority="11">
      <formula>$R$44=12</formula>
    </cfRule>
  </conditionalFormatting>
  <conditionalFormatting sqref="O46:X47">
    <cfRule type="expression" dxfId="78" priority="10">
      <formula>$R$50=12</formula>
    </cfRule>
  </conditionalFormatting>
  <conditionalFormatting sqref="F67:J73 B45 B9 B15 B21 B27 B33 B3 F3:F50 J3:J50">
    <cfRule type="cellIs" dxfId="77" priority="51" stopIfTrue="1" operator="equal">
      <formula>#REF!</formula>
    </cfRule>
  </conditionalFormatting>
  <conditionalFormatting sqref="B39">
    <cfRule type="cellIs" dxfId="76" priority="9" stopIfTrue="1" operator="equal">
      <formula>#REF!</formula>
    </cfRule>
  </conditionalFormatting>
  <conditionalFormatting sqref="F55:J62 F64:J66">
    <cfRule type="cellIs" dxfId="75" priority="7" stopIfTrue="1" operator="equal">
      <formula>$Y$7</formula>
    </cfRule>
  </conditionalFormatting>
  <conditionalFormatting sqref="F63">
    <cfRule type="cellIs" dxfId="74" priority="6" stopIfTrue="1" operator="equal">
      <formula>$Y$7</formula>
    </cfRule>
  </conditionalFormatting>
  <conditionalFormatting sqref="J63">
    <cfRule type="cellIs" dxfId="73" priority="5" stopIfTrue="1" operator="equal">
      <formula>$Y$7</formula>
    </cfRule>
  </conditionalFormatting>
  <conditionalFormatting sqref="F54">
    <cfRule type="cellIs" dxfId="72" priority="4" stopIfTrue="1" operator="equal">
      <formula>$Y$7</formula>
    </cfRule>
  </conditionalFormatting>
  <conditionalFormatting sqref="J54">
    <cfRule type="cellIs" dxfId="71" priority="3" stopIfTrue="1" operator="equal">
      <formula>$Y$7</formula>
    </cfRule>
  </conditionalFormatting>
  <conditionalFormatting sqref="H54">
    <cfRule type="cellIs" dxfId="70" priority="2" stopIfTrue="1" operator="equal">
      <formula>$Y$7</formula>
    </cfRule>
  </conditionalFormatting>
  <conditionalFormatting sqref="H63">
    <cfRule type="cellIs" dxfId="6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3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HW117"/>
  <sheetViews>
    <sheetView workbookViewId="0"/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IF(Copa2022!F16="","",IF(Copa2022!O12=Andrea!P4,Regras!$J$27,0))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 x14ac:dyDescent="0.25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 x14ac:dyDescent="0.25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IF(Copa2022!F22="","",IF(Copa2022!O18=Andrea!P10,Regras!$J$27,0))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5</v>
      </c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 x14ac:dyDescent="0.25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 x14ac:dyDescent="0.25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 x14ac:dyDescent="0.25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>
        <f>IF(Copa2022!F28="","",IF(Copa2022!O24=Andrea!P16,Regras!$J$27,0))</f>
        <v>0</v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M19" s="495"/>
      <c r="N19" s="495">
        <f>IF(OR(Copa2022!F27="",G19=""),"",
IF(AND(Copa2022!F27=G19,Copa2022!H27=I19),Regras!$J$25,IF(Y19=Regras!F41,Regras!$J$26,0)))</f>
        <v>0</v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>empate</v>
      </c>
    </row>
    <row r="20" spans="1:25" s="60" customFormat="1" ht="35.1" customHeight="1" thickBot="1" x14ac:dyDescent="0.25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M20" s="495"/>
      <c r="N20" s="495">
        <f>IF(OR(Copa2022!F28="",G20=""),"",
IF(AND(Copa2022!F28=G20,Copa2022!H28=I20),Regras!$J$25,IF(Y20=Regras!F42,Regras!$J$26,0)))</f>
        <v>10</v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>México</v>
      </c>
    </row>
    <row r="21" spans="1:25" s="60" customFormat="1" ht="35.1" customHeight="1" thickBot="1" x14ac:dyDescent="0.25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3" t="s">
        <v>51</v>
      </c>
      <c r="P21" s="534"/>
      <c r="Q21" s="324">
        <f>IF(Copa2022!F34="","",IF(Copa2022!O30=Andrea!P22,Regras!$J$27,0))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 x14ac:dyDescent="0.25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empate</v>
      </c>
    </row>
    <row r="27" spans="1:25" s="60" customFormat="1" ht="35.1" customHeight="1" thickBot="1" x14ac:dyDescent="0.25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3" t="s">
        <v>56</v>
      </c>
      <c r="P33" s="534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10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empate</v>
      </c>
    </row>
    <row r="36" spans="1:25" s="60" customFormat="1" ht="35.1" customHeight="1" thickTop="1" x14ac:dyDescent="0.2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Canadá</v>
      </c>
    </row>
    <row r="37" spans="1:25" s="60" customFormat="1" ht="35.1" customHeight="1" thickBot="1" x14ac:dyDescent="0.25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x14ac:dyDescent="0.2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 x14ac:dyDescent="0.25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Argentina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Polônia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 x14ac:dyDescent="0.2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8" priority="58" stopIfTrue="1" operator="equal">
      <formula>#REF!</formula>
    </cfRule>
  </conditionalFormatting>
  <conditionalFormatting sqref="M54:N54 N55:N61">
    <cfRule type="expression" dxfId="67" priority="57">
      <formula>$H$14="penaltis"</formula>
    </cfRule>
  </conditionalFormatting>
  <conditionalFormatting sqref="L55:M55">
    <cfRule type="expression" dxfId="66" priority="56">
      <formula>$H$15="penaltis"</formula>
    </cfRule>
  </conditionalFormatting>
  <conditionalFormatting sqref="L56:M56">
    <cfRule type="expression" dxfId="65" priority="55">
      <formula>$H$16="penaltis"</formula>
    </cfRule>
  </conditionalFormatting>
  <conditionalFormatting sqref="L57:M57">
    <cfRule type="expression" dxfId="64" priority="54">
      <formula>$H$17="penaltis"</formula>
    </cfRule>
  </conditionalFormatting>
  <conditionalFormatting sqref="L58:M58">
    <cfRule type="expression" dxfId="63" priority="53">
      <formula>$H$18="penaltis"</formula>
    </cfRule>
  </conditionalFormatting>
  <conditionalFormatting sqref="L59:M59">
    <cfRule type="expression" dxfId="62" priority="52">
      <formula>$H$19="penaltis"</formula>
    </cfRule>
  </conditionalFormatting>
  <conditionalFormatting sqref="L60:M60">
    <cfRule type="expression" dxfId="61" priority="51">
      <formula>$H$20="penaltis"</formula>
    </cfRule>
  </conditionalFormatting>
  <conditionalFormatting sqref="L61:M61">
    <cfRule type="expression" dxfId="60" priority="50">
      <formula>$H$21="penaltis"</formula>
    </cfRule>
  </conditionalFormatting>
  <conditionalFormatting sqref="N63">
    <cfRule type="expression" dxfId="59" priority="49">
      <formula>$H$23="penaltis"</formula>
    </cfRule>
  </conditionalFormatting>
  <conditionalFormatting sqref="N64">
    <cfRule type="expression" dxfId="58" priority="48" stopIfTrue="1">
      <formula>$H$24="penaltis"</formula>
    </cfRule>
  </conditionalFormatting>
  <conditionalFormatting sqref="N65">
    <cfRule type="expression" dxfId="57" priority="47" stopIfTrue="1">
      <formula>$H$25="penaltis"</formula>
    </cfRule>
  </conditionalFormatting>
  <conditionalFormatting sqref="N66">
    <cfRule type="expression" dxfId="56" priority="46" stopIfTrue="1">
      <formula>$H$26="penaltis"</formula>
    </cfRule>
  </conditionalFormatting>
  <conditionalFormatting sqref="N68">
    <cfRule type="expression" dxfId="55" priority="45" stopIfTrue="1">
      <formula>$H$28="penaltis"</formula>
    </cfRule>
  </conditionalFormatting>
  <conditionalFormatting sqref="N69">
    <cfRule type="expression" dxfId="54" priority="44" stopIfTrue="1">
      <formula>$H$29="penaltis"</formula>
    </cfRule>
  </conditionalFormatting>
  <conditionalFormatting sqref="N71">
    <cfRule type="expression" dxfId="53" priority="43" stopIfTrue="1">
      <formula>$H$31="penaltis"</formula>
    </cfRule>
  </conditionalFormatting>
  <conditionalFormatting sqref="N73">
    <cfRule type="expression" dxfId="52" priority="42" stopIfTrue="1">
      <formula>$H$33="penaltis"</formula>
    </cfRule>
  </conditionalFormatting>
  <conditionalFormatting sqref="L54:M54">
    <cfRule type="expression" dxfId="51" priority="41" stopIfTrue="1">
      <formula>$K$54="penaltis"</formula>
    </cfRule>
  </conditionalFormatting>
  <conditionalFormatting sqref="L55:M55">
    <cfRule type="expression" dxfId="50" priority="40" stopIfTrue="1">
      <formula>$K$55="penaltis"</formula>
    </cfRule>
  </conditionalFormatting>
  <conditionalFormatting sqref="L56:M56">
    <cfRule type="expression" dxfId="49" priority="39" stopIfTrue="1">
      <formula>$K$56="penaltis"</formula>
    </cfRule>
  </conditionalFormatting>
  <conditionalFormatting sqref="L57:M57">
    <cfRule type="expression" dxfId="48" priority="38" stopIfTrue="1">
      <formula>$K$57="penaltis"</formula>
    </cfRule>
  </conditionalFormatting>
  <conditionalFormatting sqref="L58:M58">
    <cfRule type="expression" dxfId="47" priority="37" stopIfTrue="1">
      <formula>$K$58="penaltis"</formula>
    </cfRule>
  </conditionalFormatting>
  <conditionalFormatting sqref="L59:M59">
    <cfRule type="expression" dxfId="46" priority="36" stopIfTrue="1">
      <formula>$K$59="penaltis"</formula>
    </cfRule>
  </conditionalFormatting>
  <conditionalFormatting sqref="L60:M60">
    <cfRule type="expression" dxfId="45" priority="35" stopIfTrue="1">
      <formula>$K$60="penaltis"</formula>
    </cfRule>
  </conditionalFormatting>
  <conditionalFormatting sqref="L61:M61">
    <cfRule type="expression" dxfId="44" priority="34" stopIfTrue="1">
      <formula>$K$61="penaltis"</formula>
    </cfRule>
  </conditionalFormatting>
  <conditionalFormatting sqref="L63:M63">
    <cfRule type="expression" dxfId="43" priority="33">
      <formula>$K$63="penaltis"</formula>
    </cfRule>
  </conditionalFormatting>
  <conditionalFormatting sqref="L64:M64">
    <cfRule type="expression" dxfId="42" priority="32">
      <formula>$K$64="penaltis"</formula>
    </cfRule>
  </conditionalFormatting>
  <conditionalFormatting sqref="L65:M65">
    <cfRule type="expression" dxfId="41" priority="31">
      <formula>$K$65="penaltis"</formula>
    </cfRule>
  </conditionalFormatting>
  <conditionalFormatting sqref="L66:M66">
    <cfRule type="expression" dxfId="40" priority="30">
      <formula>$K$66="penaltis"</formula>
    </cfRule>
  </conditionalFormatting>
  <conditionalFormatting sqref="L68:M68">
    <cfRule type="expression" dxfId="39" priority="29">
      <formula>$K$68="penaltis"</formula>
    </cfRule>
  </conditionalFormatting>
  <conditionalFormatting sqref="L69:M69">
    <cfRule type="expression" dxfId="38" priority="28">
      <formula>$K$69="penaltis"</formula>
    </cfRule>
  </conditionalFormatting>
  <conditionalFormatting sqref="L71:M71">
    <cfRule type="expression" dxfId="37" priority="27">
      <formula>$K$71="penaltis"</formula>
    </cfRule>
  </conditionalFormatting>
  <conditionalFormatting sqref="L73:M73">
    <cfRule type="expression" dxfId="36" priority="26">
      <formula>$K$73="penaltis"</formula>
    </cfRule>
  </conditionalFormatting>
  <conditionalFormatting sqref="Q4:X5">
    <cfRule type="expression" dxfId="35" priority="25">
      <formula>$R$8=12</formula>
    </cfRule>
  </conditionalFormatting>
  <conditionalFormatting sqref="Q10:X11">
    <cfRule type="expression" dxfId="34" priority="24">
      <formula>$R$14=12</formula>
    </cfRule>
  </conditionalFormatting>
  <conditionalFormatting sqref="Q16:X17">
    <cfRule type="expression" dxfId="33" priority="23">
      <formula>$R$20=12</formula>
    </cfRule>
  </conditionalFormatting>
  <conditionalFormatting sqref="Q22:X23">
    <cfRule type="expression" dxfId="32" priority="22">
      <formula>$R$26=12</formula>
    </cfRule>
  </conditionalFormatting>
  <conditionalFormatting sqref="Q28:X29">
    <cfRule type="expression" dxfId="31" priority="21">
      <formula>$R$32=12</formula>
    </cfRule>
  </conditionalFormatting>
  <conditionalFormatting sqref="Q34:X35">
    <cfRule type="expression" dxfId="30" priority="20">
      <formula>$R$38=12</formula>
    </cfRule>
  </conditionalFormatting>
  <conditionalFormatting sqref="Q40:X41">
    <cfRule type="expression" dxfId="29" priority="19">
      <formula>$R$44=12</formula>
    </cfRule>
  </conditionalFormatting>
  <conditionalFormatting sqref="Q46:X47">
    <cfRule type="expression" dxfId="28" priority="18">
      <formula>$R$50=12</formula>
    </cfRule>
  </conditionalFormatting>
  <conditionalFormatting sqref="F67:J73 B45 B9 B15 B21 B27 B33 B3 F3:F50 J3:J50">
    <cfRule type="cellIs" dxfId="27" priority="59" stopIfTrue="1" operator="equal">
      <formula>#REF!</formula>
    </cfRule>
  </conditionalFormatting>
  <conditionalFormatting sqref="B39">
    <cfRule type="cellIs" dxfId="26" priority="17" stopIfTrue="1" operator="equal">
      <formula>#REF!</formula>
    </cfRule>
  </conditionalFormatting>
  <conditionalFormatting sqref="O4:P5">
    <cfRule type="expression" dxfId="25" priority="15">
      <formula>$Q$16=12</formula>
    </cfRule>
  </conditionalFormatting>
  <conditionalFormatting sqref="O10:P11">
    <cfRule type="expression" dxfId="24" priority="14">
      <formula>$Q$22=12</formula>
    </cfRule>
  </conditionalFormatting>
  <conditionalFormatting sqref="O16:P17">
    <cfRule type="expression" dxfId="23" priority="13">
      <formula>$Q$28=12</formula>
    </cfRule>
  </conditionalFormatting>
  <conditionalFormatting sqref="O22:P23">
    <cfRule type="expression" dxfId="22" priority="12">
      <formula>$Q$34=12</formula>
    </cfRule>
  </conditionalFormatting>
  <conditionalFormatting sqref="O28:P29">
    <cfRule type="expression" dxfId="21" priority="11">
      <formula>$Q$40=12</formula>
    </cfRule>
  </conditionalFormatting>
  <conditionalFormatting sqref="O34:P35">
    <cfRule type="expression" dxfId="20" priority="10">
      <formula>$Q$46=12</formula>
    </cfRule>
  </conditionalFormatting>
  <conditionalFormatting sqref="O40:P41">
    <cfRule type="expression" dxfId="19" priority="9">
      <formula>$Q$52=12</formula>
    </cfRule>
  </conditionalFormatting>
  <conditionalFormatting sqref="O46:P47">
    <cfRule type="expression" dxfId="18" priority="8">
      <formula>$Q$58=12</formula>
    </cfRule>
  </conditionalFormatting>
  <conditionalFormatting sqref="F55:J62 F64:J66">
    <cfRule type="cellIs" dxfId="17" priority="7" stopIfTrue="1" operator="equal">
      <formula>$Y$7</formula>
    </cfRule>
  </conditionalFormatting>
  <conditionalFormatting sqref="F63">
    <cfRule type="cellIs" dxfId="16" priority="6" stopIfTrue="1" operator="equal">
      <formula>$Y$7</formula>
    </cfRule>
  </conditionalFormatting>
  <conditionalFormatting sqref="J63">
    <cfRule type="cellIs" dxfId="15" priority="5" stopIfTrue="1" operator="equal">
      <formula>$Y$7</formula>
    </cfRule>
  </conditionalFormatting>
  <conditionalFormatting sqref="F54">
    <cfRule type="cellIs" dxfId="14" priority="4" stopIfTrue="1" operator="equal">
      <formula>$Y$7</formula>
    </cfRule>
  </conditionalFormatting>
  <conditionalFormatting sqref="J54">
    <cfRule type="cellIs" dxfId="13" priority="3" stopIfTrue="1" operator="equal">
      <formula>$Y$7</formula>
    </cfRule>
  </conditionalFormatting>
  <conditionalFormatting sqref="H54">
    <cfRule type="cellIs" dxfId="12" priority="2" stopIfTrue="1" operator="equal">
      <formula>$Y$7</formula>
    </cfRule>
  </conditionalFormatting>
  <conditionalFormatting sqref="H63">
    <cfRule type="cellIs" dxfId="1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C18"/>
  <sheetViews>
    <sheetView workbookViewId="0">
      <selection activeCell="F7" sqref="F7"/>
    </sheetView>
  </sheetViews>
  <sheetFormatPr defaultRowHeight="15" x14ac:dyDescent="0.2"/>
  <cols>
    <col min="1" max="1" width="11.703125" bestFit="1" customWidth="1"/>
  </cols>
  <sheetData>
    <row r="1" spans="1:3" x14ac:dyDescent="0.2">
      <c r="A1" t="s">
        <v>341</v>
      </c>
      <c r="B1" t="s">
        <v>342</v>
      </c>
    </row>
    <row r="2" spans="1:3" x14ac:dyDescent="0.2">
      <c r="A2" t="s">
        <v>186</v>
      </c>
      <c r="B2">
        <f>COUNTIF(Germano!N:N,10)</f>
        <v>10</v>
      </c>
      <c r="C2" s="514"/>
    </row>
    <row r="3" spans="1:3" x14ac:dyDescent="0.2">
      <c r="A3" t="s">
        <v>180</v>
      </c>
      <c r="B3">
        <f>COUNTIF(Albenice!N:N,10)</f>
        <v>5</v>
      </c>
      <c r="C3" s="514"/>
    </row>
    <row r="4" spans="1:3" x14ac:dyDescent="0.2">
      <c r="A4" t="s">
        <v>184</v>
      </c>
      <c r="B4">
        <f>COUNTIF(Adalberto!N:N,10)</f>
        <v>4</v>
      </c>
      <c r="C4" s="514"/>
    </row>
    <row r="5" spans="1:3" x14ac:dyDescent="0.2">
      <c r="A5" t="s">
        <v>185</v>
      </c>
      <c r="B5">
        <f>COUNTIF(Denise!N:N,10)</f>
        <v>4</v>
      </c>
      <c r="C5" s="514"/>
    </row>
    <row r="6" spans="1:3" x14ac:dyDescent="0.2">
      <c r="A6" t="s">
        <v>202</v>
      </c>
      <c r="B6">
        <f>COUNTIF(Laurindo!N:N,10)</f>
        <v>3</v>
      </c>
      <c r="C6" s="514"/>
    </row>
    <row r="7" spans="1:3" x14ac:dyDescent="0.2">
      <c r="A7" t="s">
        <v>182</v>
      </c>
      <c r="B7">
        <f>COUNTIF(Andrea!N:N,10)</f>
        <v>7</v>
      </c>
      <c r="C7" s="514"/>
    </row>
    <row r="8" spans="1:3" x14ac:dyDescent="0.2">
      <c r="A8" t="s">
        <v>178</v>
      </c>
      <c r="B8">
        <f>COUNTIF(Silvia!N:N,10)</f>
        <v>7</v>
      </c>
      <c r="C8" s="514"/>
    </row>
    <row r="9" spans="1:3" x14ac:dyDescent="0.2">
      <c r="A9" t="s">
        <v>200</v>
      </c>
      <c r="B9">
        <f>COUNTIF(Claudio!N:N,10)</f>
        <v>5</v>
      </c>
      <c r="C9" s="514"/>
    </row>
    <row r="10" spans="1:3" x14ac:dyDescent="0.2">
      <c r="A10" t="s">
        <v>204</v>
      </c>
      <c r="B10">
        <f>COUNTIF(Priscilla!N:N,10)</f>
        <v>7</v>
      </c>
      <c r="C10" s="514"/>
    </row>
    <row r="11" spans="1:3" x14ac:dyDescent="0.2">
      <c r="A11" t="s">
        <v>201</v>
      </c>
      <c r="B11">
        <f>COUNTIF(Flavio!N:N,10)</f>
        <v>2</v>
      </c>
      <c r="C11" s="514"/>
    </row>
    <row r="12" spans="1:3" x14ac:dyDescent="0.2">
      <c r="A12" t="s">
        <v>183</v>
      </c>
      <c r="B12">
        <f>COUNTIF(Girlayne!N:N,10)</f>
        <v>3</v>
      </c>
      <c r="C12" s="514"/>
    </row>
    <row r="13" spans="1:3" x14ac:dyDescent="0.2">
      <c r="A13" t="s">
        <v>177</v>
      </c>
      <c r="B13">
        <f>COUNTIF(Marcus!N:N,10)</f>
        <v>4</v>
      </c>
      <c r="C13" s="514"/>
    </row>
    <row r="14" spans="1:3" x14ac:dyDescent="0.2">
      <c r="A14" t="s">
        <v>179</v>
      </c>
      <c r="B14">
        <f>COUNTIF(Rubiane!N:N,10)</f>
        <v>1</v>
      </c>
      <c r="C14" s="514"/>
    </row>
    <row r="15" spans="1:3" x14ac:dyDescent="0.2">
      <c r="A15" t="s">
        <v>181</v>
      </c>
      <c r="B15">
        <f>COUNTIF(Eduardo!N:N,10)</f>
        <v>5</v>
      </c>
      <c r="C15" s="514"/>
    </row>
    <row r="16" spans="1:3" x14ac:dyDescent="0.2">
      <c r="A16" t="s">
        <v>199</v>
      </c>
      <c r="B16">
        <f>COUNTIF(Aurea!N:N,10)</f>
        <v>1</v>
      </c>
      <c r="C16" s="514"/>
    </row>
    <row r="17" spans="1:3" x14ac:dyDescent="0.2">
      <c r="A17" t="s">
        <v>203</v>
      </c>
      <c r="B17">
        <f>COUNTIF(Adriano!N:N,10)</f>
        <v>2</v>
      </c>
      <c r="C17" s="514"/>
    </row>
    <row r="18" spans="1:3" x14ac:dyDescent="0.2">
      <c r="A18" t="s">
        <v>176</v>
      </c>
      <c r="B18">
        <f>COUNTIF(George!N:N,10)</f>
        <v>2</v>
      </c>
      <c r="C18" s="51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bottomLeft" activeCell="A3" sqref="A3"/>
      <selection pane="topRight" activeCell="M1" sqref="M1"/>
      <selection pane="bottomRight" sqref="A1:XFD1048576"/>
    </sheetView>
  </sheetViews>
  <sheetFormatPr defaultColWidth="0" defaultRowHeight="12.75" zeroHeight="1" x14ac:dyDescent="0.15"/>
  <cols>
    <col min="1" max="1" width="10.76171875" style="197" customWidth="1"/>
    <col min="2" max="2" width="4.9765625" style="199" customWidth="1"/>
    <col min="3" max="3" width="13.1796875" style="199" bestFit="1" customWidth="1"/>
    <col min="4" max="4" width="5.109375" style="199" customWidth="1"/>
    <col min="5" max="5" width="17.75390625" style="197" customWidth="1"/>
    <col min="6" max="6" width="2.6875" style="197" customWidth="1"/>
    <col min="7" max="8" width="2.6875" style="199" customWidth="1"/>
    <col min="9" max="9" width="17.75390625" style="197" customWidth="1"/>
    <col min="10" max="10" width="9.81640625" style="199" hidden="1" customWidth="1"/>
    <col min="11" max="12" width="2.6875" style="267" customWidth="1"/>
    <col min="13" max="667" width="0" style="197" hidden="1" customWidth="1"/>
    <col min="668" max="668" width="17.75390625" style="197" hidden="1" customWidth="1"/>
    <col min="669" max="671" width="2.6875" style="197" hidden="1" customWidth="1"/>
    <col min="672" max="672" width="17.75390625" style="197" hidden="1" customWidth="1"/>
    <col min="673" max="673" width="3.2265625" style="197" hidden="1" customWidth="1"/>
    <col min="674" max="674" width="17.75390625" style="197" hidden="1" customWidth="1"/>
    <col min="675" max="677" width="2.6875" style="197" hidden="1" customWidth="1"/>
    <col min="678" max="678" width="17.75390625" style="197" hidden="1" customWidth="1"/>
    <col min="679" max="679" width="3.2265625" style="197" hidden="1" customWidth="1"/>
    <col min="680" max="680" width="17.75390625" style="197" hidden="1" customWidth="1"/>
    <col min="681" max="683" width="2.6875" style="197" hidden="1" customWidth="1"/>
    <col min="684" max="684" width="17.75390625" style="197" hidden="1" customWidth="1"/>
    <col min="685" max="685" width="3.2265625" style="197" hidden="1" customWidth="1"/>
    <col min="686" max="686" width="17.75390625" style="197" hidden="1" customWidth="1"/>
    <col min="687" max="689" width="2.6875" style="197" hidden="1" customWidth="1"/>
    <col min="690" max="690" width="17.75390625" style="197" hidden="1" customWidth="1"/>
    <col min="691" max="691" width="3.2265625" style="197" hidden="1" customWidth="1"/>
    <col min="692" max="692" width="17.75390625" style="197" hidden="1" customWidth="1"/>
    <col min="693" max="695" width="2.6875" style="197" hidden="1" customWidth="1"/>
    <col min="696" max="696" width="17.75390625" style="197" hidden="1" customWidth="1"/>
    <col min="697" max="697" width="3.2265625" style="197" hidden="1" customWidth="1"/>
    <col min="698" max="698" width="17.75390625" style="197" hidden="1" customWidth="1"/>
    <col min="699" max="701" width="2.6875" style="197" hidden="1" customWidth="1"/>
    <col min="702" max="702" width="17.75390625" style="197" hidden="1" customWidth="1"/>
    <col min="703" max="703" width="3.2265625" style="197" hidden="1" customWidth="1"/>
    <col min="704" max="704" width="17.75390625" style="197" hidden="1" customWidth="1"/>
    <col min="705" max="707" width="2.6875" style="197" hidden="1" customWidth="1"/>
    <col min="708" max="708" width="17.75390625" style="197" hidden="1" customWidth="1"/>
    <col min="709" max="709" width="3.2265625" style="197" hidden="1" customWidth="1"/>
    <col min="710" max="710" width="17.75390625" style="197" hidden="1" customWidth="1"/>
    <col min="711" max="713" width="2.6875" style="197" hidden="1" customWidth="1"/>
    <col min="714" max="714" width="17.75390625" style="197" hidden="1" customWidth="1"/>
    <col min="715" max="715" width="3.2265625" style="197" hidden="1" customWidth="1"/>
    <col min="716" max="716" width="17.75390625" style="197" hidden="1" customWidth="1"/>
    <col min="717" max="719" width="2.6875" style="197" hidden="1" customWidth="1"/>
    <col min="720" max="720" width="17.75390625" style="197" hidden="1" customWidth="1"/>
    <col min="721" max="721" width="3.2265625" style="197" hidden="1" customWidth="1"/>
    <col min="722" max="722" width="17.75390625" style="197" hidden="1" customWidth="1"/>
    <col min="723" max="725" width="2.6875" style="197" hidden="1" customWidth="1"/>
    <col min="726" max="726" width="17.75390625" style="197" hidden="1" customWidth="1"/>
    <col min="727" max="727" width="3.2265625" style="197" hidden="1" customWidth="1"/>
    <col min="728" max="728" width="17.75390625" style="197" hidden="1" customWidth="1"/>
    <col min="729" max="731" width="2.6875" style="197" hidden="1" customWidth="1"/>
    <col min="732" max="732" width="17.75390625" style="197" hidden="1" customWidth="1"/>
    <col min="733" max="733" width="3.2265625" style="197" hidden="1" customWidth="1"/>
    <col min="734" max="734" width="17.75390625" style="197" hidden="1" customWidth="1"/>
    <col min="735" max="737" width="2.6875" style="197" hidden="1" customWidth="1"/>
    <col min="738" max="738" width="17.75390625" style="197" hidden="1" customWidth="1"/>
    <col min="739" max="739" width="3.2265625" style="197" hidden="1" customWidth="1"/>
    <col min="740" max="740" width="17.75390625" style="197" hidden="1" customWidth="1"/>
    <col min="741" max="743" width="2.6875" style="197" hidden="1" customWidth="1"/>
    <col min="744" max="744" width="17.75390625" style="197" hidden="1" customWidth="1"/>
    <col min="745" max="745" width="3.2265625" style="197" hidden="1" customWidth="1"/>
    <col min="746" max="746" width="17.75390625" style="197" hidden="1" customWidth="1"/>
    <col min="747" max="749" width="2.6875" style="197" hidden="1" customWidth="1"/>
    <col min="750" max="750" width="17.75390625" style="197" hidden="1" customWidth="1"/>
    <col min="751" max="751" width="3.2265625" style="197" hidden="1" customWidth="1"/>
    <col min="752" max="752" width="17.75390625" style="197" hidden="1" customWidth="1"/>
    <col min="753" max="755" width="2.6875" style="197" hidden="1" customWidth="1"/>
    <col min="756" max="756" width="17.75390625" style="197" hidden="1" customWidth="1"/>
    <col min="757" max="757" width="3.2265625" style="197" hidden="1" customWidth="1"/>
    <col min="758" max="758" width="17.75390625" style="197" hidden="1" customWidth="1"/>
    <col min="759" max="761" width="2.6875" style="197" hidden="1" customWidth="1"/>
    <col min="762" max="762" width="17.75390625" style="197" hidden="1" customWidth="1"/>
    <col min="763" max="763" width="3.2265625" style="197" hidden="1" customWidth="1"/>
    <col min="764" max="764" width="17.75390625" style="197" hidden="1" customWidth="1"/>
    <col min="765" max="767" width="2.6875" style="197" hidden="1" customWidth="1"/>
    <col min="768" max="768" width="17.75390625" style="197" hidden="1" customWidth="1"/>
    <col min="769" max="769" width="3.2265625" style="197" hidden="1" customWidth="1"/>
    <col min="770" max="1170" width="0" style="197" hidden="1" customWidth="1"/>
    <col min="1171" max="1171" width="17.75390625" style="197" hidden="1" customWidth="1"/>
    <col min="1172" max="1174" width="2.6875" style="197" hidden="1" customWidth="1"/>
    <col min="1175" max="1175" width="17.75390625" style="197" hidden="1" customWidth="1"/>
    <col min="1176" max="1176" width="3.2265625" style="197" hidden="1" customWidth="1"/>
    <col min="1177" max="1177" width="17.75390625" style="197" hidden="1" customWidth="1"/>
    <col min="1178" max="1180" width="2.6875" style="197" hidden="1" customWidth="1"/>
    <col min="1181" max="1181" width="17.75390625" style="197" hidden="1" customWidth="1"/>
    <col min="1182" max="1182" width="3.2265625" style="197" hidden="1" customWidth="1"/>
    <col min="1183" max="1183" width="17.75390625" style="197" hidden="1" customWidth="1"/>
    <col min="1184" max="1186" width="2.6875" style="197" hidden="1" customWidth="1"/>
    <col min="1187" max="1187" width="17.75390625" style="197" hidden="1" customWidth="1"/>
    <col min="1188" max="1188" width="3.2265625" style="197" hidden="1" customWidth="1"/>
    <col min="1189" max="1189" width="17.75390625" style="197" hidden="1" customWidth="1"/>
    <col min="1190" max="1192" width="2.6875" style="197" hidden="1" customWidth="1"/>
    <col min="1193" max="1193" width="17.75390625" style="197" hidden="1" customWidth="1"/>
    <col min="1194" max="1194" width="3.2265625" style="197" hidden="1" customWidth="1"/>
    <col min="1195" max="1195" width="17.75390625" style="197" hidden="1" customWidth="1"/>
    <col min="1196" max="1198" width="2.6875" style="197" hidden="1" customWidth="1"/>
    <col min="1199" max="1199" width="17.75390625" style="197" hidden="1" customWidth="1"/>
    <col min="1200" max="1200" width="3.2265625" style="197" hidden="1" customWidth="1"/>
    <col min="1201" max="1201" width="17.75390625" style="197" hidden="1" customWidth="1"/>
    <col min="1202" max="1204" width="2.6875" style="197" hidden="1" customWidth="1"/>
    <col min="1205" max="1205" width="17.75390625" style="197" hidden="1" customWidth="1"/>
    <col min="1206" max="1206" width="3.2265625" style="197" hidden="1" customWidth="1"/>
    <col min="1207" max="1207" width="17.75390625" style="197" hidden="1" customWidth="1"/>
    <col min="1208" max="1210" width="2.6875" style="197" hidden="1" customWidth="1"/>
    <col min="1211" max="1211" width="17.75390625" style="197" hidden="1" customWidth="1"/>
    <col min="1212" max="1212" width="3.2265625" style="197" hidden="1" customWidth="1"/>
    <col min="1213" max="1213" width="17.75390625" style="197" hidden="1" customWidth="1"/>
    <col min="1214" max="1216" width="2.6875" style="197" hidden="1" customWidth="1"/>
    <col min="1217" max="1217" width="17.75390625" style="197" hidden="1" customWidth="1"/>
    <col min="1218" max="1218" width="3.2265625" style="197" hidden="1" customWidth="1"/>
    <col min="1219" max="1219" width="17.75390625" style="197" hidden="1" customWidth="1"/>
    <col min="1220" max="1222" width="2.6875" style="197" hidden="1" customWidth="1"/>
    <col min="1223" max="1223" width="17.75390625" style="197" hidden="1" customWidth="1"/>
    <col min="1224" max="1224" width="3.2265625" style="197" hidden="1" customWidth="1"/>
    <col min="1225" max="1225" width="17.75390625" style="197" hidden="1" customWidth="1"/>
    <col min="1226" max="1228" width="2.6875" style="197" hidden="1" customWidth="1"/>
    <col min="1229" max="1229" width="17.75390625" style="197" hidden="1" customWidth="1"/>
    <col min="1230" max="1230" width="3.2265625" style="197" hidden="1" customWidth="1"/>
    <col min="1231" max="1231" width="17.75390625" style="197" hidden="1" customWidth="1"/>
    <col min="1232" max="1234" width="2.6875" style="197" hidden="1" customWidth="1"/>
    <col min="1235" max="1235" width="17.75390625" style="197" hidden="1" customWidth="1"/>
    <col min="1236" max="1236" width="3.2265625" style="197" hidden="1" customWidth="1"/>
    <col min="1237" max="1237" width="17.75390625" style="197" hidden="1" customWidth="1"/>
    <col min="1238" max="1240" width="2.6875" style="197" hidden="1" customWidth="1"/>
    <col min="1241" max="1241" width="17.75390625" style="197" hidden="1" customWidth="1"/>
    <col min="1242" max="1242" width="3.2265625" style="197" hidden="1" customWidth="1"/>
    <col min="1243" max="1243" width="17.75390625" style="197" hidden="1" customWidth="1"/>
    <col min="1244" max="1246" width="2.6875" style="197" hidden="1" customWidth="1"/>
    <col min="1247" max="1247" width="17.75390625" style="197" hidden="1" customWidth="1"/>
    <col min="1248" max="1248" width="3.2265625" style="197" hidden="1" customWidth="1"/>
    <col min="1249" max="1249" width="17.75390625" style="197" hidden="1" customWidth="1"/>
    <col min="1250" max="1252" width="2.6875" style="197" hidden="1" customWidth="1"/>
    <col min="1253" max="1253" width="17.75390625" style="197" hidden="1" customWidth="1"/>
    <col min="1254" max="1254" width="3.2265625" style="197" hidden="1" customWidth="1"/>
    <col min="1255" max="1255" width="17.75390625" style="197" hidden="1" customWidth="1"/>
    <col min="1256" max="1258" width="2.6875" style="197" hidden="1" customWidth="1"/>
    <col min="1259" max="1259" width="17.75390625" style="197" hidden="1" customWidth="1"/>
    <col min="1260" max="1260" width="3.2265625" style="197" hidden="1" customWidth="1"/>
    <col min="1261" max="1261" width="17.75390625" style="197" hidden="1" customWidth="1"/>
    <col min="1262" max="1264" width="2.6875" style="197" hidden="1" customWidth="1"/>
    <col min="1265" max="1265" width="17.75390625" style="197" hidden="1" customWidth="1"/>
    <col min="1266" max="1266" width="3.2265625" style="197" hidden="1" customWidth="1"/>
    <col min="1267" max="1267" width="17.75390625" style="197" hidden="1" customWidth="1"/>
    <col min="1268" max="1270" width="2.6875" style="197" hidden="1" customWidth="1"/>
    <col min="1271" max="1271" width="17.75390625" style="197" hidden="1" customWidth="1"/>
    <col min="1272" max="1272" width="3.2265625" style="197" hidden="1" customWidth="1"/>
    <col min="1273" max="1273" width="0" style="197" hidden="1" customWidth="1"/>
    <col min="1274" max="16384" width="9.14453125" style="197" hidden="1"/>
  </cols>
  <sheetData>
    <row r="1" spans="1:12" ht="104.25" customHeight="1" thickBot="1" x14ac:dyDescent="0.2"/>
    <row r="2" spans="1:12" s="268" customFormat="1" ht="26.25" thickBot="1" x14ac:dyDescent="0.25">
      <c r="A2" s="562" t="s">
        <v>139</v>
      </c>
      <c r="B2" s="563"/>
      <c r="C2" s="563"/>
      <c r="D2" s="563"/>
      <c r="E2" s="563"/>
      <c r="F2" s="563"/>
      <c r="G2" s="563"/>
      <c r="H2" s="563"/>
      <c r="I2" s="563"/>
      <c r="J2" s="563"/>
      <c r="K2" s="563"/>
      <c r="L2" s="564"/>
    </row>
    <row r="3" spans="1:12" s="242" customFormat="1" ht="14.1" customHeight="1" x14ac:dyDescent="0.15">
      <c r="A3" s="573" t="s">
        <v>61</v>
      </c>
      <c r="B3" s="567" t="s">
        <v>62</v>
      </c>
      <c r="C3" s="568"/>
      <c r="D3" s="269" t="s">
        <v>63</v>
      </c>
      <c r="E3" s="571" t="str">
        <f>IF('Classificação 1ª fase'!$E$9=12,'Classificação 1ª fase'!$C5,"1ºA")</f>
        <v>Holanda</v>
      </c>
      <c r="F3" s="571"/>
      <c r="G3" s="571"/>
      <c r="H3" s="571"/>
      <c r="I3" s="572"/>
      <c r="J3" s="206"/>
      <c r="K3" s="558"/>
      <c r="L3" s="559"/>
    </row>
    <row r="4" spans="1:12" s="242" customFormat="1" ht="14.1" customHeight="1" thickBot="1" x14ac:dyDescent="0.2">
      <c r="A4" s="573"/>
      <c r="B4" s="569"/>
      <c r="C4" s="570"/>
      <c r="D4" s="270" t="s">
        <v>64</v>
      </c>
      <c r="E4" s="565" t="str">
        <f>IF('Classificação 1ª fase'!$E$9=12,'Classificação 1ª fase'!$C6,"2ºA")</f>
        <v>Senegal</v>
      </c>
      <c r="F4" s="565"/>
      <c r="G4" s="565"/>
      <c r="H4" s="565"/>
      <c r="I4" s="566"/>
      <c r="J4" s="206"/>
      <c r="K4" s="558"/>
      <c r="L4" s="559"/>
    </row>
    <row r="5" spans="1:12" s="242" customFormat="1" ht="14.1" customHeight="1" x14ac:dyDescent="0.15">
      <c r="A5" s="573"/>
      <c r="B5" s="567" t="s">
        <v>65</v>
      </c>
      <c r="C5" s="568"/>
      <c r="D5" s="269" t="s">
        <v>63</v>
      </c>
      <c r="E5" s="571" t="str">
        <f>IF('Classificação 1ª fase'!$E$15=12,'Classificação 1ª fase'!$C11,"1ºB")</f>
        <v>Inglaterra</v>
      </c>
      <c r="F5" s="571"/>
      <c r="G5" s="571"/>
      <c r="H5" s="571"/>
      <c r="I5" s="572"/>
      <c r="J5" s="206"/>
      <c r="K5" s="558"/>
      <c r="L5" s="559"/>
    </row>
    <row r="6" spans="1:12" s="242" customFormat="1" ht="14.1" customHeight="1" thickBot="1" x14ac:dyDescent="0.2">
      <c r="A6" s="573"/>
      <c r="B6" s="569"/>
      <c r="C6" s="570"/>
      <c r="D6" s="270" t="s">
        <v>64</v>
      </c>
      <c r="E6" s="565" t="str">
        <f>IF('Classificação 1ª fase'!$E$15=12,'Classificação 1ª fase'!$C12,"2ºB")</f>
        <v>Estados Unidos</v>
      </c>
      <c r="F6" s="565"/>
      <c r="G6" s="565"/>
      <c r="H6" s="565"/>
      <c r="I6" s="566"/>
      <c r="J6" s="206"/>
      <c r="K6" s="558"/>
      <c r="L6" s="559"/>
    </row>
    <row r="7" spans="1:12" s="242" customFormat="1" ht="14.1" customHeight="1" x14ac:dyDescent="0.15">
      <c r="A7" s="573"/>
      <c r="B7" s="567" t="s">
        <v>66</v>
      </c>
      <c r="C7" s="568"/>
      <c r="D7" s="269" t="s">
        <v>63</v>
      </c>
      <c r="E7" s="571" t="str">
        <f>IF('Classificação 1ª fase'!$E$21=12,'Classificação 1ª fase'!$C17,"1ºC")</f>
        <v>Argentina</v>
      </c>
      <c r="F7" s="571"/>
      <c r="G7" s="571"/>
      <c r="H7" s="571"/>
      <c r="I7" s="572"/>
      <c r="J7" s="206"/>
      <c r="K7" s="558"/>
      <c r="L7" s="559"/>
    </row>
    <row r="8" spans="1:12" s="242" customFormat="1" ht="14.1" customHeight="1" thickBot="1" x14ac:dyDescent="0.2">
      <c r="A8" s="573"/>
      <c r="B8" s="569"/>
      <c r="C8" s="570"/>
      <c r="D8" s="270" t="s">
        <v>64</v>
      </c>
      <c r="E8" s="565" t="str">
        <f>IF('Classificação 1ª fase'!$E$21=12,'Classificação 1ª fase'!$C18,"2ºC")</f>
        <v>Polônia</v>
      </c>
      <c r="F8" s="565"/>
      <c r="G8" s="565"/>
      <c r="H8" s="565"/>
      <c r="I8" s="566"/>
      <c r="J8" s="206"/>
      <c r="K8" s="558"/>
      <c r="L8" s="559"/>
    </row>
    <row r="9" spans="1:12" s="242" customFormat="1" ht="14.1" customHeight="1" x14ac:dyDescent="0.15">
      <c r="A9" s="573"/>
      <c r="B9" s="567" t="s">
        <v>67</v>
      </c>
      <c r="C9" s="568"/>
      <c r="D9" s="269" t="s">
        <v>63</v>
      </c>
      <c r="E9" s="571" t="str">
        <f>IF('Classificação 1ª fase'!$E$27=12,'Classificação 1ª fase'!$C23,"1ºD")</f>
        <v>França</v>
      </c>
      <c r="F9" s="571"/>
      <c r="G9" s="571"/>
      <c r="H9" s="571"/>
      <c r="I9" s="572"/>
      <c r="J9" s="206"/>
      <c r="K9" s="558"/>
      <c r="L9" s="559"/>
    </row>
    <row r="10" spans="1:12" s="242" customFormat="1" ht="14.1" customHeight="1" thickBot="1" x14ac:dyDescent="0.2">
      <c r="A10" s="573"/>
      <c r="B10" s="569"/>
      <c r="C10" s="570"/>
      <c r="D10" s="270" t="s">
        <v>64</v>
      </c>
      <c r="E10" s="565" t="str">
        <f>IF('Classificação 1ª fase'!$E$27=12,'Classificação 1ª fase'!$C24,"2ºD")</f>
        <v>Austrália</v>
      </c>
      <c r="F10" s="565"/>
      <c r="G10" s="565"/>
      <c r="H10" s="565"/>
      <c r="I10" s="566"/>
      <c r="J10" s="206"/>
      <c r="K10" s="558"/>
      <c r="L10" s="559"/>
    </row>
    <row r="11" spans="1:12" s="242" customFormat="1" ht="14.1" customHeight="1" x14ac:dyDescent="0.15">
      <c r="A11" s="573"/>
      <c r="B11" s="567" t="s">
        <v>68</v>
      </c>
      <c r="C11" s="568"/>
      <c r="D11" s="269" t="s">
        <v>63</v>
      </c>
      <c r="E11" s="571" t="str">
        <f>IF('Classificação 1ª fase'!$E$33=12,'Classificação 1ª fase'!$C29,"1ºE")</f>
        <v>1ºE</v>
      </c>
      <c r="F11" s="571"/>
      <c r="G11" s="571"/>
      <c r="H11" s="571"/>
      <c r="I11" s="572"/>
      <c r="J11" s="206"/>
      <c r="K11" s="558"/>
      <c r="L11" s="559"/>
    </row>
    <row r="12" spans="1:12" s="242" customFormat="1" ht="14.1" customHeight="1" thickBot="1" x14ac:dyDescent="0.2">
      <c r="A12" s="573"/>
      <c r="B12" s="569"/>
      <c r="C12" s="570"/>
      <c r="D12" s="270" t="s">
        <v>64</v>
      </c>
      <c r="E12" s="565" t="str">
        <f>IF('Classificação 1ª fase'!$E$33=12,'Classificação 1ª fase'!$C30,"2ºE")</f>
        <v>2ºE</v>
      </c>
      <c r="F12" s="565"/>
      <c r="G12" s="565"/>
      <c r="H12" s="565"/>
      <c r="I12" s="566"/>
      <c r="J12" s="206"/>
      <c r="K12" s="558"/>
      <c r="L12" s="559"/>
    </row>
    <row r="13" spans="1:12" s="242" customFormat="1" ht="14.1" customHeight="1" x14ac:dyDescent="0.15">
      <c r="A13" s="573"/>
      <c r="B13" s="567" t="s">
        <v>69</v>
      </c>
      <c r="C13" s="568"/>
      <c r="D13" s="269" t="s">
        <v>63</v>
      </c>
      <c r="E13" s="571" t="str">
        <f>IF('Classificação 1ª fase'!$E$39=12,'Classificação 1ª fase'!$C35,"1ºF")</f>
        <v>1ºF</v>
      </c>
      <c r="F13" s="571"/>
      <c r="G13" s="571"/>
      <c r="H13" s="571"/>
      <c r="I13" s="572"/>
      <c r="J13" s="206"/>
      <c r="K13" s="558"/>
      <c r="L13" s="559"/>
    </row>
    <row r="14" spans="1:12" s="242" customFormat="1" ht="14.1" customHeight="1" thickBot="1" x14ac:dyDescent="0.2">
      <c r="A14" s="573"/>
      <c r="B14" s="569"/>
      <c r="C14" s="570"/>
      <c r="D14" s="270" t="s">
        <v>64</v>
      </c>
      <c r="E14" s="565" t="str">
        <f>IF('Classificação 1ª fase'!$E$39=12,'Classificação 1ª fase'!$C36,"2ºF")</f>
        <v>2ºF</v>
      </c>
      <c r="F14" s="565"/>
      <c r="G14" s="565"/>
      <c r="H14" s="565"/>
      <c r="I14" s="566"/>
      <c r="J14" s="206"/>
      <c r="K14" s="558"/>
      <c r="L14" s="559"/>
    </row>
    <row r="15" spans="1:12" s="242" customFormat="1" ht="14.1" customHeight="1" x14ac:dyDescent="0.15">
      <c r="A15" s="573"/>
      <c r="B15" s="567" t="s">
        <v>71</v>
      </c>
      <c r="C15" s="568"/>
      <c r="D15" s="269" t="s">
        <v>63</v>
      </c>
      <c r="E15" s="571" t="str">
        <f>IF('Classificação 1ª fase'!$E$45=12,'Classificação 1ª fase'!$C41,"1ºG")</f>
        <v>1ºG</v>
      </c>
      <c r="F15" s="571"/>
      <c r="G15" s="571"/>
      <c r="H15" s="571"/>
      <c r="I15" s="572"/>
      <c r="J15" s="206"/>
      <c r="K15" s="558"/>
      <c r="L15" s="559"/>
    </row>
    <row r="16" spans="1:12" s="242" customFormat="1" ht="14.1" customHeight="1" thickBot="1" x14ac:dyDescent="0.2">
      <c r="A16" s="573"/>
      <c r="B16" s="569"/>
      <c r="C16" s="570"/>
      <c r="D16" s="270" t="s">
        <v>64</v>
      </c>
      <c r="E16" s="565" t="str">
        <f>IF('Classificação 1ª fase'!$E$45=12,'Classificação 1ª fase'!$C42,"2ºG")</f>
        <v>2ºG</v>
      </c>
      <c r="F16" s="565"/>
      <c r="G16" s="565"/>
      <c r="H16" s="565"/>
      <c r="I16" s="566"/>
      <c r="J16" s="206"/>
      <c r="K16" s="558"/>
      <c r="L16" s="559"/>
    </row>
    <row r="17" spans="1:12" s="242" customFormat="1" ht="14.1" customHeight="1" x14ac:dyDescent="0.15">
      <c r="A17" s="573"/>
      <c r="B17" s="567" t="s">
        <v>72</v>
      </c>
      <c r="C17" s="568"/>
      <c r="D17" s="269" t="s">
        <v>63</v>
      </c>
      <c r="E17" s="571" t="str">
        <f>IF('Classificação 1ª fase'!$E$51=12,'Classificação 1ª fase'!$C47,"1ºH")</f>
        <v>1ºH</v>
      </c>
      <c r="F17" s="571"/>
      <c r="G17" s="571"/>
      <c r="H17" s="571"/>
      <c r="I17" s="572"/>
      <c r="J17" s="206"/>
      <c r="K17" s="558"/>
      <c r="L17" s="559"/>
    </row>
    <row r="18" spans="1:12" s="242" customFormat="1" ht="14.1" customHeight="1" thickBot="1" x14ac:dyDescent="0.2">
      <c r="A18" s="574"/>
      <c r="B18" s="569"/>
      <c r="C18" s="570"/>
      <c r="D18" s="270" t="s">
        <v>64</v>
      </c>
      <c r="E18" s="565" t="str">
        <f>IF('Classificação 1ª fase'!$E$51=12,'Classificação 1ª fase'!$C48,"2ºH")</f>
        <v>2ºH</v>
      </c>
      <c r="F18" s="565"/>
      <c r="G18" s="565"/>
      <c r="H18" s="565"/>
      <c r="I18" s="566"/>
      <c r="J18" s="271"/>
      <c r="K18" s="560"/>
      <c r="L18" s="561"/>
    </row>
    <row r="19" spans="1:12" s="242" customFormat="1" ht="14.1" customHeight="1" thickBot="1" x14ac:dyDescent="0.2">
      <c r="A19" s="272" t="s">
        <v>73</v>
      </c>
      <c r="B19" s="273" t="s">
        <v>74</v>
      </c>
      <c r="C19" s="274" t="s">
        <v>75</v>
      </c>
      <c r="D19" s="275" t="s">
        <v>76</v>
      </c>
      <c r="E19" s="576" t="s">
        <v>77</v>
      </c>
      <c r="F19" s="576"/>
      <c r="G19" s="576"/>
      <c r="H19" s="576"/>
      <c r="I19" s="577"/>
      <c r="J19" s="206"/>
      <c r="K19" s="582" t="s">
        <v>78</v>
      </c>
      <c r="L19" s="583"/>
    </row>
    <row r="20" spans="1:12" ht="14.1" customHeight="1" x14ac:dyDescent="0.15">
      <c r="A20" s="254"/>
      <c r="B20" s="255"/>
      <c r="C20" s="256"/>
      <c r="D20" s="276">
        <v>49</v>
      </c>
      <c r="E20" s="277" t="str">
        <f>IF(E3="","1ºA",E3)</f>
        <v>Holanda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Estados Unidos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 x14ac:dyDescent="0.15">
      <c r="A21" s="257"/>
      <c r="B21" s="258"/>
      <c r="C21" s="259"/>
      <c r="D21" s="283">
        <v>50</v>
      </c>
      <c r="E21" s="249" t="str">
        <f>IF(E7="","1ºC",E7)</f>
        <v>Argentina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Austrália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 x14ac:dyDescent="0.15">
      <c r="A22" s="257"/>
      <c r="B22" s="258"/>
      <c r="C22" s="259"/>
      <c r="D22" s="283">
        <v>51</v>
      </c>
      <c r="E22" s="249" t="str">
        <f>IF(E9="","1ºB",E5)</f>
        <v>Inglaterra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Senegal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 x14ac:dyDescent="0.15">
      <c r="A23" s="257"/>
      <c r="B23" s="258"/>
      <c r="C23" s="259"/>
      <c r="D23" s="283">
        <v>52</v>
      </c>
      <c r="E23" s="249" t="str">
        <f>IF(E5="","1ºD",E9)</f>
        <v>França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Polônia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 x14ac:dyDescent="0.15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 x14ac:dyDescent="0.15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 x14ac:dyDescent="0.15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 x14ac:dyDescent="0.2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 x14ac:dyDescent="0.2">
      <c r="A28" s="295" t="s">
        <v>73</v>
      </c>
      <c r="B28" s="206" t="s">
        <v>74</v>
      </c>
      <c r="C28" s="296" t="s">
        <v>75</v>
      </c>
      <c r="D28" s="275" t="s">
        <v>76</v>
      </c>
      <c r="E28" s="575" t="s">
        <v>79</v>
      </c>
      <c r="F28" s="576"/>
      <c r="G28" s="576"/>
      <c r="H28" s="576"/>
      <c r="I28" s="577"/>
      <c r="J28" s="206"/>
      <c r="K28" s="580" t="s">
        <v>78</v>
      </c>
      <c r="L28" s="581"/>
    </row>
    <row r="29" spans="1:12" ht="14.1" customHeight="1" x14ac:dyDescent="0.15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 x14ac:dyDescent="0.15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 x14ac:dyDescent="0.15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 x14ac:dyDescent="0.2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 x14ac:dyDescent="0.2">
      <c r="A33" s="295" t="s">
        <v>73</v>
      </c>
      <c r="B33" s="206" t="s">
        <v>74</v>
      </c>
      <c r="C33" s="296" t="s">
        <v>75</v>
      </c>
      <c r="D33" s="275" t="s">
        <v>76</v>
      </c>
      <c r="E33" s="575" t="s">
        <v>80</v>
      </c>
      <c r="F33" s="576"/>
      <c r="G33" s="576"/>
      <c r="H33" s="576"/>
      <c r="I33" s="577"/>
      <c r="J33" s="206"/>
      <c r="K33" s="578" t="s">
        <v>78</v>
      </c>
      <c r="L33" s="579"/>
    </row>
    <row r="34" spans="1:12" ht="14.1" customHeight="1" x14ac:dyDescent="0.15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 x14ac:dyDescent="0.2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 x14ac:dyDescent="0.2">
      <c r="A36" s="295" t="s">
        <v>73</v>
      </c>
      <c r="B36" s="206" t="s">
        <v>74</v>
      </c>
      <c r="C36" s="296" t="s">
        <v>75</v>
      </c>
      <c r="D36" s="275" t="s">
        <v>76</v>
      </c>
      <c r="E36" s="575" t="s">
        <v>81</v>
      </c>
      <c r="F36" s="576"/>
      <c r="G36" s="576"/>
      <c r="H36" s="576"/>
      <c r="I36" s="577"/>
      <c r="J36" s="206"/>
      <c r="K36" s="578" t="s">
        <v>78</v>
      </c>
      <c r="L36" s="579"/>
    </row>
    <row r="37" spans="1:12" ht="14.1" customHeight="1" thickBot="1" x14ac:dyDescent="0.2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 x14ac:dyDescent="0.2">
      <c r="A38" s="295" t="s">
        <v>73</v>
      </c>
      <c r="B38" s="206" t="s">
        <v>74</v>
      </c>
      <c r="C38" s="296" t="s">
        <v>75</v>
      </c>
      <c r="D38" s="275" t="s">
        <v>76</v>
      </c>
      <c r="E38" s="575" t="s">
        <v>82</v>
      </c>
      <c r="F38" s="576"/>
      <c r="G38" s="576"/>
      <c r="H38" s="576"/>
      <c r="I38" s="577"/>
      <c r="J38" s="206"/>
      <c r="K38" s="578" t="s">
        <v>78</v>
      </c>
      <c r="L38" s="579"/>
    </row>
    <row r="39" spans="1:12" ht="14.1" customHeight="1" thickBot="1" x14ac:dyDescent="0.2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 x14ac:dyDescent="0.2">
      <c r="A40" s="584" t="s">
        <v>83</v>
      </c>
      <c r="B40" s="585"/>
      <c r="C40" s="585"/>
      <c r="D40" s="585"/>
      <c r="E40" s="586" t="str">
        <f>IF($J$39="não jogou","",IF($F$39&gt;$H$39,$E$39,IF($F$39&lt;$H$39,$I$39,IF(AND($J$39="penaltis",$K$39="",$L$39=""),"",IF($K$39&gt;$L$39,$E$39,$I$39)))))</f>
        <v/>
      </c>
      <c r="F40" s="587"/>
      <c r="G40" s="587"/>
      <c r="H40" s="587"/>
      <c r="I40" s="588"/>
      <c r="J40" s="309"/>
      <c r="L40" s="312"/>
    </row>
    <row r="41" spans="1:12" ht="15" thickBot="1" x14ac:dyDescent="0.2">
      <c r="A41" s="589" t="s">
        <v>84</v>
      </c>
      <c r="B41" s="594"/>
      <c r="C41" s="594"/>
      <c r="D41" s="594"/>
      <c r="E41" s="591" t="str">
        <f>IF($J$39="não jogou","",IF($F$39&lt;$H$39,$E$39,IF($F$39&gt;$H$39,$I$39,IF(AND($J$39="penaltis",$K$39="",$L$39=""),"",IF($K$39&lt;$L$39,$E$39,$I$39)))))</f>
        <v/>
      </c>
      <c r="F41" s="595"/>
      <c r="G41" s="595"/>
      <c r="H41" s="595"/>
      <c r="I41" s="593"/>
      <c r="J41" s="294"/>
      <c r="L41" s="312"/>
    </row>
    <row r="42" spans="1:12" ht="15" thickBot="1" x14ac:dyDescent="0.2">
      <c r="A42" s="589" t="s">
        <v>85</v>
      </c>
      <c r="B42" s="590"/>
      <c r="C42" s="590"/>
      <c r="D42" s="590"/>
      <c r="E42" s="586" t="str">
        <f>IF($J$37="não jogou","",IF($F$37&gt;$H$37,$E$37,IF($F$37&lt;$H$37,$I$37,IF(AND($J$37="penaltis",$K$37="",$L$37=""),"",IF($K$37&gt;$L$37,$E$37,$I$37)))))</f>
        <v/>
      </c>
      <c r="F42" s="587"/>
      <c r="G42" s="587"/>
      <c r="H42" s="587"/>
      <c r="I42" s="588"/>
    </row>
    <row r="43" spans="1:12" ht="15" thickBot="1" x14ac:dyDescent="0.2">
      <c r="A43" s="589" t="s">
        <v>86</v>
      </c>
      <c r="B43" s="590"/>
      <c r="C43" s="590"/>
      <c r="D43" s="590"/>
      <c r="E43" s="591" t="str">
        <f>IF($J$37="não jogou","",IF($F$37&lt;$H$37,$E$37,IF($F$37&gt;$H$37,$I$37,IF(AND($J$37="penaltis",$K$37="",$L$37=""),"",IF($K$37&lt;$L$37,$E$37,$I$37)))))</f>
        <v/>
      </c>
      <c r="F43" s="592"/>
      <c r="G43" s="592"/>
      <c r="H43" s="592"/>
      <c r="I43" s="593"/>
    </row>
    <row r="44" spans="1:12" ht="13.5" thickBot="1" x14ac:dyDescent="0.2">
      <c r="A44" s="602" t="s">
        <v>87</v>
      </c>
      <c r="B44" s="603"/>
      <c r="C44" s="603"/>
      <c r="D44" s="604"/>
      <c r="E44" s="608">
        <f>Copa2022!E88:I88</f>
        <v>0</v>
      </c>
      <c r="F44" s="609"/>
      <c r="G44" s="609"/>
      <c r="H44" s="609"/>
      <c r="I44" s="610"/>
    </row>
    <row r="45" spans="1:12" ht="13.5" thickBot="1" x14ac:dyDescent="0.2">
      <c r="A45" s="605"/>
      <c r="B45" s="606"/>
      <c r="C45" s="606"/>
      <c r="D45" s="607"/>
      <c r="E45" s="597"/>
      <c r="F45" s="598"/>
      <c r="G45" s="598"/>
      <c r="H45" s="598"/>
      <c r="I45" s="599"/>
      <c r="K45" s="600" t="s">
        <v>88</v>
      </c>
      <c r="L45" s="601"/>
    </row>
    <row r="47" spans="1:12" ht="12.75" hidden="1" customHeight="1" x14ac:dyDescent="0.15">
      <c r="A47" s="596" t="s">
        <v>89</v>
      </c>
      <c r="B47" s="596"/>
      <c r="C47" s="596"/>
      <c r="D47" s="596"/>
      <c r="E47" s="596"/>
      <c r="F47" s="596"/>
      <c r="G47" s="596"/>
      <c r="H47" s="596"/>
      <c r="I47" s="596"/>
      <c r="J47" s="596"/>
      <c r="K47" s="596"/>
      <c r="L47" s="596"/>
    </row>
    <row r="48" spans="1:12" ht="12.75" hidden="1" customHeight="1" x14ac:dyDescent="0.15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 x14ac:dyDescent="0.15">
      <c r="I49" s="313" t="s">
        <v>91</v>
      </c>
    </row>
    <row r="50" spans="1:12" ht="12.75" hidden="1" customHeight="1" x14ac:dyDescent="0.15">
      <c r="A50" s="197" t="e">
        <f>Copa2022!#REF!</f>
        <v>#REF!</v>
      </c>
      <c r="I50" s="314" t="s">
        <v>92</v>
      </c>
    </row>
    <row r="51" spans="1:12" hidden="1" x14ac:dyDescent="0.15">
      <c r="C51" s="199" t="s">
        <v>93</v>
      </c>
      <c r="I51" s="199" t="s">
        <v>93</v>
      </c>
    </row>
    <row r="52" spans="1:12" ht="12.75" hidden="1" customHeight="1" x14ac:dyDescent="0.15">
      <c r="I52" s="313"/>
      <c r="J52" s="197"/>
      <c r="K52" s="197"/>
      <c r="L52" s="197"/>
    </row>
    <row r="53" spans="1:12" ht="12.75" hidden="1" customHeight="1" x14ac:dyDescent="0.15">
      <c r="I53" s="313"/>
    </row>
    <row r="54" spans="1:12" ht="12.75" hidden="1" customHeight="1" x14ac:dyDescent="0.15">
      <c r="I54" s="314"/>
    </row>
    <row r="55" spans="1:12" hidden="1" x14ac:dyDescent="0.15">
      <c r="I55" s="199"/>
    </row>
    <row r="56" spans="1:12" ht="12.75" hidden="1" customHeight="1" x14ac:dyDescent="0.15">
      <c r="I56" s="313"/>
      <c r="J56" s="197"/>
      <c r="K56" s="197"/>
      <c r="L56" s="197"/>
    </row>
    <row r="57" spans="1:12" ht="12.75" hidden="1" customHeight="1" x14ac:dyDescent="0.15">
      <c r="I57" s="313"/>
    </row>
    <row r="58" spans="1:12" ht="12.75" hidden="1" customHeight="1" x14ac:dyDescent="0.15">
      <c r="I58" s="314"/>
    </row>
    <row r="59" spans="1:12" hidden="1" x14ac:dyDescent="0.15">
      <c r="I59" s="199"/>
    </row>
    <row r="60" spans="1:12" hidden="1" x14ac:dyDescent="0.15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 x14ac:dyDescent="0.15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 x14ac:dyDescent="0.15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Equador</v>
      </c>
    </row>
    <row r="63" spans="1:12" ht="15" hidden="1" customHeight="1" x14ac:dyDescent="0.15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 x14ac:dyDescent="0.15">
      <c r="A64" s="197" t="s">
        <v>113</v>
      </c>
      <c r="C64" s="199" t="e">
        <f>COUNTIF(#REF!,A64)</f>
        <v>#REF!</v>
      </c>
      <c r="E64" s="199"/>
    </row>
    <row r="65" spans="1:5" hidden="1" x14ac:dyDescent="0.15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 x14ac:dyDescent="0.15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Estados Unidos</v>
      </c>
    </row>
    <row r="67" spans="1:5" hidden="1" x14ac:dyDescent="0.15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Irã</v>
      </c>
    </row>
    <row r="68" spans="1:5" hidden="1" x14ac:dyDescent="0.15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 x14ac:dyDescent="0.15">
      <c r="A69" s="197" t="s">
        <v>114</v>
      </c>
      <c r="C69" s="199" t="e">
        <f>COUNTIF(#REF!,A69)</f>
        <v>#REF!</v>
      </c>
      <c r="E69" s="199"/>
    </row>
    <row r="70" spans="1:5" hidden="1" x14ac:dyDescent="0.15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Argentina</v>
      </c>
    </row>
    <row r="71" spans="1:5" hidden="1" x14ac:dyDescent="0.15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 x14ac:dyDescent="0.15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 x14ac:dyDescent="0.15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Arábia Saudita</v>
      </c>
    </row>
    <row r="74" spans="1:5" hidden="1" x14ac:dyDescent="0.15">
      <c r="A74" s="197" t="s">
        <v>109</v>
      </c>
      <c r="C74" s="199" t="e">
        <f>COUNTIF(#REF!,A74)</f>
        <v>#REF!</v>
      </c>
      <c r="E74" s="199"/>
    </row>
    <row r="75" spans="1:5" hidden="1" x14ac:dyDescent="0.15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 x14ac:dyDescent="0.15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Austrália</v>
      </c>
    </row>
    <row r="77" spans="1:5" hidden="1" x14ac:dyDescent="0.15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Tunísia</v>
      </c>
    </row>
    <row r="78" spans="1:5" hidden="1" x14ac:dyDescent="0.15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Dinamarca</v>
      </c>
    </row>
    <row r="79" spans="1:5" hidden="1" x14ac:dyDescent="0.15">
      <c r="A79" s="197" t="s">
        <v>117</v>
      </c>
      <c r="C79" s="199" t="e">
        <f>COUNTIF(#REF!,A79)</f>
        <v>#REF!</v>
      </c>
      <c r="E79" s="199"/>
    </row>
    <row r="80" spans="1:5" hidden="1" x14ac:dyDescent="0.15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 x14ac:dyDescent="0.15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 x14ac:dyDescent="0.15">
      <c r="C82" s="197"/>
      <c r="D82" s="199">
        <v>3</v>
      </c>
      <c r="E82" s="207" t="str">
        <f>'Classificação 1ª fase'!C31</f>
        <v>Costa Rica</v>
      </c>
    </row>
    <row r="83" spans="1:5" hidden="1" x14ac:dyDescent="0.15">
      <c r="C83" s="197"/>
      <c r="D83" s="199" t="s">
        <v>105</v>
      </c>
      <c r="E83" s="207" t="str">
        <f>'Classificação 1ª fase'!C32</f>
        <v>Alemanha</v>
      </c>
    </row>
    <row r="84" spans="1:5" hidden="1" x14ac:dyDescent="0.15">
      <c r="C84" s="197"/>
      <c r="E84" s="199"/>
    </row>
    <row r="85" spans="1:5" hidden="1" x14ac:dyDescent="0.15">
      <c r="D85" s="199">
        <v>1</v>
      </c>
      <c r="E85" s="207" t="str">
        <f>'Classificação 1ª fase'!C35</f>
        <v>Croácia</v>
      </c>
    </row>
    <row r="86" spans="1:5" hidden="1" x14ac:dyDescent="0.15">
      <c r="D86" s="199">
        <v>2</v>
      </c>
      <c r="E86" s="207" t="str">
        <f>'Classificação 1ª fase'!C36</f>
        <v>Marrocos</v>
      </c>
    </row>
    <row r="87" spans="1:5" hidden="1" x14ac:dyDescent="0.15">
      <c r="D87" s="199">
        <v>3</v>
      </c>
      <c r="E87" s="207" t="str">
        <f>'Classificação 1ª fase'!C37</f>
        <v>Bélgica</v>
      </c>
    </row>
    <row r="88" spans="1:5" hidden="1" x14ac:dyDescent="0.15">
      <c r="D88" s="199">
        <v>4</v>
      </c>
      <c r="E88" s="207" t="str">
        <f>'Classificação 1ª fase'!C38</f>
        <v>Canadá</v>
      </c>
    </row>
    <row r="89" spans="1:5" hidden="1" x14ac:dyDescent="0.15">
      <c r="E89" s="199"/>
    </row>
    <row r="90" spans="1:5" hidden="1" x14ac:dyDescent="0.15">
      <c r="D90" s="199">
        <v>1</v>
      </c>
      <c r="E90" s="207" t="str">
        <f>'Classificação 1ª fase'!C41</f>
        <v>Brasil</v>
      </c>
    </row>
    <row r="91" spans="1:5" hidden="1" x14ac:dyDescent="0.15">
      <c r="D91" s="199">
        <v>2</v>
      </c>
      <c r="E91" s="207" t="str">
        <f>'Classificação 1ª fase'!C42</f>
        <v>Suíça</v>
      </c>
    </row>
    <row r="92" spans="1:5" hidden="1" x14ac:dyDescent="0.15">
      <c r="D92" s="199">
        <v>3</v>
      </c>
      <c r="E92" s="207" t="str">
        <f>'Classificação 1ª fase'!C43</f>
        <v>Camarões</v>
      </c>
    </row>
    <row r="93" spans="1:5" hidden="1" x14ac:dyDescent="0.15">
      <c r="D93" s="199">
        <v>4</v>
      </c>
      <c r="E93" s="207" t="str">
        <f>'Classificação 1ª fase'!C44</f>
        <v>Sérvia</v>
      </c>
    </row>
    <row r="94" spans="1:5" hidden="1" x14ac:dyDescent="0.15">
      <c r="E94" s="199"/>
    </row>
    <row r="95" spans="1:5" hidden="1" x14ac:dyDescent="0.15">
      <c r="D95" s="199">
        <v>1</v>
      </c>
      <c r="E95" s="207" t="str">
        <f>'Classificação 1ª fase'!C47</f>
        <v>Portugal</v>
      </c>
    </row>
    <row r="96" spans="1:5" hidden="1" x14ac:dyDescent="0.15">
      <c r="D96" s="199">
        <v>2</v>
      </c>
      <c r="E96" s="207" t="str">
        <f>'Classificação 1ª fase'!C48</f>
        <v>Gana</v>
      </c>
    </row>
    <row r="97" spans="4:5" hidden="1" x14ac:dyDescent="0.15">
      <c r="D97" s="199">
        <v>3</v>
      </c>
      <c r="E97" s="207" t="str">
        <f>'Classificação 1ª fase'!C49</f>
        <v>Coreia do Sul</v>
      </c>
    </row>
    <row r="98" spans="4:5" hidden="1" x14ac:dyDescent="0.15">
      <c r="D98" s="199">
        <v>4</v>
      </c>
      <c r="E98" s="207" t="str">
        <f>'Classificação 1ª fase'!C50</f>
        <v>Uruguai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 xr:uid="{00000000-0002-0000-1600-000000000000}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 xr:uid="{00000000-0002-0000-1600-000001000000}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 xr:uid="{00000000-0002-0000-1600-000002000000}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 xr:uid="{00000000-0002-0000-1600-000003000000}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 xr:uid="{00000000-0002-0000-1600-000004000000}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 xr:uid="{00000000-0002-0000-1600-000005000000}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 xr:uid="{00000000-0002-0000-1600-000006000000}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 xr:uid="{00000000-0002-0000-1600-000007000000}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 xr:uid="{00000000-0002-0000-1600-000008000000}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 xr:uid="{00000000-0002-0000-1600-000009000000}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 xr:uid="{00000000-0002-0000-1600-00000A000000}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CE67"/>
  <sheetViews>
    <sheetView workbookViewId="0">
      <selection activeCell="D53" sqref="D53"/>
    </sheetView>
  </sheetViews>
  <sheetFormatPr defaultColWidth="9.14453125" defaultRowHeight="12.75" x14ac:dyDescent="0.15"/>
  <cols>
    <col min="1" max="1" width="17.75390625" style="197" customWidth="1"/>
    <col min="2" max="2" width="3.765625" style="199" bestFit="1" customWidth="1"/>
    <col min="3" max="3" width="25.9609375" style="201" bestFit="1" customWidth="1"/>
    <col min="4" max="11" width="6.72265625" style="199" customWidth="1"/>
    <col min="12" max="12" width="6.45703125" style="197" customWidth="1"/>
    <col min="13" max="13" width="18.29296875" style="197" customWidth="1"/>
    <col min="14" max="14" width="3.765625" style="197" customWidth="1"/>
    <col min="15" max="15" width="9.14453125" style="202" customWidth="1"/>
    <col min="16" max="18" width="2.6875" style="199" customWidth="1"/>
    <col min="19" max="19" width="9.14453125" style="197" customWidth="1"/>
    <col min="20" max="21" width="6.1875" style="197" customWidth="1"/>
    <col min="22" max="22" width="13.44921875" style="197" customWidth="1"/>
    <col min="23" max="24" width="6.45703125" style="199" customWidth="1"/>
    <col min="25" max="25" width="7.93359375" style="199" bestFit="1" customWidth="1"/>
    <col min="26" max="27" width="9.14453125" style="197" customWidth="1"/>
    <col min="28" max="28" width="5.24609375" style="197" customWidth="1"/>
    <col min="29" max="29" width="13.1796875" style="197" customWidth="1"/>
    <col min="30" max="37" width="4.70703125" style="199" customWidth="1"/>
    <col min="38" max="38" width="4.70703125" style="197" customWidth="1"/>
    <col min="39" max="39" width="10.76171875" style="203" customWidth="1"/>
    <col min="40" max="40" width="10.0859375" style="203" customWidth="1"/>
    <col min="41" max="41" width="4.70703125" style="203" customWidth="1"/>
    <col min="42" max="42" width="9.14453125" style="203" customWidth="1"/>
    <col min="43" max="43" width="9.14453125" style="199" customWidth="1"/>
    <col min="44" max="44" width="8.875" style="199" customWidth="1"/>
    <col min="45" max="45" width="9.953125" style="199" customWidth="1"/>
    <col min="46" max="46" width="3.359375" style="197" customWidth="1"/>
    <col min="47" max="47" width="5.37890625" style="197" customWidth="1"/>
    <col min="48" max="48" width="3.359375" style="197" customWidth="1"/>
    <col min="49" max="49" width="16.140625" style="197" customWidth="1"/>
    <col min="50" max="55" width="9.14453125" style="197" customWidth="1"/>
    <col min="56" max="56" width="1.4765625" style="197" customWidth="1"/>
    <col min="57" max="65" width="9.14453125" style="197" customWidth="1"/>
    <col min="66" max="66" width="7.12890625" style="197" customWidth="1"/>
    <col min="67" max="67" width="14.796875" style="197" customWidth="1"/>
    <col min="68" max="75" width="3.765625" style="197" customWidth="1"/>
    <col min="76" max="76" width="7.12890625" style="197" customWidth="1"/>
    <col min="77" max="78" width="14.66015625" style="204" customWidth="1"/>
    <col min="79" max="79" width="3.765625" style="197" customWidth="1"/>
    <col min="80" max="80" width="9.14453125" style="197" customWidth="1"/>
    <col min="81" max="81" width="3.765625" style="199" customWidth="1"/>
    <col min="82" max="82" width="11.02734375" style="197" customWidth="1"/>
    <col min="83" max="83" width="11.02734375" style="203" customWidth="1"/>
    <col min="84" max="16384" width="9.14453125" style="197"/>
  </cols>
  <sheetData>
    <row r="1" spans="1:83" ht="25.5" customHeight="1" x14ac:dyDescent="0.15">
      <c r="B1" s="198"/>
      <c r="C1" s="614" t="s">
        <v>13</v>
      </c>
      <c r="D1" s="614"/>
      <c r="E1" s="614"/>
      <c r="F1" s="614"/>
      <c r="G1" s="614"/>
      <c r="H1" s="614"/>
      <c r="I1" s="614"/>
      <c r="J1" s="614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 x14ac:dyDescent="0.15">
      <c r="A2" s="205"/>
      <c r="C2" s="614"/>
      <c r="D2" s="614"/>
      <c r="E2" s="614"/>
      <c r="F2" s="614"/>
      <c r="G2" s="614"/>
      <c r="H2" s="614"/>
      <c r="I2" s="614"/>
      <c r="J2" s="614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 x14ac:dyDescent="0.2">
      <c r="B3" s="198"/>
      <c r="C3" s="614"/>
      <c r="D3" s="614"/>
      <c r="E3" s="614"/>
      <c r="F3" s="614"/>
      <c r="G3" s="614"/>
      <c r="H3" s="614"/>
      <c r="I3" s="614"/>
      <c r="J3" s="614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" x14ac:dyDescent="0.2">
      <c r="B4" s="615" t="s">
        <v>34</v>
      </c>
      <c r="C4" s="616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 x14ac:dyDescent="0.2">
      <c r="B5" s="214">
        <f>AQ5</f>
        <v>1</v>
      </c>
      <c r="C5" s="215" t="str">
        <f>AP5</f>
        <v>Holanda</v>
      </c>
      <c r="D5" s="216">
        <f>3*F5+H5</f>
        <v>7</v>
      </c>
      <c r="E5" s="216">
        <f>F5+G5+H5</f>
        <v>3</v>
      </c>
      <c r="F5" s="216">
        <f>VLOOKUP($AP5,$AC$5:$AK$8,4)</f>
        <v>2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5</v>
      </c>
      <c r="J5" s="216">
        <f>VLOOKUP($AP5,$AC$5:$AK$8,8)</f>
        <v>1</v>
      </c>
      <c r="K5" s="217">
        <f>I5-J5</f>
        <v>4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3</v>
      </c>
      <c r="AF5" s="220">
        <f>COUNTIF(W$2:W$49,$AC5)</f>
        <v>0</v>
      </c>
      <c r="AG5" s="220">
        <f>COUNTIF(X$2:X$49,$AC5)</f>
        <v>3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7</v>
      </c>
      <c r="AK5" s="220">
        <f t="shared" ref="AK5:AK37" si="7">AI5-AJ5</f>
        <v>-6</v>
      </c>
      <c r="AL5" s="221">
        <v>1</v>
      </c>
      <c r="AM5" s="203">
        <f>(10^6)*AD5+(10^2)*AK5+10*AI5+AL5</f>
        <v>-589</v>
      </c>
      <c r="AN5" s="203">
        <f>LARGE($AM$5:$AM$8,AL5)</f>
        <v>7000453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-590</v>
      </c>
      <c r="AS5" s="199">
        <f>LARGE($AR$5:$AR$8,AL5)</f>
        <v>7000450</v>
      </c>
      <c r="AT5" s="611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2</v>
      </c>
      <c r="AY5" s="197">
        <f>(10^4)*AX5+AU5</f>
        <v>20000.009999999998</v>
      </c>
      <c r="AZ5" s="197">
        <f>LARGE($AY$5:$AY$36,AV5)</f>
        <v>90000.2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9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3</v>
      </c>
      <c r="BI5" s="197">
        <f>(10^4)*BH5+BE5</f>
        <v>30000.01</v>
      </c>
      <c r="BJ5" s="197">
        <f>SMALL($BI$5:$BI$36,BF5)</f>
        <v>0.06</v>
      </c>
      <c r="BK5" s="199">
        <f>MATCH(BJ5,$BI$5:$BI$36,0)</f>
        <v>6</v>
      </c>
      <c r="BL5" s="197" t="str">
        <f>VLOOKUP(BK5,$BF$5:$BH$36,2)</f>
        <v>Brasil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2</v>
      </c>
      <c r="BV5" s="199">
        <f>SUMIF($O$2:$O$65,BO5,$R$2:$R$65)+SUMIF($S$2:$S$65,BO5,$P$2:$P$65)</f>
        <v>3</v>
      </c>
      <c r="BW5" s="199">
        <f>BU5-BV5</f>
        <v>-1</v>
      </c>
      <c r="BX5" s="197">
        <v>9.9000000000000005E-2</v>
      </c>
      <c r="BY5" s="204">
        <f>(10^8)*BP5+(10^4)*BW5+(10^2)*BU5+BX5</f>
        <v>-9799.9009999999998</v>
      </c>
      <c r="BZ5" s="204">
        <f>LARGE(BY$5:$BY$36,BN5)</f>
        <v>70900.08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-9800</v>
      </c>
      <c r="CE5" s="203">
        <f>LARGE($CD$5:CD$36,BN5)</f>
        <v>70900</v>
      </c>
    </row>
    <row r="6" spans="1:83" ht="15" x14ac:dyDescent="0.2">
      <c r="B6" s="214">
        <f>AQ6</f>
        <v>2</v>
      </c>
      <c r="C6" s="215" t="str">
        <f>AP6</f>
        <v>Senegal</v>
      </c>
      <c r="D6" s="216">
        <f>3*F6+H6</f>
        <v>6</v>
      </c>
      <c r="E6" s="216">
        <f>F6+G6+H6</f>
        <v>3</v>
      </c>
      <c r="F6" s="216">
        <f>VLOOKUP($AP6,$AC$5:$AK$8,4)</f>
        <v>2</v>
      </c>
      <c r="G6" s="216">
        <f>VLOOKUP($AP6,$AC$5:$AK$8,5)</f>
        <v>1</v>
      </c>
      <c r="H6" s="216">
        <f>VLOOKUP($AP6,$AC$5:$AK$8,6)</f>
        <v>0</v>
      </c>
      <c r="I6" s="216">
        <f>VLOOKUP($AP6,$AC$5:$AK$8,7)</f>
        <v>5</v>
      </c>
      <c r="J6" s="216">
        <f>VLOOKUP($AP6,$AC$5:$AK$8,8)</f>
        <v>4</v>
      </c>
      <c r="K6" s="217">
        <f>I6-J6</f>
        <v>1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>
        <f>IF(Copa2022!F15="","",Copa2022!F15)</f>
        <v>2</v>
      </c>
      <c r="Q6" s="202" t="str">
        <f>Copa2022!G15</f>
        <v>x</v>
      </c>
      <c r="R6" s="202">
        <f>IF(Copa2022!H15="","",Copa2022!H15)</f>
        <v>0</v>
      </c>
      <c r="S6" s="202" t="str">
        <f>Copa2022!I15</f>
        <v>Catar</v>
      </c>
      <c r="V6" s="197" t="b">
        <f t="shared" si="0"/>
        <v>1</v>
      </c>
      <c r="W6" s="199" t="str">
        <f t="shared" si="1"/>
        <v>Holanda</v>
      </c>
      <c r="X6" s="199" t="str">
        <f t="shared" si="2"/>
        <v>Catar</v>
      </c>
      <c r="Y6" s="199" t="str">
        <f t="shared" si="3"/>
        <v/>
      </c>
      <c r="Z6" s="199" t="str">
        <f t="shared" si="4"/>
        <v/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3</v>
      </c>
      <c r="AF6" s="199">
        <f t="shared" ref="AF6:AF36" si="12">COUNTIF(W$2:W$49,$AC6)</f>
        <v>1</v>
      </c>
      <c r="AG6" s="199">
        <f t="shared" ref="AG6:AG36" si="13">COUNTIF(X$2:X$49,$AC6)</f>
        <v>1</v>
      </c>
      <c r="AH6" s="199">
        <f t="shared" ref="AH6:AH36" si="14">COUNTIF(Y$2:Z$49,$AC6)</f>
        <v>1</v>
      </c>
      <c r="AI6" s="199">
        <f t="shared" si="5"/>
        <v>4</v>
      </c>
      <c r="AJ6" s="199">
        <f t="shared" si="6"/>
        <v>3</v>
      </c>
      <c r="AK6" s="199">
        <f t="shared" si="7"/>
        <v>1</v>
      </c>
      <c r="AL6" s="224">
        <v>2</v>
      </c>
      <c r="AM6" s="203">
        <f t="shared" ref="AM6:AM36" si="15">(10^6)*AD6+(10^2)*AK6+10*AI6+AL6</f>
        <v>4000142</v>
      </c>
      <c r="AN6" s="203">
        <f>LARGE($AM$5:$AM$8,AL6)</f>
        <v>6000154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4000140</v>
      </c>
      <c r="AS6" s="199">
        <f>LARGE($AR$5:$AR$8,AL6)</f>
        <v>6000150</v>
      </c>
      <c r="AT6" s="612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3</v>
      </c>
      <c r="AY6" s="197">
        <f t="shared" ref="AY6:AY36" si="18">(10^4)*AX6+AU6</f>
        <v>30000.02</v>
      </c>
      <c r="AZ6" s="197">
        <f t="shared" ref="AZ6:AZ36" si="19">LARGE($AY$5:$AY$36,AV6)</f>
        <v>80000.149999999994</v>
      </c>
      <c r="BA6" s="199">
        <f t="shared" ref="BA6:BA36" si="20">MATCH(AZ6,$AY$5:$AY$36,0)</f>
        <v>15</v>
      </c>
      <c r="BB6" s="197" t="str">
        <f t="shared" ref="BB6:BB36" si="21">VLOOKUP(BA6,$AV$5:$AX$36,2)</f>
        <v>Espanha</v>
      </c>
      <c r="BC6" s="199">
        <f t="shared" ref="BC6:BC36" si="22">VLOOKUP(BA6,$AV$5:$AX$36,3)</f>
        <v>8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5</v>
      </c>
      <c r="BI6" s="197">
        <f t="shared" ref="BI6:BI36" si="25">(10^4)*BH6+BE6</f>
        <v>50000.02</v>
      </c>
      <c r="BJ6" s="197">
        <f t="shared" ref="BJ6:BJ36" si="26">SMALL($BI$5:$BI$36,BF6)</f>
        <v>0.23</v>
      </c>
      <c r="BK6" s="199">
        <f t="shared" ref="BK6:BK36" si="27">MATCH(BJ6,$BI$5:$BI$36,0)</f>
        <v>23</v>
      </c>
      <c r="BL6" s="197" t="str">
        <f t="shared" ref="BL6:BL36" si="28">VLOOKUP(BK6,$BF$5:$BH$36,2)</f>
        <v>Marrocos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3</v>
      </c>
      <c r="BV6" s="199">
        <f t="shared" ref="BV6:BV36" si="37">SUMIF($O$2:$O$65,BO6,$R$2:$R$65)+SUMIF($S$2:$S$65,BO6,$P$2:$P$65)</f>
        <v>5</v>
      </c>
      <c r="BW6" s="199">
        <f t="shared" ref="BW6:BW36" si="38">BU6-BV6</f>
        <v>-2</v>
      </c>
      <c r="BX6" s="197">
        <v>9.8000000000000004E-2</v>
      </c>
      <c r="BY6" s="204">
        <f t="shared" ref="BY6:BY36" si="39">(10^8)*BP6+(10^4)*BW6+(10^2)*BU6+BX6</f>
        <v>-19699.901999999998</v>
      </c>
      <c r="BZ6" s="204">
        <f>LARGE(BY$5:$BY$36,BN6)</f>
        <v>70800.085000000006</v>
      </c>
      <c r="CA6" s="203">
        <f t="shared" ref="CA6:CA36" si="40">MATCH(BZ6,BY$5:BY$36,0)</f>
        <v>15</v>
      </c>
      <c r="CB6" s="203" t="str">
        <f t="shared" si="9"/>
        <v>Espanha</v>
      </c>
      <c r="CC6" s="199">
        <f>IF(CE5=CE6,"-",BN6)</f>
        <v>2</v>
      </c>
      <c r="CD6" s="207">
        <f t="shared" ref="CD6:CD36" si="41">BY6-BX6</f>
        <v>-19700</v>
      </c>
      <c r="CE6" s="203">
        <f>LARGE($CD$5:CD$36,BN6)</f>
        <v>70800</v>
      </c>
    </row>
    <row r="7" spans="1:83" ht="15" x14ac:dyDescent="0.2">
      <c r="B7" s="214">
        <f>AQ7</f>
        <v>3</v>
      </c>
      <c r="C7" s="215" t="str">
        <f>AP7</f>
        <v>Equador</v>
      </c>
      <c r="D7" s="216">
        <f>3*F7+H7</f>
        <v>4</v>
      </c>
      <c r="E7" s="216">
        <f>F7+G7+H7</f>
        <v>3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1</v>
      </c>
      <c r="I7" s="216">
        <f>VLOOKUP($AP7,$AC$5:$AK$8,7)</f>
        <v>4</v>
      </c>
      <c r="J7" s="216">
        <f>VLOOKUP($AP7,$AC$5:$AK$8,8)</f>
        <v>3</v>
      </c>
      <c r="K7" s="217">
        <f>I7-J7</f>
        <v>1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>
        <f>IF(Copa2022!F16="","",Copa2022!F16)</f>
        <v>1</v>
      </c>
      <c r="Q7" s="202" t="str">
        <f>Copa2022!G16</f>
        <v>x</v>
      </c>
      <c r="R7" s="202">
        <f>IF(Copa2022!H16="","",Copa2022!H16)</f>
        <v>2</v>
      </c>
      <c r="S7" s="202" t="str">
        <f>Copa2022!I16</f>
        <v>Senegal</v>
      </c>
      <c r="V7" s="225" t="b">
        <f t="shared" si="0"/>
        <v>1</v>
      </c>
      <c r="W7" s="199" t="str">
        <f t="shared" si="1"/>
        <v>Senegal</v>
      </c>
      <c r="X7" s="199" t="str">
        <f t="shared" si="2"/>
        <v>Equador</v>
      </c>
      <c r="Y7" s="199" t="str">
        <f t="shared" si="3"/>
        <v/>
      </c>
      <c r="Z7" s="199" t="str">
        <f t="shared" si="4"/>
        <v/>
      </c>
      <c r="AA7" s="226"/>
      <c r="AB7" s="223">
        <v>3</v>
      </c>
      <c r="AC7" s="200" t="s">
        <v>140</v>
      </c>
      <c r="AD7" s="199">
        <f t="shared" si="10"/>
        <v>7</v>
      </c>
      <c r="AE7" s="199">
        <f t="shared" si="11"/>
        <v>3</v>
      </c>
      <c r="AF7" s="199">
        <f t="shared" si="12"/>
        <v>2</v>
      </c>
      <c r="AG7" s="199">
        <f t="shared" si="13"/>
        <v>0</v>
      </c>
      <c r="AH7" s="199">
        <f t="shared" si="14"/>
        <v>1</v>
      </c>
      <c r="AI7" s="199">
        <f t="shared" si="5"/>
        <v>5</v>
      </c>
      <c r="AJ7" s="199">
        <f t="shared" si="6"/>
        <v>1</v>
      </c>
      <c r="AK7" s="199">
        <f t="shared" si="7"/>
        <v>4</v>
      </c>
      <c r="AL7" s="224">
        <v>3</v>
      </c>
      <c r="AM7" s="203">
        <f t="shared" si="15"/>
        <v>7000453</v>
      </c>
      <c r="AN7" s="203">
        <f>LARGE($AM$5:$AM$8,AL7)</f>
        <v>4000142</v>
      </c>
      <c r="AO7" s="203">
        <f>MATCH(AN7,$AM$5:$AM$8,0)</f>
        <v>2</v>
      </c>
      <c r="AP7" s="203" t="str">
        <f>VLOOKUP(AO7,$AB$5:$AC$8,2)</f>
        <v>Equador</v>
      </c>
      <c r="AQ7" s="199">
        <f>IF(AS6=AS7,"-",3)</f>
        <v>3</v>
      </c>
      <c r="AR7" s="207">
        <f t="shared" si="8"/>
        <v>7000450</v>
      </c>
      <c r="AS7" s="199">
        <f>LARGE($AR$5:$AR$8,AL7)</f>
        <v>4000140</v>
      </c>
      <c r="AT7" s="612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5</v>
      </c>
      <c r="AY7" s="197">
        <f t="shared" si="18"/>
        <v>50000.03</v>
      </c>
      <c r="AZ7" s="197">
        <f t="shared" si="19"/>
        <v>60000.17</v>
      </c>
      <c r="BA7" s="199">
        <f t="shared" si="20"/>
        <v>17</v>
      </c>
      <c r="BB7" s="197" t="str">
        <f t="shared" si="21"/>
        <v>França</v>
      </c>
      <c r="BC7" s="199">
        <f t="shared" si="22"/>
        <v>6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10000.120000000001</v>
      </c>
      <c r="BK7" s="199">
        <f t="shared" si="27"/>
        <v>12</v>
      </c>
      <c r="BL7" s="197" t="str">
        <f t="shared" si="28"/>
        <v>Croácia</v>
      </c>
      <c r="BM7" s="199">
        <f t="shared" si="29"/>
        <v>1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5</v>
      </c>
      <c r="BV7" s="199">
        <f t="shared" si="37"/>
        <v>2</v>
      </c>
      <c r="BW7" s="199">
        <f t="shared" si="38"/>
        <v>3</v>
      </c>
      <c r="BX7" s="197">
        <v>9.7000000000000003E-2</v>
      </c>
      <c r="BY7" s="204">
        <f t="shared" si="39"/>
        <v>30500.097000000002</v>
      </c>
      <c r="BZ7" s="204">
        <f>LARGE(BY$5:$BY$36,BN7)</f>
        <v>40500.080999999998</v>
      </c>
      <c r="CA7" s="203">
        <f t="shared" si="40"/>
        <v>19</v>
      </c>
      <c r="CB7" s="203" t="str">
        <f t="shared" si="9"/>
        <v>Holanda</v>
      </c>
      <c r="CC7" s="199">
        <f t="shared" ref="CC7:CC36" si="42">IF(CE6=CE7,"-",BN7)</f>
        <v>3</v>
      </c>
      <c r="CD7" s="207">
        <f t="shared" si="41"/>
        <v>30500</v>
      </c>
      <c r="CE7" s="203">
        <f>LARGE($CD$5:CD$36,BN7)</f>
        <v>40500</v>
      </c>
    </row>
    <row r="8" spans="1:83" ht="15.75" thickBot="1" x14ac:dyDescent="0.25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3</v>
      </c>
      <c r="F8" s="229">
        <f>VLOOKUP($AP8,$AC$5:$AK$8,4)</f>
        <v>0</v>
      </c>
      <c r="G8" s="229">
        <f>VLOOKUP($AP8,$AC$5:$AK$8,5)</f>
        <v>3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7</v>
      </c>
      <c r="K8" s="230">
        <f>I8-J8</f>
        <v>-6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6</v>
      </c>
      <c r="AE8" s="226">
        <f t="shared" si="11"/>
        <v>3</v>
      </c>
      <c r="AF8" s="226">
        <f t="shared" si="12"/>
        <v>2</v>
      </c>
      <c r="AG8" s="226">
        <f t="shared" si="13"/>
        <v>1</v>
      </c>
      <c r="AH8" s="226">
        <f t="shared" si="14"/>
        <v>0</v>
      </c>
      <c r="AI8" s="226">
        <f t="shared" si="5"/>
        <v>5</v>
      </c>
      <c r="AJ8" s="226">
        <f t="shared" si="6"/>
        <v>4</v>
      </c>
      <c r="AK8" s="226">
        <f t="shared" si="7"/>
        <v>1</v>
      </c>
      <c r="AL8" s="233">
        <v>4</v>
      </c>
      <c r="AM8" s="203">
        <f t="shared" si="15"/>
        <v>6000154</v>
      </c>
      <c r="AN8" s="234">
        <f>LARGE($AM$5:$AM$8,AL8)</f>
        <v>-589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6000150</v>
      </c>
      <c r="AS8" s="226">
        <f>LARGE($AR$5:$AR$8,AL8)</f>
        <v>-590</v>
      </c>
      <c r="AT8" s="613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3</v>
      </c>
      <c r="AY8" s="197">
        <f t="shared" si="18"/>
        <v>30000.04</v>
      </c>
      <c r="AZ8" s="197">
        <f t="shared" si="19"/>
        <v>50000.28</v>
      </c>
      <c r="BA8" s="199">
        <f t="shared" si="20"/>
        <v>28</v>
      </c>
      <c r="BB8" s="197" t="str">
        <f t="shared" si="21"/>
        <v>Senegal</v>
      </c>
      <c r="BC8" s="199">
        <f t="shared" si="22"/>
        <v>5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10000.15</v>
      </c>
      <c r="BK8" s="199">
        <f t="shared" si="27"/>
        <v>15</v>
      </c>
      <c r="BL8" s="197" t="str">
        <f t="shared" si="28"/>
        <v>Espanha</v>
      </c>
      <c r="BM8" s="199">
        <f t="shared" si="29"/>
        <v>1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3</v>
      </c>
      <c r="BV8" s="199">
        <f t="shared" si="37"/>
        <v>4</v>
      </c>
      <c r="BW8" s="199">
        <f t="shared" si="38"/>
        <v>-1</v>
      </c>
      <c r="BX8" s="197">
        <v>9.6000000000000002E-2</v>
      </c>
      <c r="BY8" s="204">
        <f t="shared" si="39"/>
        <v>-9699.9040000000005</v>
      </c>
      <c r="BZ8" s="204">
        <f>LARGE(BY$5:$BY$36,BN8)</f>
        <v>30600.082999999999</v>
      </c>
      <c r="CA8" s="203">
        <f t="shared" si="40"/>
        <v>17</v>
      </c>
      <c r="CB8" s="203" t="str">
        <f t="shared" si="9"/>
        <v>França</v>
      </c>
      <c r="CC8" s="199">
        <f t="shared" si="42"/>
        <v>4</v>
      </c>
      <c r="CD8" s="207">
        <f t="shared" si="41"/>
        <v>-9700</v>
      </c>
      <c r="CE8" s="203">
        <f>LARGE($CD$5:CD$36,BN8)</f>
        <v>30600</v>
      </c>
    </row>
    <row r="9" spans="1:83" ht="15.75" thickBot="1" x14ac:dyDescent="0.25">
      <c r="B9" s="236"/>
      <c r="C9" s="237"/>
      <c r="D9" s="236"/>
      <c r="E9" s="236">
        <f>SUM(E5:E8)</f>
        <v>12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5</v>
      </c>
      <c r="AE9" s="220">
        <f t="shared" si="11"/>
        <v>3</v>
      </c>
      <c r="AF9" s="220">
        <f t="shared" si="12"/>
        <v>1</v>
      </c>
      <c r="AG9" s="220">
        <f t="shared" si="13"/>
        <v>0</v>
      </c>
      <c r="AH9" s="220">
        <f t="shared" si="14"/>
        <v>2</v>
      </c>
      <c r="AI9" s="220">
        <f t="shared" si="5"/>
        <v>2</v>
      </c>
      <c r="AJ9" s="220">
        <f t="shared" si="6"/>
        <v>1</v>
      </c>
      <c r="AK9" s="220">
        <f t="shared" si="7"/>
        <v>1</v>
      </c>
      <c r="AL9" s="221">
        <v>1</v>
      </c>
      <c r="AM9" s="203">
        <f t="shared" si="15"/>
        <v>5000121</v>
      </c>
      <c r="AN9" s="203">
        <f>LARGE($AM$9:$AM$12,AL9)</f>
        <v>7000792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5000120</v>
      </c>
      <c r="AS9" s="199">
        <f>LARGE($AR$9:$AR$12,AL9)</f>
        <v>7000790</v>
      </c>
      <c r="AT9" s="611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50000.27</v>
      </c>
      <c r="BA9" s="199">
        <f t="shared" si="20"/>
        <v>27</v>
      </c>
      <c r="BB9" s="197" t="str">
        <f t="shared" si="21"/>
        <v>Portugal</v>
      </c>
      <c r="BC9" s="199">
        <f t="shared" si="22"/>
        <v>5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2</v>
      </c>
      <c r="BI9" s="197">
        <f t="shared" si="25"/>
        <v>20000.05</v>
      </c>
      <c r="BJ9" s="197">
        <f t="shared" si="26"/>
        <v>10000.16</v>
      </c>
      <c r="BK9" s="199">
        <f t="shared" si="27"/>
        <v>16</v>
      </c>
      <c r="BL9" s="197" t="str">
        <f t="shared" si="28"/>
        <v>Estados Unidos</v>
      </c>
      <c r="BM9" s="199">
        <f t="shared" si="29"/>
        <v>1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2</v>
      </c>
      <c r="BW9" s="199">
        <f t="shared" si="38"/>
        <v>-1</v>
      </c>
      <c r="BX9" s="197">
        <v>9.5000000000000001E-2</v>
      </c>
      <c r="BY9" s="204">
        <f t="shared" si="39"/>
        <v>-9899.9050000000007</v>
      </c>
      <c r="BZ9" s="204">
        <f>LARGE(BY$5:$BY$36,BN9)</f>
        <v>30500.097000000002</v>
      </c>
      <c r="CA9" s="203">
        <f t="shared" si="40"/>
        <v>3</v>
      </c>
      <c r="CB9" s="203" t="str">
        <f t="shared" si="9"/>
        <v>Argentina</v>
      </c>
      <c r="CC9" s="199">
        <f t="shared" si="42"/>
        <v>5</v>
      </c>
      <c r="CD9" s="207">
        <f t="shared" si="41"/>
        <v>-9900</v>
      </c>
      <c r="CE9" s="203">
        <f>LARGE($CD$5:CD$36,BN9)</f>
        <v>30500</v>
      </c>
    </row>
    <row r="10" spans="1:83" ht="15" x14ac:dyDescent="0.2">
      <c r="B10" s="615" t="s">
        <v>48</v>
      </c>
      <c r="C10" s="616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7</v>
      </c>
      <c r="AE10" s="199">
        <f t="shared" si="11"/>
        <v>3</v>
      </c>
      <c r="AF10" s="199">
        <f t="shared" si="12"/>
        <v>2</v>
      </c>
      <c r="AG10" s="199">
        <f t="shared" si="13"/>
        <v>0</v>
      </c>
      <c r="AH10" s="199">
        <f t="shared" si="14"/>
        <v>1</v>
      </c>
      <c r="AI10" s="199">
        <f t="shared" si="5"/>
        <v>9</v>
      </c>
      <c r="AJ10" s="199">
        <f t="shared" si="6"/>
        <v>2</v>
      </c>
      <c r="AK10" s="199">
        <f t="shared" si="7"/>
        <v>7</v>
      </c>
      <c r="AL10" s="224">
        <v>2</v>
      </c>
      <c r="AM10" s="203">
        <f t="shared" si="15"/>
        <v>7000792</v>
      </c>
      <c r="AN10" s="203">
        <f>LARGE($AM$9:$AM$12,AL10)</f>
        <v>5000121</v>
      </c>
      <c r="AO10" s="203">
        <f>MATCH(AN10,$AM$9:$AM$12,0)</f>
        <v>1</v>
      </c>
      <c r="AP10" s="203" t="str">
        <f>VLOOKUP(AO10,$AB$9:$AC$12,2)</f>
        <v>Estados Unidos</v>
      </c>
      <c r="AQ10" s="199">
        <f>IF(AS9=AS10,"-",2)</f>
        <v>2</v>
      </c>
      <c r="AR10" s="207">
        <f t="shared" si="8"/>
        <v>7000790</v>
      </c>
      <c r="AS10" s="199">
        <f>LARGE($AR$9:$AR$12,AL10)</f>
        <v>5000120</v>
      </c>
      <c r="AT10" s="612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3</v>
      </c>
      <c r="AY10" s="197">
        <f t="shared" si="18"/>
        <v>30000.06</v>
      </c>
      <c r="AZ10" s="197">
        <f t="shared" si="19"/>
        <v>50000.19</v>
      </c>
      <c r="BA10" s="199">
        <f t="shared" si="20"/>
        <v>19</v>
      </c>
      <c r="BB10" s="197" t="str">
        <f t="shared" si="21"/>
        <v>Holanda</v>
      </c>
      <c r="BC10" s="199">
        <f t="shared" si="22"/>
        <v>5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10000.19</v>
      </c>
      <c r="BK10" s="199">
        <f t="shared" si="27"/>
        <v>19</v>
      </c>
      <c r="BL10" s="197" t="str">
        <f t="shared" si="28"/>
        <v>Holanda</v>
      </c>
      <c r="BM10" s="199">
        <f t="shared" si="29"/>
        <v>1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3</v>
      </c>
      <c r="BV10" s="199">
        <f t="shared" si="37"/>
        <v>0</v>
      </c>
      <c r="BW10" s="199">
        <f t="shared" si="38"/>
        <v>3</v>
      </c>
      <c r="BX10" s="197">
        <v>9.4E-2</v>
      </c>
      <c r="BY10" s="204">
        <f t="shared" si="39"/>
        <v>30300.094000000001</v>
      </c>
      <c r="BZ10" s="204">
        <f>LARGE(BY$5:$BY$36,BN10)</f>
        <v>30500.073</v>
      </c>
      <c r="CA10" s="203">
        <f t="shared" si="40"/>
        <v>27</v>
      </c>
      <c r="CB10" s="203" t="str">
        <f t="shared" si="9"/>
        <v>Portugal</v>
      </c>
      <c r="CC10" s="199" t="str">
        <f t="shared" si="42"/>
        <v>-</v>
      </c>
      <c r="CD10" s="207">
        <f t="shared" si="41"/>
        <v>30300</v>
      </c>
      <c r="CE10" s="203">
        <f>LARGE($CD$5:CD$36,BN10)</f>
        <v>30500</v>
      </c>
    </row>
    <row r="11" spans="1:83" ht="15" x14ac:dyDescent="0.2">
      <c r="B11" s="214">
        <f>AQ9</f>
        <v>1</v>
      </c>
      <c r="C11" s="215" t="str">
        <f>AP9</f>
        <v>Inglaterra</v>
      </c>
      <c r="D11" s="216">
        <f>3*F11+H11</f>
        <v>7</v>
      </c>
      <c r="E11" s="216">
        <f>F11+G11+H11</f>
        <v>3</v>
      </c>
      <c r="F11" s="216">
        <f>VLOOKUP($AP9,$AC$9:$AK$12,4)</f>
        <v>2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9</v>
      </c>
      <c r="J11" s="216">
        <f>VLOOKUP($AP9,$AC$9:$AK$12,8)</f>
        <v>2</v>
      </c>
      <c r="K11" s="217">
        <f>I11-J11</f>
        <v>7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3</v>
      </c>
      <c r="AF11" s="199">
        <f t="shared" si="12"/>
        <v>1</v>
      </c>
      <c r="AG11" s="199">
        <f t="shared" si="13"/>
        <v>2</v>
      </c>
      <c r="AH11" s="199">
        <f t="shared" si="14"/>
        <v>0</v>
      </c>
      <c r="AI11" s="199">
        <f t="shared" si="5"/>
        <v>4</v>
      </c>
      <c r="AJ11" s="199">
        <f t="shared" si="6"/>
        <v>7</v>
      </c>
      <c r="AK11" s="199">
        <f t="shared" si="7"/>
        <v>-3</v>
      </c>
      <c r="AL11" s="224">
        <v>3</v>
      </c>
      <c r="AM11" s="203">
        <f t="shared" si="15"/>
        <v>2999743</v>
      </c>
      <c r="AN11" s="203">
        <f>LARGE($AM$9:$AM$12,AL11)</f>
        <v>2999743</v>
      </c>
      <c r="AO11" s="203">
        <f>MATCH(AN11,$AM$9:$AM$12,0)</f>
        <v>3</v>
      </c>
      <c r="AP11" s="203" t="str">
        <f>VLOOKUP(AO11,$AB$9:$AC$12,2)</f>
        <v>Irã</v>
      </c>
      <c r="AQ11" s="199">
        <f>IF(AS10=AS11,"-",3)</f>
        <v>3</v>
      </c>
      <c r="AR11" s="207">
        <f t="shared" si="8"/>
        <v>2999740</v>
      </c>
      <c r="AS11" s="199">
        <f>LARGE($AR$9:$AR$12,AL11)</f>
        <v>2999740</v>
      </c>
      <c r="AT11" s="612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3</v>
      </c>
      <c r="AY11" s="197">
        <f t="shared" si="18"/>
        <v>30000.07</v>
      </c>
      <c r="AZ11" s="197">
        <f t="shared" si="19"/>
        <v>50000.18</v>
      </c>
      <c r="BA11" s="199">
        <f t="shared" si="20"/>
        <v>18</v>
      </c>
      <c r="BB11" s="197" t="str">
        <f t="shared" si="21"/>
        <v>Gana</v>
      </c>
      <c r="BC11" s="199">
        <f t="shared" si="22"/>
        <v>5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4</v>
      </c>
      <c r="BI11" s="197">
        <f t="shared" si="25"/>
        <v>40000.07</v>
      </c>
      <c r="BJ11" s="197">
        <f t="shared" si="26"/>
        <v>10000.299999999999</v>
      </c>
      <c r="BK11" s="199">
        <f t="shared" si="27"/>
        <v>30</v>
      </c>
      <c r="BL11" s="197" t="str">
        <f t="shared" si="28"/>
        <v>Suíça</v>
      </c>
      <c r="BM11" s="199">
        <f t="shared" si="29"/>
        <v>1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3</v>
      </c>
      <c r="BV11" s="199">
        <f t="shared" si="37"/>
        <v>4</v>
      </c>
      <c r="BW11" s="199">
        <f t="shared" si="38"/>
        <v>-1</v>
      </c>
      <c r="BX11" s="197">
        <v>9.2999999999999999E-2</v>
      </c>
      <c r="BY11" s="204">
        <f t="shared" si="39"/>
        <v>-9699.9069999999992</v>
      </c>
      <c r="BZ11" s="204">
        <f>LARGE(BY$5:$BY$36,BN11)</f>
        <v>30300.094000000001</v>
      </c>
      <c r="CA11" s="203">
        <f t="shared" si="40"/>
        <v>6</v>
      </c>
      <c r="CB11" s="203" t="str">
        <f t="shared" si="9"/>
        <v>Brasil</v>
      </c>
      <c r="CC11" s="199">
        <f t="shared" si="42"/>
        <v>7</v>
      </c>
      <c r="CD11" s="207">
        <f t="shared" si="41"/>
        <v>-9700</v>
      </c>
      <c r="CE11" s="203">
        <f>LARGE($CD$5:CD$36,BN11)</f>
        <v>30300</v>
      </c>
    </row>
    <row r="12" spans="1:83" ht="15" x14ac:dyDescent="0.2">
      <c r="B12" s="214">
        <f>AQ10</f>
        <v>2</v>
      </c>
      <c r="C12" s="215" t="str">
        <f>AP10</f>
        <v>Estados Unidos</v>
      </c>
      <c r="D12" s="216">
        <f>3*F12+H12</f>
        <v>5</v>
      </c>
      <c r="E12" s="216">
        <f>F12+G12+H12</f>
        <v>3</v>
      </c>
      <c r="F12" s="216">
        <f>VLOOKUP($AP10,$AC$9:$AK$12,4)</f>
        <v>1</v>
      </c>
      <c r="G12" s="216">
        <f>VLOOKUP($AP10,$AC$9:$AK$12,5)</f>
        <v>0</v>
      </c>
      <c r="H12" s="216">
        <f>VLOOKUP($AP10,$AC$9:$AK$12,6)</f>
        <v>2</v>
      </c>
      <c r="I12" s="216">
        <f>VLOOKUP($AP10,$AC$9:$AK$12,7)</f>
        <v>2</v>
      </c>
      <c r="J12" s="216">
        <f>VLOOKUP($AP10,$AC$9:$AK$12,8)</f>
        <v>1</v>
      </c>
      <c r="K12" s="217">
        <f>I12-J12</f>
        <v>1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>
        <f>IF(Copa2022!F21="","",Copa2022!F21)</f>
        <v>0</v>
      </c>
      <c r="Q12" s="202" t="str">
        <f>Copa2022!G21</f>
        <v>x</v>
      </c>
      <c r="R12" s="202">
        <f>IF(Copa2022!H21="","",Copa2022!H21)</f>
        <v>3</v>
      </c>
      <c r="S12" s="202" t="str">
        <f>Copa2022!I21</f>
        <v>Inglaterra</v>
      </c>
      <c r="V12" s="197" t="b">
        <f t="shared" si="0"/>
        <v>1</v>
      </c>
      <c r="W12" s="199" t="str">
        <f t="shared" si="1"/>
        <v>Inglaterra</v>
      </c>
      <c r="X12" s="199" t="str">
        <f t="shared" si="2"/>
        <v>País de Gales</v>
      </c>
      <c r="Y12" s="199" t="str">
        <f t="shared" si="3"/>
        <v/>
      </c>
      <c r="Z12" s="199" t="str">
        <f t="shared" si="4"/>
        <v/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3</v>
      </c>
      <c r="AF12" s="226">
        <f t="shared" si="12"/>
        <v>0</v>
      </c>
      <c r="AG12" s="226">
        <f t="shared" si="13"/>
        <v>2</v>
      </c>
      <c r="AH12" s="226">
        <f t="shared" si="14"/>
        <v>1</v>
      </c>
      <c r="AI12" s="226">
        <f t="shared" si="5"/>
        <v>1</v>
      </c>
      <c r="AJ12" s="226">
        <f t="shared" si="6"/>
        <v>6</v>
      </c>
      <c r="AK12" s="226">
        <f t="shared" si="7"/>
        <v>-5</v>
      </c>
      <c r="AL12" s="233">
        <v>4</v>
      </c>
      <c r="AM12" s="203">
        <f t="shared" si="15"/>
        <v>999514</v>
      </c>
      <c r="AN12" s="234">
        <f>LARGE($AM$9:$AM$12,AL12)</f>
        <v>999514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999510</v>
      </c>
      <c r="AS12" s="226">
        <f>LARGE($AR$9:$AR$12,AL12)</f>
        <v>999510</v>
      </c>
      <c r="AT12" s="613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1</v>
      </c>
      <c r="AY12" s="197">
        <f t="shared" si="18"/>
        <v>10000.08</v>
      </c>
      <c r="AZ12" s="197">
        <f t="shared" si="19"/>
        <v>50000.03</v>
      </c>
      <c r="BA12" s="199">
        <f t="shared" si="20"/>
        <v>3</v>
      </c>
      <c r="BB12" s="197" t="str">
        <f t="shared" si="21"/>
        <v>Argentina</v>
      </c>
      <c r="BC12" s="199">
        <f t="shared" si="22"/>
        <v>5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4</v>
      </c>
      <c r="BI12" s="197">
        <f t="shared" si="25"/>
        <v>40000.080000000002</v>
      </c>
      <c r="BJ12" s="197">
        <f t="shared" si="26"/>
        <v>10000.31</v>
      </c>
      <c r="BK12" s="199">
        <f t="shared" si="27"/>
        <v>31</v>
      </c>
      <c r="BL12" s="197" t="str">
        <f t="shared" si="28"/>
        <v>Tunísia</v>
      </c>
      <c r="BM12" s="199">
        <f t="shared" si="29"/>
        <v>1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1</v>
      </c>
      <c r="BV12" s="199">
        <f t="shared" si="37"/>
        <v>4</v>
      </c>
      <c r="BW12" s="199">
        <f t="shared" si="38"/>
        <v>-3</v>
      </c>
      <c r="BX12" s="197">
        <v>9.1999999999999998E-2</v>
      </c>
      <c r="BY12" s="204">
        <f t="shared" si="39"/>
        <v>-29899.907999999999</v>
      </c>
      <c r="BZ12" s="204">
        <f>LARGE(BY$5:$BY$36,BN12)</f>
        <v>20300.088</v>
      </c>
      <c r="CA12" s="203">
        <f t="shared" si="40"/>
        <v>12</v>
      </c>
      <c r="CB12" s="203" t="str">
        <f t="shared" si="9"/>
        <v>Croácia</v>
      </c>
      <c r="CC12" s="199">
        <f t="shared" si="42"/>
        <v>8</v>
      </c>
      <c r="CD12" s="207">
        <f t="shared" si="41"/>
        <v>-29900</v>
      </c>
      <c r="CE12" s="203">
        <f>LARGE($CD$5:CD$36,BN12)</f>
        <v>20300</v>
      </c>
    </row>
    <row r="13" spans="1:83" ht="15" x14ac:dyDescent="0.2">
      <c r="B13" s="214">
        <f>AQ11</f>
        <v>3</v>
      </c>
      <c r="C13" s="215" t="str">
        <f>AP11</f>
        <v>Irã</v>
      </c>
      <c r="D13" s="216">
        <f>3*F13+H13</f>
        <v>3</v>
      </c>
      <c r="E13" s="216">
        <f>F13+G13+H13</f>
        <v>3</v>
      </c>
      <c r="F13" s="216">
        <f>VLOOKUP($AP11,$AC$9:$AK$12,4)</f>
        <v>1</v>
      </c>
      <c r="G13" s="216">
        <f>VLOOKUP($AP11,$AC$9:$AK$12,5)</f>
        <v>2</v>
      </c>
      <c r="H13" s="216">
        <f>VLOOKUP($AP11,$AC$9:$AK$12,6)</f>
        <v>0</v>
      </c>
      <c r="I13" s="216">
        <f>VLOOKUP($AP11,$AC$9:$AK$12,7)</f>
        <v>4</v>
      </c>
      <c r="J13" s="216">
        <f>VLOOKUP($AP11,$AC$9:$AK$12,8)</f>
        <v>7</v>
      </c>
      <c r="K13" s="217">
        <f>I13-J13</f>
        <v>-3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>
        <f>IF(Copa2022!F22="","",Copa2022!F22)</f>
        <v>0</v>
      </c>
      <c r="Q13" s="202" t="str">
        <f>Copa2022!G22</f>
        <v>x</v>
      </c>
      <c r="R13" s="202">
        <f>IF(Copa2022!H22="","",Copa2022!H22)</f>
        <v>1</v>
      </c>
      <c r="S13" s="202" t="str">
        <f>Copa2022!I22</f>
        <v>Estados Unidos</v>
      </c>
      <c r="V13" s="225" t="b">
        <f t="shared" si="0"/>
        <v>1</v>
      </c>
      <c r="W13" s="199" t="str">
        <f t="shared" si="1"/>
        <v>Estados Unidos</v>
      </c>
      <c r="X13" s="199" t="str">
        <f t="shared" si="2"/>
        <v>Irã</v>
      </c>
      <c r="Y13" s="199" t="str">
        <f t="shared" si="3"/>
        <v/>
      </c>
      <c r="Z13" s="199" t="str">
        <f t="shared" si="4"/>
        <v/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3</v>
      </c>
      <c r="AF13" s="220">
        <f t="shared" si="12"/>
        <v>1</v>
      </c>
      <c r="AG13" s="220">
        <f t="shared" si="13"/>
        <v>2</v>
      </c>
      <c r="AH13" s="220">
        <f t="shared" si="14"/>
        <v>0</v>
      </c>
      <c r="AI13" s="220">
        <f t="shared" si="5"/>
        <v>3</v>
      </c>
      <c r="AJ13" s="220">
        <f t="shared" si="6"/>
        <v>5</v>
      </c>
      <c r="AK13" s="220">
        <f t="shared" si="7"/>
        <v>-2</v>
      </c>
      <c r="AL13" s="221">
        <v>1</v>
      </c>
      <c r="AM13" s="203">
        <f t="shared" si="15"/>
        <v>2999831</v>
      </c>
      <c r="AN13" s="238">
        <f>LARGE($AM$13:$AM$16,AL13)</f>
        <v>6000352</v>
      </c>
      <c r="AO13" s="238">
        <f>MATCH(AN13,$AM$13:$AM$16,0)</f>
        <v>2</v>
      </c>
      <c r="AP13" s="238" t="str">
        <f>VLOOKUP(AO13,$AB$13:$AC$16,2)</f>
        <v>Argentina</v>
      </c>
      <c r="AQ13" s="239">
        <v>1</v>
      </c>
      <c r="AR13" s="240">
        <f t="shared" si="8"/>
        <v>2999830</v>
      </c>
      <c r="AS13" s="239">
        <f>LARGE($AR$13:$AR$16,AL13)</f>
        <v>6000350</v>
      </c>
      <c r="AT13" s="611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40000.21</v>
      </c>
      <c r="BA13" s="199">
        <f t="shared" si="20"/>
        <v>21</v>
      </c>
      <c r="BB13" s="197" t="str">
        <f t="shared" si="21"/>
        <v>Irã</v>
      </c>
      <c r="BC13" s="199">
        <f t="shared" si="22"/>
        <v>4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7</v>
      </c>
      <c r="BI13" s="197">
        <f t="shared" si="25"/>
        <v>70000.09</v>
      </c>
      <c r="BJ13" s="197">
        <f t="shared" si="26"/>
        <v>20000.03</v>
      </c>
      <c r="BK13" s="199">
        <f t="shared" si="27"/>
        <v>3</v>
      </c>
      <c r="BL13" s="197" t="str">
        <f t="shared" si="28"/>
        <v>Argentina</v>
      </c>
      <c r="BM13" s="199">
        <f t="shared" si="29"/>
        <v>2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7</v>
      </c>
      <c r="BW13" s="199">
        <f t="shared" si="38"/>
        <v>-6</v>
      </c>
      <c r="BX13" s="197">
        <v>9.0999999999999998E-2</v>
      </c>
      <c r="BY13" s="204">
        <f t="shared" si="39"/>
        <v>-59899.909</v>
      </c>
      <c r="BZ13" s="204">
        <f>LARGE(BY$5:$BY$36,BN13)</f>
        <v>20200.077000000001</v>
      </c>
      <c r="CA13" s="203">
        <f t="shared" si="40"/>
        <v>23</v>
      </c>
      <c r="CB13" s="203" t="str">
        <f t="shared" si="9"/>
        <v>Marrocos</v>
      </c>
      <c r="CC13" s="199">
        <f t="shared" si="42"/>
        <v>9</v>
      </c>
      <c r="CD13" s="207">
        <f t="shared" si="41"/>
        <v>-59900</v>
      </c>
      <c r="CE13" s="203">
        <f>LARGE($CD$5:CD$36,BN13)</f>
        <v>20200</v>
      </c>
    </row>
    <row r="14" spans="1:83" ht="15" customHeight="1" thickBot="1" x14ac:dyDescent="0.25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3</v>
      </c>
      <c r="F14" s="229">
        <f>VLOOKUP($AP12,$AC$9:$AK$12,4)</f>
        <v>0</v>
      </c>
      <c r="G14" s="229">
        <f>VLOOKUP($AP12,$AC$9:$AK$12,5)</f>
        <v>2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6</v>
      </c>
      <c r="K14" s="230">
        <f>I14-J14</f>
        <v>-5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6</v>
      </c>
      <c r="AE14" s="199">
        <f t="shared" si="11"/>
        <v>3</v>
      </c>
      <c r="AF14" s="199">
        <f t="shared" si="12"/>
        <v>2</v>
      </c>
      <c r="AG14" s="199">
        <f t="shared" si="13"/>
        <v>1</v>
      </c>
      <c r="AH14" s="199">
        <f t="shared" si="14"/>
        <v>0</v>
      </c>
      <c r="AI14" s="199">
        <f t="shared" si="5"/>
        <v>5</v>
      </c>
      <c r="AJ14" s="199">
        <f t="shared" si="6"/>
        <v>2</v>
      </c>
      <c r="AK14" s="199">
        <f t="shared" si="7"/>
        <v>3</v>
      </c>
      <c r="AL14" s="224">
        <v>2</v>
      </c>
      <c r="AM14" s="203">
        <f t="shared" si="15"/>
        <v>6000352</v>
      </c>
      <c r="AN14" s="203">
        <f>LARGE($AM$13:$AM$16,AL14)</f>
        <v>4000024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6000350</v>
      </c>
      <c r="AS14" s="199">
        <f>LARGE($AR$13:$AR$16,AL14)</f>
        <v>4000020</v>
      </c>
      <c r="AT14" s="612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2</v>
      </c>
      <c r="AY14" s="197">
        <f t="shared" si="18"/>
        <v>20000.099999999999</v>
      </c>
      <c r="AZ14" s="197">
        <f t="shared" si="19"/>
        <v>40000.14</v>
      </c>
      <c r="BA14" s="199">
        <f t="shared" si="20"/>
        <v>14</v>
      </c>
      <c r="BB14" s="197" t="str">
        <f t="shared" si="21"/>
        <v>Equador</v>
      </c>
      <c r="BC14" s="199">
        <f t="shared" si="22"/>
        <v>4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3</v>
      </c>
      <c r="BI14" s="197">
        <f t="shared" si="25"/>
        <v>30000.1</v>
      </c>
      <c r="BJ14" s="197">
        <f t="shared" si="26"/>
        <v>20000.05</v>
      </c>
      <c r="BK14" s="199">
        <f t="shared" si="27"/>
        <v>5</v>
      </c>
      <c r="BL14" s="197" t="str">
        <f t="shared" si="28"/>
        <v>Bélgica</v>
      </c>
      <c r="BM14" s="199">
        <f t="shared" si="29"/>
        <v>2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2</v>
      </c>
      <c r="BV14" s="199">
        <f t="shared" si="37"/>
        <v>3</v>
      </c>
      <c r="BW14" s="199">
        <f t="shared" si="38"/>
        <v>-1</v>
      </c>
      <c r="BX14" s="197">
        <v>0.09</v>
      </c>
      <c r="BY14" s="204">
        <f t="shared" si="39"/>
        <v>-9799.91</v>
      </c>
      <c r="BZ14" s="204">
        <f>LARGE(BY$5:$BY$36,BN14)</f>
        <v>10500.072</v>
      </c>
      <c r="CA14" s="203">
        <f t="shared" si="40"/>
        <v>28</v>
      </c>
      <c r="CB14" s="203" t="str">
        <f t="shared" si="9"/>
        <v>Senegal</v>
      </c>
      <c r="CC14" s="199">
        <f t="shared" si="42"/>
        <v>10</v>
      </c>
      <c r="CD14" s="207">
        <f t="shared" si="41"/>
        <v>-9800</v>
      </c>
      <c r="CE14" s="203">
        <f>LARGE($CD$5:CD$36,BN14)</f>
        <v>10500</v>
      </c>
    </row>
    <row r="15" spans="1:83" ht="16.5" customHeight="1" thickBot="1" x14ac:dyDescent="0.25">
      <c r="B15" s="236"/>
      <c r="C15" s="237"/>
      <c r="D15" s="236"/>
      <c r="E15" s="236">
        <f>SUM(E11:E14)</f>
        <v>12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4</v>
      </c>
      <c r="AE15" s="199">
        <f t="shared" si="11"/>
        <v>3</v>
      </c>
      <c r="AF15" s="199">
        <f t="shared" si="12"/>
        <v>1</v>
      </c>
      <c r="AG15" s="199">
        <f t="shared" si="13"/>
        <v>1</v>
      </c>
      <c r="AH15" s="199">
        <f t="shared" si="14"/>
        <v>1</v>
      </c>
      <c r="AI15" s="199">
        <f t="shared" si="5"/>
        <v>2</v>
      </c>
      <c r="AJ15" s="199">
        <f t="shared" si="6"/>
        <v>3</v>
      </c>
      <c r="AK15" s="199">
        <f t="shared" si="7"/>
        <v>-1</v>
      </c>
      <c r="AL15" s="224">
        <v>3</v>
      </c>
      <c r="AM15" s="203">
        <f t="shared" si="15"/>
        <v>3999923</v>
      </c>
      <c r="AN15" s="203">
        <f>LARGE($AM$13:$AM$16,AL15)</f>
        <v>3999923</v>
      </c>
      <c r="AO15" s="203">
        <f>MATCH(AN15,$AM$13:$AM$16,0)</f>
        <v>3</v>
      </c>
      <c r="AP15" s="203" t="str">
        <f>VLOOKUP(AO15,$AB$13:$AC$16,2)</f>
        <v>México</v>
      </c>
      <c r="AQ15" s="199">
        <f>IF(AS14=AS15,"-",3)</f>
        <v>3</v>
      </c>
      <c r="AR15" s="207">
        <f t="shared" si="8"/>
        <v>3999920</v>
      </c>
      <c r="AS15" s="199">
        <f>LARGE($AR$13:$AR$16,AL15)</f>
        <v>3999920</v>
      </c>
      <c r="AT15" s="612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1</v>
      </c>
      <c r="AY15" s="197">
        <f t="shared" si="18"/>
        <v>10000.11</v>
      </c>
      <c r="AZ15" s="197">
        <f t="shared" si="19"/>
        <v>30000.29</v>
      </c>
      <c r="BA15" s="199">
        <f t="shared" si="20"/>
        <v>29</v>
      </c>
      <c r="BB15" s="197" t="str">
        <f t="shared" si="21"/>
        <v>Sérvia</v>
      </c>
      <c r="BC15" s="199">
        <f t="shared" si="22"/>
        <v>3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20000.2</v>
      </c>
      <c r="BK15" s="199">
        <f t="shared" si="27"/>
        <v>20</v>
      </c>
      <c r="BL15" s="197" t="str">
        <f t="shared" si="28"/>
        <v>Inglaterra</v>
      </c>
      <c r="BM15" s="199">
        <f t="shared" si="29"/>
        <v>2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1</v>
      </c>
      <c r="BV15" s="199">
        <f t="shared" si="37"/>
        <v>7</v>
      </c>
      <c r="BW15" s="199">
        <f t="shared" si="38"/>
        <v>-6</v>
      </c>
      <c r="BX15" s="197">
        <v>8.8999999999999996E-2</v>
      </c>
      <c r="BY15" s="204">
        <f t="shared" si="39"/>
        <v>-59899.911</v>
      </c>
      <c r="BZ15" s="204">
        <f>LARGE(BY$5:$BY$36,BN15)</f>
        <v>10400.085999999999</v>
      </c>
      <c r="CA15" s="203">
        <f t="shared" si="40"/>
        <v>14</v>
      </c>
      <c r="CB15" s="203" t="str">
        <f t="shared" si="9"/>
        <v>Equador</v>
      </c>
      <c r="CC15" s="199">
        <f t="shared" si="42"/>
        <v>11</v>
      </c>
      <c r="CD15" s="207">
        <f t="shared" si="41"/>
        <v>-59900</v>
      </c>
      <c r="CE15" s="203">
        <f>LARGE($CD$5:CD$36,BN15)</f>
        <v>10400</v>
      </c>
    </row>
    <row r="16" spans="1:83" ht="15" x14ac:dyDescent="0.2">
      <c r="B16" s="615" t="s">
        <v>50</v>
      </c>
      <c r="C16" s="616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>
        <f>IF(Copa2022!F25="","",Copa2022!F25)</f>
        <v>2</v>
      </c>
      <c r="Q16" s="202" t="str">
        <f>Copa2022!G25</f>
        <v>x</v>
      </c>
      <c r="R16" s="202">
        <f>IF(Copa2022!H25="","",Copa2022!H25)</f>
        <v>0</v>
      </c>
      <c r="S16" s="202" t="str">
        <f>Copa2022!I25</f>
        <v>Arábia Saudita</v>
      </c>
      <c r="V16" s="197" t="b">
        <f t="shared" si="0"/>
        <v>1</v>
      </c>
      <c r="W16" s="199" t="str">
        <f t="shared" si="1"/>
        <v>Polônia</v>
      </c>
      <c r="X16" s="199" t="str">
        <f t="shared" si="2"/>
        <v>Arábia Saudita</v>
      </c>
      <c r="Y16" s="199" t="str">
        <f t="shared" si="3"/>
        <v/>
      </c>
      <c r="Z16" s="199" t="str">
        <f t="shared" si="4"/>
        <v/>
      </c>
      <c r="AA16" s="199"/>
      <c r="AB16" s="231">
        <v>4</v>
      </c>
      <c r="AC16" s="232" t="s">
        <v>130</v>
      </c>
      <c r="AD16" s="226">
        <f t="shared" si="10"/>
        <v>4</v>
      </c>
      <c r="AE16" s="226">
        <f t="shared" si="11"/>
        <v>3</v>
      </c>
      <c r="AF16" s="226">
        <f t="shared" si="12"/>
        <v>1</v>
      </c>
      <c r="AG16" s="226">
        <f t="shared" si="13"/>
        <v>1</v>
      </c>
      <c r="AH16" s="226">
        <f t="shared" si="14"/>
        <v>1</v>
      </c>
      <c r="AI16" s="226">
        <f t="shared" si="5"/>
        <v>2</v>
      </c>
      <c r="AJ16" s="226">
        <f t="shared" si="6"/>
        <v>2</v>
      </c>
      <c r="AK16" s="226">
        <f t="shared" si="7"/>
        <v>0</v>
      </c>
      <c r="AL16" s="233">
        <v>4</v>
      </c>
      <c r="AM16" s="203">
        <f t="shared" si="15"/>
        <v>4000024</v>
      </c>
      <c r="AN16" s="234">
        <f>LARGE($AM$13:$AM$16,AL16)</f>
        <v>2999831</v>
      </c>
      <c r="AO16" s="234">
        <f>MATCH(AN16,$AM$13:$AM$16,0)</f>
        <v>1</v>
      </c>
      <c r="AP16" s="234" t="str">
        <f>VLOOKUP(AO16,$AB$13:$AC$16,2)</f>
        <v>Arábia Saudita</v>
      </c>
      <c r="AQ16" s="226">
        <f>IF(AS15=AS16,"-",4)</f>
        <v>4</v>
      </c>
      <c r="AR16" s="235">
        <f t="shared" si="8"/>
        <v>4000020</v>
      </c>
      <c r="AS16" s="226">
        <f>LARGE($AR$13:$AR$16,AL16)</f>
        <v>2999830</v>
      </c>
      <c r="AT16" s="613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3</v>
      </c>
      <c r="AY16" s="197">
        <f t="shared" si="18"/>
        <v>30000.12</v>
      </c>
      <c r="AZ16" s="197">
        <f t="shared" si="19"/>
        <v>30000.12</v>
      </c>
      <c r="BA16" s="199">
        <f t="shared" si="20"/>
        <v>12</v>
      </c>
      <c r="BB16" s="197" t="str">
        <f t="shared" si="21"/>
        <v>Croácia</v>
      </c>
      <c r="BC16" s="199">
        <f t="shared" si="22"/>
        <v>3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1</v>
      </c>
      <c r="BI16" s="197">
        <f t="shared" si="25"/>
        <v>10000.120000000001</v>
      </c>
      <c r="BJ16" s="197">
        <f t="shared" si="26"/>
        <v>20000.22</v>
      </c>
      <c r="BK16" s="199">
        <f t="shared" si="27"/>
        <v>22</v>
      </c>
      <c r="BL16" s="197" t="str">
        <f t="shared" si="28"/>
        <v>Japão</v>
      </c>
      <c r="BM16" s="199">
        <f t="shared" si="29"/>
        <v>2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3</v>
      </c>
      <c r="BV16" s="199">
        <f t="shared" si="37"/>
        <v>1</v>
      </c>
      <c r="BW16" s="199">
        <f t="shared" si="38"/>
        <v>2</v>
      </c>
      <c r="BX16" s="197">
        <v>8.7999999999999995E-2</v>
      </c>
      <c r="BY16" s="204">
        <f t="shared" si="39"/>
        <v>20300.088</v>
      </c>
      <c r="BZ16" s="204">
        <f>LARGE(BY$5:$BY$36,BN16)</f>
        <v>10200.084000000001</v>
      </c>
      <c r="CA16" s="203">
        <f t="shared" si="40"/>
        <v>16</v>
      </c>
      <c r="CB16" s="203" t="str">
        <f t="shared" si="9"/>
        <v>Estados Unidos</v>
      </c>
      <c r="CC16" s="199">
        <f t="shared" si="42"/>
        <v>12</v>
      </c>
      <c r="CD16" s="207">
        <f t="shared" si="41"/>
        <v>20300</v>
      </c>
      <c r="CE16" s="203">
        <f>LARGE($CD$5:CD$36,BN16)</f>
        <v>10200</v>
      </c>
    </row>
    <row r="17" spans="2:83" ht="15" x14ac:dyDescent="0.2">
      <c r="B17" s="214">
        <f>AQ13</f>
        <v>1</v>
      </c>
      <c r="C17" s="215" t="str">
        <f>AP13</f>
        <v>Argentina</v>
      </c>
      <c r="D17" s="216">
        <f>3*F17+H17</f>
        <v>6</v>
      </c>
      <c r="E17" s="216">
        <f>F17+G17+H17</f>
        <v>3</v>
      </c>
      <c r="F17" s="216">
        <f>VLOOKUP($AP13,$AC$13:$AK$16,4)</f>
        <v>2</v>
      </c>
      <c r="G17" s="216">
        <f>VLOOKUP($AP13,$AC$13:$AK$16,5)</f>
        <v>1</v>
      </c>
      <c r="H17" s="216">
        <f>VLOOKUP($AP13,$AC$13:$AK$16,6)</f>
        <v>0</v>
      </c>
      <c r="I17" s="216">
        <f>VLOOKUP($AP13,$AC$13:$AK$16,7)</f>
        <v>5</v>
      </c>
      <c r="J17" s="216">
        <f>VLOOKUP($AP13,$AC$13:$AK$16,8)</f>
        <v>2</v>
      </c>
      <c r="K17" s="217">
        <f>I17-J17</f>
        <v>3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>
        <f>IF(Copa2022!F26="","",Copa2022!F26)</f>
        <v>2</v>
      </c>
      <c r="Q17" s="202" t="str">
        <f>Copa2022!G26</f>
        <v>x</v>
      </c>
      <c r="R17" s="202">
        <f>IF(Copa2022!H26="","",Copa2022!H26)</f>
        <v>0</v>
      </c>
      <c r="S17" s="202" t="str">
        <f>Copa2022!I26</f>
        <v>México</v>
      </c>
      <c r="V17" s="197" t="b">
        <f t="shared" si="0"/>
        <v>1</v>
      </c>
      <c r="W17" s="199" t="str">
        <f t="shared" si="1"/>
        <v>Argentina</v>
      </c>
      <c r="X17" s="199" t="str">
        <f t="shared" si="2"/>
        <v>México</v>
      </c>
      <c r="Y17" s="199" t="str">
        <f t="shared" si="3"/>
        <v/>
      </c>
      <c r="Z17" s="199" t="str">
        <f t="shared" si="4"/>
        <v/>
      </c>
      <c r="AA17" s="199"/>
      <c r="AB17" s="218">
        <v>1</v>
      </c>
      <c r="AC17" s="219" t="s">
        <v>159</v>
      </c>
      <c r="AD17" s="220">
        <f t="shared" si="10"/>
        <v>6</v>
      </c>
      <c r="AE17" s="220">
        <f t="shared" si="11"/>
        <v>3</v>
      </c>
      <c r="AF17" s="220">
        <f t="shared" si="12"/>
        <v>2</v>
      </c>
      <c r="AG17" s="220">
        <f t="shared" si="13"/>
        <v>1</v>
      </c>
      <c r="AH17" s="220">
        <f t="shared" si="14"/>
        <v>0</v>
      </c>
      <c r="AI17" s="220">
        <f t="shared" si="5"/>
        <v>3</v>
      </c>
      <c r="AJ17" s="220">
        <f t="shared" si="6"/>
        <v>4</v>
      </c>
      <c r="AK17" s="220">
        <f t="shared" si="7"/>
        <v>-1</v>
      </c>
      <c r="AL17" s="221">
        <v>1</v>
      </c>
      <c r="AM17" s="203">
        <f t="shared" si="15"/>
        <v>5999931</v>
      </c>
      <c r="AN17" s="203">
        <f>LARGE($AM$17:$AM$20,AL17)</f>
        <v>6000363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5999930</v>
      </c>
      <c r="AS17" s="199">
        <f>LARGE($AR$17:$AR$20,AL17)</f>
        <v>6000360</v>
      </c>
      <c r="AT17" s="611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1</v>
      </c>
      <c r="AY17" s="197">
        <f t="shared" si="18"/>
        <v>10000.129999999999</v>
      </c>
      <c r="AZ17" s="197">
        <f t="shared" si="19"/>
        <v>30000.07</v>
      </c>
      <c r="BA17" s="199">
        <f t="shared" si="20"/>
        <v>7</v>
      </c>
      <c r="BB17" s="197" t="str">
        <f t="shared" si="21"/>
        <v>Camarões</v>
      </c>
      <c r="BC17" s="199">
        <f t="shared" si="22"/>
        <v>3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3</v>
      </c>
      <c r="BI17" s="197">
        <f t="shared" si="25"/>
        <v>30000.13</v>
      </c>
      <c r="BJ17" s="197">
        <f t="shared" si="26"/>
        <v>20000.259999999998</v>
      </c>
      <c r="BK17" s="199">
        <f t="shared" si="27"/>
        <v>26</v>
      </c>
      <c r="BL17" s="197" t="str">
        <f t="shared" si="28"/>
        <v>Polônia</v>
      </c>
      <c r="BM17" s="199">
        <f t="shared" si="29"/>
        <v>2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1</v>
      </c>
      <c r="BV17" s="199">
        <f t="shared" si="37"/>
        <v>3</v>
      </c>
      <c r="BW17" s="199">
        <f t="shared" si="38"/>
        <v>-2</v>
      </c>
      <c r="BX17" s="197">
        <v>8.6999999999999994E-2</v>
      </c>
      <c r="BY17" s="204">
        <f t="shared" si="39"/>
        <v>-19899.913</v>
      </c>
      <c r="BZ17" s="204">
        <f>LARGE(BY$5:$BY$36,BN17)</f>
        <v>500.08199999999999</v>
      </c>
      <c r="CA17" s="203">
        <f t="shared" si="40"/>
        <v>18</v>
      </c>
      <c r="CB17" s="203" t="str">
        <f t="shared" si="9"/>
        <v>Gana</v>
      </c>
      <c r="CC17" s="199">
        <f t="shared" si="42"/>
        <v>13</v>
      </c>
      <c r="CD17" s="207">
        <f t="shared" si="41"/>
        <v>-19900</v>
      </c>
      <c r="CE17" s="203">
        <f>LARGE($CD$5:CD$36,BN17)</f>
        <v>500</v>
      </c>
    </row>
    <row r="18" spans="2:83" ht="15" x14ac:dyDescent="0.2">
      <c r="B18" s="214">
        <f>AQ14</f>
        <v>2</v>
      </c>
      <c r="C18" s="215" t="str">
        <f>AP14</f>
        <v>Polônia</v>
      </c>
      <c r="D18" s="216">
        <f>3*F18+H18</f>
        <v>4</v>
      </c>
      <c r="E18" s="216">
        <f>F18+G18+H18</f>
        <v>3</v>
      </c>
      <c r="F18" s="216">
        <f>VLOOKUP($AP14,$AC$13:$AK$16,4)</f>
        <v>1</v>
      </c>
      <c r="G18" s="216">
        <f>VLOOKUP($AP14,$AC$13:$AK$16,5)</f>
        <v>1</v>
      </c>
      <c r="H18" s="216">
        <f>VLOOKUP($AP14,$AC$13:$AK$16,6)</f>
        <v>1</v>
      </c>
      <c r="I18" s="216">
        <f>VLOOKUP($AP14,$AC$13:$AK$16,7)</f>
        <v>2</v>
      </c>
      <c r="J18" s="216">
        <f>VLOOKUP($AP14,$AC$13:$AK$16,8)</f>
        <v>2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>
        <f>IF(Copa2022!F27="","",Copa2022!F27)</f>
        <v>0</v>
      </c>
      <c r="Q18" s="202" t="str">
        <f>Copa2022!G27</f>
        <v>x</v>
      </c>
      <c r="R18" s="202">
        <f>IF(Copa2022!H27="","",Copa2022!H27)</f>
        <v>2</v>
      </c>
      <c r="S18" s="202" t="str">
        <f>Copa2022!I27</f>
        <v>Argentina</v>
      </c>
      <c r="V18" s="197" t="b">
        <f t="shared" si="0"/>
        <v>1</v>
      </c>
      <c r="W18" s="199" t="str">
        <f t="shared" si="1"/>
        <v>Argentina</v>
      </c>
      <c r="X18" s="199" t="str">
        <f t="shared" si="2"/>
        <v>Polônia</v>
      </c>
      <c r="Y18" s="199" t="str">
        <f t="shared" si="3"/>
        <v/>
      </c>
      <c r="Z18" s="199" t="str">
        <f t="shared" si="4"/>
        <v/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3</v>
      </c>
      <c r="AF18" s="199">
        <f t="shared" si="12"/>
        <v>0</v>
      </c>
      <c r="AG18" s="199">
        <f t="shared" si="13"/>
        <v>2</v>
      </c>
      <c r="AH18" s="199">
        <f t="shared" si="14"/>
        <v>1</v>
      </c>
      <c r="AI18" s="199">
        <f t="shared" si="5"/>
        <v>1</v>
      </c>
      <c r="AJ18" s="199">
        <f t="shared" si="6"/>
        <v>3</v>
      </c>
      <c r="AK18" s="199">
        <f t="shared" si="7"/>
        <v>-2</v>
      </c>
      <c r="AL18" s="224">
        <v>2</v>
      </c>
      <c r="AM18" s="203">
        <f t="shared" si="15"/>
        <v>999812</v>
      </c>
      <c r="AN18" s="203">
        <f>LARGE($AM$17:$AM$20,AL18)</f>
        <v>5999931</v>
      </c>
      <c r="AO18" s="203">
        <f>MATCH(AN18,$AM$17:$AM$20,0)</f>
        <v>1</v>
      </c>
      <c r="AP18" s="203" t="str">
        <f>VLOOKUP(AO18,$AB$17:$AC$20,2)</f>
        <v>Austrália</v>
      </c>
      <c r="AQ18" s="199">
        <f>IF(AS17=AS18,"-",2)</f>
        <v>2</v>
      </c>
      <c r="AR18" s="207">
        <f t="shared" si="8"/>
        <v>999810</v>
      </c>
      <c r="AS18" s="199">
        <f>LARGE($AR$17:$AR$20,AL18)</f>
        <v>5999930</v>
      </c>
      <c r="AT18" s="612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4</v>
      </c>
      <c r="AY18" s="197">
        <f t="shared" si="18"/>
        <v>40000.14</v>
      </c>
      <c r="AZ18" s="197">
        <f t="shared" si="19"/>
        <v>30000.06</v>
      </c>
      <c r="BA18" s="199">
        <f t="shared" si="20"/>
        <v>6</v>
      </c>
      <c r="BB18" s="197" t="str">
        <f t="shared" si="21"/>
        <v>Brasil</v>
      </c>
      <c r="BC18" s="199">
        <f t="shared" si="22"/>
        <v>3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3</v>
      </c>
      <c r="BI18" s="197">
        <f t="shared" si="25"/>
        <v>30000.14</v>
      </c>
      <c r="BJ18" s="197">
        <f t="shared" si="26"/>
        <v>20000.27</v>
      </c>
      <c r="BK18" s="199">
        <f t="shared" si="27"/>
        <v>27</v>
      </c>
      <c r="BL18" s="197" t="str">
        <f t="shared" si="28"/>
        <v>Portugal</v>
      </c>
      <c r="BM18" s="199">
        <f t="shared" si="29"/>
        <v>2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4</v>
      </c>
      <c r="BV18" s="199">
        <f t="shared" si="37"/>
        <v>3</v>
      </c>
      <c r="BW18" s="199">
        <f t="shared" si="38"/>
        <v>1</v>
      </c>
      <c r="BX18" s="197">
        <v>8.5999999999999993E-2</v>
      </c>
      <c r="BY18" s="204">
        <f t="shared" si="39"/>
        <v>10400.085999999999</v>
      </c>
      <c r="BZ18" s="204">
        <f>LARGE(BY$5:$BY$36,BN18)</f>
        <v>200.078</v>
      </c>
      <c r="CA18" s="203">
        <f t="shared" si="40"/>
        <v>22</v>
      </c>
      <c r="CB18" s="203" t="str">
        <f t="shared" si="9"/>
        <v>Japão</v>
      </c>
      <c r="CC18" s="199">
        <f t="shared" si="42"/>
        <v>14</v>
      </c>
      <c r="CD18" s="207">
        <f t="shared" si="41"/>
        <v>10400</v>
      </c>
      <c r="CE18" s="203">
        <f>LARGE($CD$5:CD$36,BN18)</f>
        <v>200</v>
      </c>
    </row>
    <row r="19" spans="2:83" ht="15" x14ac:dyDescent="0.2">
      <c r="B19" s="214">
        <f>AQ15</f>
        <v>3</v>
      </c>
      <c r="C19" s="215" t="str">
        <f>AP15</f>
        <v>México</v>
      </c>
      <c r="D19" s="216">
        <f>3*F19+H19</f>
        <v>4</v>
      </c>
      <c r="E19" s="216">
        <f>F19+G19+H19</f>
        <v>3</v>
      </c>
      <c r="F19" s="216">
        <f>VLOOKUP($AP15,$AC$13:$AK$16,4)</f>
        <v>1</v>
      </c>
      <c r="G19" s="216">
        <f>VLOOKUP($AP15,$AC$13:$AK$16,5)</f>
        <v>1</v>
      </c>
      <c r="H19" s="216">
        <f>VLOOKUP($AP15,$AC$13:$AK$16,6)</f>
        <v>1</v>
      </c>
      <c r="I19" s="216">
        <f>VLOOKUP($AP15,$AC$13:$AK$16,7)</f>
        <v>2</v>
      </c>
      <c r="J19" s="216">
        <f>VLOOKUP($AP15,$AC$13:$AK$16,8)</f>
        <v>3</v>
      </c>
      <c r="K19" s="217">
        <f>I19-J19</f>
        <v>-1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>
        <f>IF(Copa2022!F28="","",Copa2022!F28)</f>
        <v>1</v>
      </c>
      <c r="Q19" s="202" t="str">
        <f>Copa2022!G28</f>
        <v>x</v>
      </c>
      <c r="R19" s="202">
        <f>IF(Copa2022!H28="","",Copa2022!H28)</f>
        <v>2</v>
      </c>
      <c r="S19" s="202" t="str">
        <f>Copa2022!I28</f>
        <v>México</v>
      </c>
      <c r="V19" s="225" t="b">
        <f t="shared" si="0"/>
        <v>1</v>
      </c>
      <c r="W19" s="199" t="str">
        <f t="shared" si="1"/>
        <v>México</v>
      </c>
      <c r="X19" s="199" t="str">
        <f t="shared" si="2"/>
        <v>Arábia Saudita</v>
      </c>
      <c r="Y19" s="199" t="str">
        <f t="shared" si="3"/>
        <v/>
      </c>
      <c r="Z19" s="199" t="str">
        <f t="shared" si="4"/>
        <v/>
      </c>
      <c r="AA19" s="226"/>
      <c r="AB19" s="223">
        <v>3</v>
      </c>
      <c r="AC19" s="200" t="s">
        <v>3</v>
      </c>
      <c r="AD19" s="199">
        <f t="shared" si="10"/>
        <v>6</v>
      </c>
      <c r="AE19" s="199">
        <f t="shared" si="11"/>
        <v>3</v>
      </c>
      <c r="AF19" s="199">
        <f t="shared" si="12"/>
        <v>2</v>
      </c>
      <c r="AG19" s="199">
        <f t="shared" si="13"/>
        <v>1</v>
      </c>
      <c r="AH19" s="199">
        <f t="shared" si="14"/>
        <v>0</v>
      </c>
      <c r="AI19" s="199">
        <f t="shared" si="5"/>
        <v>6</v>
      </c>
      <c r="AJ19" s="199">
        <f t="shared" si="6"/>
        <v>3</v>
      </c>
      <c r="AK19" s="199">
        <f t="shared" si="7"/>
        <v>3</v>
      </c>
      <c r="AL19" s="224">
        <v>3</v>
      </c>
      <c r="AM19" s="203">
        <f t="shared" si="15"/>
        <v>6000363</v>
      </c>
      <c r="AN19" s="203">
        <f>LARGE($AM$17:$AM$20,AL19)</f>
        <v>4000014</v>
      </c>
      <c r="AO19" s="203">
        <f>MATCH(AN19,$AM$17:$AM$20,0)</f>
        <v>4</v>
      </c>
      <c r="AP19" s="203" t="str">
        <f>VLOOKUP(AO19,$AB$17:$AC$20,2)</f>
        <v>Tunísia</v>
      </c>
      <c r="AQ19" s="199">
        <f>IF(AS18=AS19,"-",3)</f>
        <v>3</v>
      </c>
      <c r="AR19" s="207">
        <f t="shared" si="8"/>
        <v>6000360</v>
      </c>
      <c r="AS19" s="199">
        <f>LARGE($AR$17:$AR$20,AL19)</f>
        <v>4000010</v>
      </c>
      <c r="AT19" s="612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8</v>
      </c>
      <c r="AY19" s="197">
        <f t="shared" si="18"/>
        <v>80000.149999999994</v>
      </c>
      <c r="AZ19" s="197">
        <f t="shared" si="19"/>
        <v>30000.04</v>
      </c>
      <c r="BA19" s="199">
        <f t="shared" si="20"/>
        <v>4</v>
      </c>
      <c r="BB19" s="197" t="str">
        <f t="shared" si="21"/>
        <v>Austrália</v>
      </c>
      <c r="BC19" s="199">
        <f t="shared" si="22"/>
        <v>3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1</v>
      </c>
      <c r="BI19" s="197">
        <f t="shared" si="25"/>
        <v>10000.15</v>
      </c>
      <c r="BJ19" s="197">
        <f t="shared" si="26"/>
        <v>20000.32</v>
      </c>
      <c r="BK19" s="199">
        <f t="shared" si="27"/>
        <v>32</v>
      </c>
      <c r="BL19" s="197" t="str">
        <f t="shared" si="28"/>
        <v>Uruguai</v>
      </c>
      <c r="BM19" s="199">
        <f t="shared" si="29"/>
        <v>2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8</v>
      </c>
      <c r="BV19" s="199">
        <f t="shared" si="37"/>
        <v>1</v>
      </c>
      <c r="BW19" s="199">
        <f t="shared" si="38"/>
        <v>7</v>
      </c>
      <c r="BX19" s="197">
        <v>8.5000000000000006E-2</v>
      </c>
      <c r="BY19" s="204">
        <f t="shared" si="39"/>
        <v>70800.085000000006</v>
      </c>
      <c r="BZ19" s="204">
        <f>LARGE(BY$5:$BY$36,BN19)</f>
        <v>200.07400000000001</v>
      </c>
      <c r="CA19" s="203">
        <f t="shared" si="40"/>
        <v>26</v>
      </c>
      <c r="CB19" s="203" t="str">
        <f t="shared" si="9"/>
        <v>Polônia</v>
      </c>
      <c r="CC19" s="199" t="str">
        <f t="shared" si="42"/>
        <v>-</v>
      </c>
      <c r="CD19" s="207">
        <f t="shared" si="41"/>
        <v>70800</v>
      </c>
      <c r="CE19" s="203">
        <f>LARGE($CD$5:CD$36,BN19)</f>
        <v>200</v>
      </c>
    </row>
    <row r="20" spans="2:83" ht="15.75" thickBot="1" x14ac:dyDescent="0.25">
      <c r="B20" s="227">
        <f>AQ16</f>
        <v>4</v>
      </c>
      <c r="C20" s="228" t="str">
        <f>AP16</f>
        <v>Arábia Saudita</v>
      </c>
      <c r="D20" s="229">
        <f>3*F20+H20</f>
        <v>3</v>
      </c>
      <c r="E20" s="229">
        <f>F20+G20+H20</f>
        <v>3</v>
      </c>
      <c r="F20" s="229">
        <f>VLOOKUP($AP16,$AC$13:$AK$16,4)</f>
        <v>1</v>
      </c>
      <c r="G20" s="229">
        <f>VLOOKUP($AP16,$AC$13:$AK$16,5)</f>
        <v>2</v>
      </c>
      <c r="H20" s="229">
        <f>VLOOKUP($AP16,$AC$13:$AK$16,6)</f>
        <v>0</v>
      </c>
      <c r="I20" s="229">
        <f>VLOOKUP($AP16,$AC$13:$AK$16,7)</f>
        <v>3</v>
      </c>
      <c r="J20" s="229">
        <f>VLOOKUP($AP16,$AC$13:$AK$16,8)</f>
        <v>5</v>
      </c>
      <c r="K20" s="230">
        <f>I20-J20</f>
        <v>-2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4</v>
      </c>
      <c r="AE20" s="226">
        <f t="shared" si="11"/>
        <v>3</v>
      </c>
      <c r="AF20" s="226">
        <f t="shared" si="12"/>
        <v>1</v>
      </c>
      <c r="AG20" s="226">
        <f t="shared" si="13"/>
        <v>1</v>
      </c>
      <c r="AH20" s="226">
        <f t="shared" si="14"/>
        <v>1</v>
      </c>
      <c r="AI20" s="226">
        <f t="shared" si="5"/>
        <v>1</v>
      </c>
      <c r="AJ20" s="226">
        <f t="shared" si="6"/>
        <v>1</v>
      </c>
      <c r="AK20" s="226">
        <f t="shared" si="7"/>
        <v>0</v>
      </c>
      <c r="AL20" s="233">
        <v>4</v>
      </c>
      <c r="AM20" s="203">
        <f t="shared" si="15"/>
        <v>4000014</v>
      </c>
      <c r="AN20" s="234">
        <f>LARGE($AM$17:$AM$20,AL20)</f>
        <v>999812</v>
      </c>
      <c r="AO20" s="234">
        <f>MATCH(AN20,$AM$17:$AM$20,0)</f>
        <v>2</v>
      </c>
      <c r="AP20" s="234" t="str">
        <f>VLOOKUP(AO20,$AB$17:$AC$20,2)</f>
        <v>Dinamarca</v>
      </c>
      <c r="AQ20" s="226">
        <f>IF(AS19=AS20,"-",4)</f>
        <v>4</v>
      </c>
      <c r="AR20" s="235">
        <f t="shared" si="8"/>
        <v>4000010</v>
      </c>
      <c r="AS20" s="226">
        <f>LARGE($AR$17:$AR$20,AL20)</f>
        <v>999810</v>
      </c>
      <c r="AT20" s="613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2</v>
      </c>
      <c r="AY20" s="197">
        <f t="shared" si="18"/>
        <v>20000.16</v>
      </c>
      <c r="AZ20" s="197">
        <f t="shared" si="19"/>
        <v>30000.02</v>
      </c>
      <c r="BA20" s="199">
        <f t="shared" si="20"/>
        <v>2</v>
      </c>
      <c r="BB20" s="197" t="str">
        <f t="shared" si="21"/>
        <v>Arábia Saudita</v>
      </c>
      <c r="BC20" s="199">
        <f t="shared" si="22"/>
        <v>3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30000.01</v>
      </c>
      <c r="BK20" s="199">
        <f t="shared" si="27"/>
        <v>1</v>
      </c>
      <c r="BL20" s="197" t="str">
        <f t="shared" si="28"/>
        <v>Alemanha</v>
      </c>
      <c r="BM20" s="199">
        <f t="shared" si="29"/>
        <v>3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2</v>
      </c>
      <c r="BV20" s="199">
        <f t="shared" si="37"/>
        <v>1</v>
      </c>
      <c r="BW20" s="199">
        <f t="shared" si="38"/>
        <v>1</v>
      </c>
      <c r="BX20" s="197">
        <v>8.4000000000000005E-2</v>
      </c>
      <c r="BY20" s="204">
        <f t="shared" si="39"/>
        <v>10200.084000000001</v>
      </c>
      <c r="BZ20" s="204">
        <f>LARGE(BY$5:$BY$36,BN20)</f>
        <v>100.07</v>
      </c>
      <c r="CA20" s="203">
        <f t="shared" si="40"/>
        <v>30</v>
      </c>
      <c r="CB20" s="203" t="str">
        <f t="shared" si="9"/>
        <v>Suíça</v>
      </c>
      <c r="CC20" s="199">
        <f t="shared" si="42"/>
        <v>16</v>
      </c>
      <c r="CD20" s="207">
        <f t="shared" si="41"/>
        <v>10200</v>
      </c>
      <c r="CE20" s="203">
        <f>LARGE($CD$5:CD$36,BN20)</f>
        <v>100</v>
      </c>
    </row>
    <row r="21" spans="2:83" ht="15.75" thickBot="1" x14ac:dyDescent="0.25">
      <c r="B21" s="236"/>
      <c r="C21" s="237"/>
      <c r="D21" s="236"/>
      <c r="E21" s="236">
        <f>SUM(E17:E20)</f>
        <v>12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1</v>
      </c>
      <c r="AE21" s="220">
        <f t="shared" si="11"/>
        <v>2</v>
      </c>
      <c r="AF21" s="220">
        <f t="shared" si="12"/>
        <v>0</v>
      </c>
      <c r="AG21" s="220">
        <f t="shared" si="13"/>
        <v>1</v>
      </c>
      <c r="AH21" s="220">
        <f t="shared" si="14"/>
        <v>1</v>
      </c>
      <c r="AI21" s="220">
        <f t="shared" si="5"/>
        <v>2</v>
      </c>
      <c r="AJ21" s="220">
        <f t="shared" si="6"/>
        <v>3</v>
      </c>
      <c r="AK21" s="220">
        <f t="shared" si="7"/>
        <v>-1</v>
      </c>
      <c r="AL21" s="221">
        <v>1</v>
      </c>
      <c r="AM21" s="203">
        <f t="shared" si="15"/>
        <v>999921</v>
      </c>
      <c r="AN21" s="203">
        <f>LARGE($AM$21:$AM$24,AL21)</f>
        <v>4000783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999920</v>
      </c>
      <c r="AS21" s="199">
        <f>LARGE($AR$21:$AR$24,AL21)</f>
        <v>4000780</v>
      </c>
      <c r="AT21" s="611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6</v>
      </c>
      <c r="AY21" s="197">
        <f t="shared" si="18"/>
        <v>60000.17</v>
      </c>
      <c r="AZ21" s="197">
        <f t="shared" si="19"/>
        <v>20000.259999999998</v>
      </c>
      <c r="BA21" s="199">
        <f t="shared" si="20"/>
        <v>26</v>
      </c>
      <c r="BB21" s="197" t="str">
        <f t="shared" si="21"/>
        <v>Polônia</v>
      </c>
      <c r="BC21" s="199">
        <f t="shared" si="22"/>
        <v>2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3</v>
      </c>
      <c r="BI21" s="197">
        <f t="shared" si="25"/>
        <v>30000.17</v>
      </c>
      <c r="BJ21" s="197">
        <f t="shared" si="26"/>
        <v>30000.1</v>
      </c>
      <c r="BK21" s="199">
        <f t="shared" si="27"/>
        <v>10</v>
      </c>
      <c r="BL21" s="197" t="str">
        <f t="shared" si="28"/>
        <v>Coreia do Sul</v>
      </c>
      <c r="BM21" s="199">
        <f t="shared" si="29"/>
        <v>3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6</v>
      </c>
      <c r="BV21" s="199">
        <f t="shared" si="37"/>
        <v>3</v>
      </c>
      <c r="BW21" s="199">
        <f t="shared" si="38"/>
        <v>3</v>
      </c>
      <c r="BX21" s="197">
        <v>8.3000000000000004E-2</v>
      </c>
      <c r="BY21" s="204">
        <f t="shared" si="39"/>
        <v>30600.082999999999</v>
      </c>
      <c r="BZ21" s="204">
        <f>LARGE(BY$5:$BY$36,BN21)</f>
        <v>100.069</v>
      </c>
      <c r="CA21" s="203">
        <f t="shared" si="40"/>
        <v>31</v>
      </c>
      <c r="CB21" s="203" t="str">
        <f t="shared" si="9"/>
        <v>Tunísia</v>
      </c>
      <c r="CC21" s="199" t="str">
        <f t="shared" si="42"/>
        <v>-</v>
      </c>
      <c r="CD21" s="207">
        <f t="shared" si="41"/>
        <v>30600</v>
      </c>
      <c r="CE21" s="203">
        <f>LARGE($CD$5:CD$36,BN21)</f>
        <v>100</v>
      </c>
    </row>
    <row r="22" spans="2:83" ht="15" x14ac:dyDescent="0.2">
      <c r="B22" s="615" t="s">
        <v>51</v>
      </c>
      <c r="C22" s="616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>
        <f>IF(Copa2022!F31="","",Copa2022!F31)</f>
        <v>0</v>
      </c>
      <c r="Q22" s="202" t="str">
        <f>Copa2022!G31</f>
        <v>x</v>
      </c>
      <c r="R22" s="202">
        <f>IF(Copa2022!H31="","",Copa2022!H31)</f>
        <v>1</v>
      </c>
      <c r="S22" s="202" t="str">
        <f>Copa2022!I31</f>
        <v>Austrália</v>
      </c>
      <c r="V22" s="197" t="b">
        <f t="shared" si="0"/>
        <v>1</v>
      </c>
      <c r="W22" s="199" t="str">
        <f t="shared" si="1"/>
        <v>Austrália</v>
      </c>
      <c r="X22" s="199" t="str">
        <f t="shared" si="2"/>
        <v>Tunísia</v>
      </c>
      <c r="Y22" s="199" t="str">
        <f t="shared" si="3"/>
        <v/>
      </c>
      <c r="Z22" s="199" t="str">
        <f t="shared" si="4"/>
        <v/>
      </c>
      <c r="AA22" s="199"/>
      <c r="AB22" s="223">
        <v>2</v>
      </c>
      <c r="AC22" s="200" t="s">
        <v>160</v>
      </c>
      <c r="AD22" s="199">
        <f t="shared" si="10"/>
        <v>3</v>
      </c>
      <c r="AE22" s="199">
        <f t="shared" si="11"/>
        <v>2</v>
      </c>
      <c r="AF22" s="199">
        <f t="shared" si="12"/>
        <v>1</v>
      </c>
      <c r="AG22" s="199">
        <f t="shared" si="13"/>
        <v>1</v>
      </c>
      <c r="AH22" s="199">
        <f t="shared" si="14"/>
        <v>0</v>
      </c>
      <c r="AI22" s="199">
        <f t="shared" si="5"/>
        <v>1</v>
      </c>
      <c r="AJ22" s="199">
        <f t="shared" si="6"/>
        <v>7</v>
      </c>
      <c r="AK22" s="199">
        <f t="shared" si="7"/>
        <v>-6</v>
      </c>
      <c r="AL22" s="224">
        <v>2</v>
      </c>
      <c r="AM22" s="203">
        <f t="shared" si="15"/>
        <v>2999412</v>
      </c>
      <c r="AN22" s="203">
        <f>LARGE($AM$21:$AM$24,AL22)</f>
        <v>3000024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2999410</v>
      </c>
      <c r="AS22" s="199">
        <f>LARGE($AR$21:$AR$24,AL22)</f>
        <v>3000020</v>
      </c>
      <c r="AT22" s="612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5</v>
      </c>
      <c r="AY22" s="197">
        <f t="shared" si="18"/>
        <v>50000.18</v>
      </c>
      <c r="AZ22" s="197">
        <f t="shared" si="19"/>
        <v>20000.240000000002</v>
      </c>
      <c r="BA22" s="199">
        <f t="shared" si="20"/>
        <v>24</v>
      </c>
      <c r="BB22" s="197" t="str">
        <f t="shared" si="21"/>
        <v>México</v>
      </c>
      <c r="BC22" s="199">
        <f t="shared" si="22"/>
        <v>2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5</v>
      </c>
      <c r="BI22" s="197">
        <f t="shared" si="25"/>
        <v>50000.18</v>
      </c>
      <c r="BJ22" s="197">
        <f t="shared" si="26"/>
        <v>30000.13</v>
      </c>
      <c r="BK22" s="199">
        <f t="shared" si="27"/>
        <v>13</v>
      </c>
      <c r="BL22" s="197" t="str">
        <f t="shared" si="28"/>
        <v>Dinamarca</v>
      </c>
      <c r="BM22" s="199">
        <f t="shared" si="29"/>
        <v>3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5</v>
      </c>
      <c r="BV22" s="199">
        <f t="shared" si="37"/>
        <v>5</v>
      </c>
      <c r="BW22" s="199">
        <f t="shared" si="38"/>
        <v>0</v>
      </c>
      <c r="BX22" s="197">
        <v>8.2000000000000003E-2</v>
      </c>
      <c r="BY22" s="204">
        <f t="shared" si="39"/>
        <v>500.08199999999999</v>
      </c>
      <c r="BZ22" s="204">
        <f>LARGE(BY$5:$BY$36,BN22)</f>
        <v>-9699.9040000000005</v>
      </c>
      <c r="CA22" s="203">
        <f t="shared" si="40"/>
        <v>4</v>
      </c>
      <c r="CB22" s="203" t="str">
        <f t="shared" si="9"/>
        <v>Austrália</v>
      </c>
      <c r="CC22" s="199">
        <f t="shared" si="42"/>
        <v>18</v>
      </c>
      <c r="CD22" s="207">
        <f t="shared" si="41"/>
        <v>500</v>
      </c>
      <c r="CE22" s="203">
        <f>LARGE($CD$5:CD$36,BN22)</f>
        <v>-9700</v>
      </c>
    </row>
    <row r="23" spans="2:83" ht="15" x14ac:dyDescent="0.2">
      <c r="B23" s="214">
        <f>AQ17</f>
        <v>1</v>
      </c>
      <c r="C23" s="215" t="str">
        <f>AP17</f>
        <v>França</v>
      </c>
      <c r="D23" s="216">
        <f>VLOOKUP($AP17,$AC$17:$AK$20,2)</f>
        <v>6</v>
      </c>
      <c r="E23" s="216">
        <f>F23+G23+H23</f>
        <v>3</v>
      </c>
      <c r="F23" s="216">
        <f>VLOOKUP($AP17,$AC$17:$AK$20,4)</f>
        <v>2</v>
      </c>
      <c r="G23" s="216">
        <f>VLOOKUP($AP17,$AC$17:$AK$20,5)</f>
        <v>1</v>
      </c>
      <c r="H23" s="216">
        <f>VLOOKUP($AP17,$AC$17:$AK$20,6)</f>
        <v>0</v>
      </c>
      <c r="I23" s="216">
        <f>VLOOKUP($AP17,$AC$17:$AK$20,7)</f>
        <v>6</v>
      </c>
      <c r="J23" s="216">
        <f>VLOOKUP($AP17,$AC$17:$AK$20,8)</f>
        <v>3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>
        <f>IF(Copa2022!F32="","",Copa2022!F32)</f>
        <v>2</v>
      </c>
      <c r="Q23" s="202" t="str">
        <f>Copa2022!G32</f>
        <v>x</v>
      </c>
      <c r="R23" s="202">
        <f>IF(Copa2022!H32="","",Copa2022!H32)</f>
        <v>1</v>
      </c>
      <c r="S23" s="202" t="str">
        <f>Copa2022!I32</f>
        <v>Dinamarca</v>
      </c>
      <c r="V23" s="197" t="b">
        <f t="shared" si="0"/>
        <v>1</v>
      </c>
      <c r="W23" s="199" t="str">
        <f t="shared" si="1"/>
        <v>França</v>
      </c>
      <c r="X23" s="199" t="str">
        <f t="shared" si="2"/>
        <v>Dinamarca</v>
      </c>
      <c r="Y23" s="199" t="str">
        <f t="shared" si="3"/>
        <v/>
      </c>
      <c r="Z23" s="199" t="str">
        <f t="shared" si="4"/>
        <v/>
      </c>
      <c r="AA23" s="199"/>
      <c r="AB23" s="223">
        <v>3</v>
      </c>
      <c r="AC23" s="200" t="s">
        <v>11</v>
      </c>
      <c r="AD23" s="199">
        <f t="shared" si="10"/>
        <v>4</v>
      </c>
      <c r="AE23" s="199">
        <f t="shared" si="11"/>
        <v>2</v>
      </c>
      <c r="AF23" s="199">
        <f t="shared" si="12"/>
        <v>1</v>
      </c>
      <c r="AG23" s="199">
        <f t="shared" si="13"/>
        <v>0</v>
      </c>
      <c r="AH23" s="199">
        <f t="shared" si="14"/>
        <v>1</v>
      </c>
      <c r="AI23" s="199">
        <f t="shared" si="5"/>
        <v>8</v>
      </c>
      <c r="AJ23" s="199">
        <f t="shared" si="6"/>
        <v>1</v>
      </c>
      <c r="AK23" s="199">
        <f t="shared" si="7"/>
        <v>7</v>
      </c>
      <c r="AL23" s="224">
        <v>3</v>
      </c>
      <c r="AM23" s="203">
        <f t="shared" si="15"/>
        <v>4000783</v>
      </c>
      <c r="AN23" s="203">
        <f>LARGE($AM$21:$AM$24,AL23)</f>
        <v>2999412</v>
      </c>
      <c r="AO23" s="203">
        <f>MATCH(AN23,$AM$21:$AM$24,0)</f>
        <v>2</v>
      </c>
      <c r="AP23" s="203" t="str">
        <f>VLOOKUP(AO23,$AB$21:$AC$24,2)</f>
        <v>Costa Rica</v>
      </c>
      <c r="AQ23" s="199">
        <f>IF(AS22=AS23,"-",3)</f>
        <v>3</v>
      </c>
      <c r="AR23" s="207">
        <f t="shared" si="8"/>
        <v>4000780</v>
      </c>
      <c r="AS23" s="199">
        <f>LARGE($AR$21:$AR$24,AL23)</f>
        <v>2999410</v>
      </c>
      <c r="AT23" s="612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5</v>
      </c>
      <c r="AY23" s="197">
        <f t="shared" si="18"/>
        <v>50000.19</v>
      </c>
      <c r="AZ23" s="197">
        <f t="shared" si="19"/>
        <v>20000.23</v>
      </c>
      <c r="BA23" s="199">
        <f t="shared" si="20"/>
        <v>23</v>
      </c>
      <c r="BB23" s="197" t="str">
        <f t="shared" si="21"/>
        <v>Marrocos</v>
      </c>
      <c r="BC23" s="199">
        <f t="shared" si="22"/>
        <v>2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30000.14</v>
      </c>
      <c r="BK23" s="199">
        <f t="shared" si="27"/>
        <v>14</v>
      </c>
      <c r="BL23" s="197" t="str">
        <f t="shared" si="28"/>
        <v>Equador</v>
      </c>
      <c r="BM23" s="199">
        <f t="shared" si="29"/>
        <v>3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5</v>
      </c>
      <c r="BV23" s="199">
        <f t="shared" si="37"/>
        <v>1</v>
      </c>
      <c r="BW23" s="199">
        <f t="shared" si="38"/>
        <v>4</v>
      </c>
      <c r="BX23" s="197">
        <v>8.1000000000000003E-2</v>
      </c>
      <c r="BY23" s="204">
        <f t="shared" si="39"/>
        <v>40500.080999999998</v>
      </c>
      <c r="BZ23" s="204">
        <f>LARGE(BY$5:$BY$36,BN23)</f>
        <v>-9699.9069999999992</v>
      </c>
      <c r="CA23" s="203">
        <f t="shared" si="40"/>
        <v>7</v>
      </c>
      <c r="CB23" s="203" t="str">
        <f t="shared" si="9"/>
        <v>Camarões</v>
      </c>
      <c r="CC23" s="199" t="str">
        <f t="shared" si="42"/>
        <v>-</v>
      </c>
      <c r="CD23" s="207">
        <f t="shared" si="41"/>
        <v>40500</v>
      </c>
      <c r="CE23" s="203">
        <f>LARGE($CD$5:CD$36,BN23)</f>
        <v>-9700</v>
      </c>
    </row>
    <row r="24" spans="2:83" ht="15" x14ac:dyDescent="0.2">
      <c r="B24" s="214">
        <f>AQ18</f>
        <v>2</v>
      </c>
      <c r="C24" s="215" t="str">
        <f>AP18</f>
        <v>Austrália</v>
      </c>
      <c r="D24" s="216">
        <f>VLOOKUP($AP18,$AC$17:$AK$20,2)</f>
        <v>6</v>
      </c>
      <c r="E24" s="216">
        <f>F24+G24+H24</f>
        <v>3</v>
      </c>
      <c r="F24" s="216">
        <f>VLOOKUP($AP18,$AC$17:$AK$20,4)</f>
        <v>2</v>
      </c>
      <c r="G24" s="216">
        <f>VLOOKUP($AP18,$AC$17:$AK$20,5)</f>
        <v>1</v>
      </c>
      <c r="H24" s="216">
        <f>VLOOKUP($AP18,$AC$17:$AK$20,6)</f>
        <v>0</v>
      </c>
      <c r="I24" s="216">
        <f>VLOOKUP($AP18,$AC$17:$AK$20,7)</f>
        <v>3</v>
      </c>
      <c r="J24" s="216">
        <f>VLOOKUP($AP18,$AC$17:$AK$20,8)</f>
        <v>4</v>
      </c>
      <c r="K24" s="217">
        <f>I24-J24</f>
        <v>-1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>
        <f>IF(Copa2022!F33="","",Copa2022!F33)</f>
        <v>1</v>
      </c>
      <c r="Q24" s="202" t="str">
        <f>Copa2022!G33</f>
        <v>x</v>
      </c>
      <c r="R24" s="202">
        <f>IF(Copa2022!H33="","",Copa2022!H33)</f>
        <v>0</v>
      </c>
      <c r="S24" s="202" t="str">
        <f>Copa2022!I33</f>
        <v>França</v>
      </c>
      <c r="V24" s="197" t="b">
        <f t="shared" si="0"/>
        <v>1</v>
      </c>
      <c r="W24" s="199" t="str">
        <f t="shared" si="1"/>
        <v>Tunísia</v>
      </c>
      <c r="X24" s="199" t="str">
        <f t="shared" si="2"/>
        <v>França</v>
      </c>
      <c r="Y24" s="199" t="str">
        <f t="shared" si="3"/>
        <v/>
      </c>
      <c r="Z24" s="199" t="str">
        <f t="shared" si="4"/>
        <v/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2</v>
      </c>
      <c r="AF24" s="226">
        <f t="shared" si="12"/>
        <v>1</v>
      </c>
      <c r="AG24" s="226">
        <f t="shared" si="13"/>
        <v>1</v>
      </c>
      <c r="AH24" s="226">
        <f t="shared" si="14"/>
        <v>0</v>
      </c>
      <c r="AI24" s="226">
        <f t="shared" si="5"/>
        <v>2</v>
      </c>
      <c r="AJ24" s="226">
        <f t="shared" si="6"/>
        <v>2</v>
      </c>
      <c r="AK24" s="226">
        <f t="shared" si="7"/>
        <v>0</v>
      </c>
      <c r="AL24" s="233">
        <v>4</v>
      </c>
      <c r="AM24" s="203">
        <f t="shared" si="15"/>
        <v>3000024</v>
      </c>
      <c r="AN24" s="234">
        <f>LARGE($AM$21:$AM$24,AL24)</f>
        <v>999921</v>
      </c>
      <c r="AO24" s="234">
        <f>MATCH(AN24,$AM$21:$AM$24,0)</f>
        <v>1</v>
      </c>
      <c r="AP24" s="234" t="str">
        <f>VLOOKUP(AO24,$AB$21:$AC$24,2)</f>
        <v>Alemanha</v>
      </c>
      <c r="AQ24" s="226">
        <f>IF(AS23=AS24,"-",4)</f>
        <v>4</v>
      </c>
      <c r="AR24" s="235">
        <f t="shared" si="8"/>
        <v>3000020</v>
      </c>
      <c r="AS24" s="226">
        <f>LARGE($AR$21:$AR$24,AL24)</f>
        <v>999920</v>
      </c>
      <c r="AT24" s="613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9</v>
      </c>
      <c r="AY24" s="197">
        <f t="shared" si="18"/>
        <v>90000.2</v>
      </c>
      <c r="AZ24" s="197">
        <f t="shared" si="19"/>
        <v>20000.22</v>
      </c>
      <c r="BA24" s="199">
        <f t="shared" si="20"/>
        <v>22</v>
      </c>
      <c r="BB24" s="197" t="str">
        <f t="shared" si="21"/>
        <v>Japão</v>
      </c>
      <c r="BC24" s="199">
        <f t="shared" si="22"/>
        <v>2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30000.17</v>
      </c>
      <c r="BK24" s="199">
        <f t="shared" si="27"/>
        <v>17</v>
      </c>
      <c r="BL24" s="197" t="str">
        <f t="shared" si="28"/>
        <v>França</v>
      </c>
      <c r="BM24" s="199">
        <f t="shared" si="29"/>
        <v>3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9</v>
      </c>
      <c r="BV24" s="199">
        <f t="shared" si="37"/>
        <v>2</v>
      </c>
      <c r="BW24" s="199">
        <f t="shared" si="38"/>
        <v>7</v>
      </c>
      <c r="BX24" s="197">
        <v>0.08</v>
      </c>
      <c r="BY24" s="204">
        <f t="shared" si="39"/>
        <v>70900.08</v>
      </c>
      <c r="BZ24" s="204">
        <f>LARGE(BY$5:$BY$36,BN24)</f>
        <v>-9799.9009999999998</v>
      </c>
      <c r="CA24" s="203">
        <f t="shared" si="40"/>
        <v>1</v>
      </c>
      <c r="CB24" s="203" t="str">
        <f t="shared" si="9"/>
        <v>Alemanha</v>
      </c>
      <c r="CC24" s="199">
        <f t="shared" si="42"/>
        <v>20</v>
      </c>
      <c r="CD24" s="207">
        <f t="shared" si="41"/>
        <v>70900</v>
      </c>
      <c r="CE24" s="203">
        <f>LARGE($CD$5:CD$36,BN24)</f>
        <v>-9800</v>
      </c>
    </row>
    <row r="25" spans="2:83" ht="15" x14ac:dyDescent="0.2">
      <c r="B25" s="214">
        <f>AQ19</f>
        <v>3</v>
      </c>
      <c r="C25" s="215" t="str">
        <f>AP19</f>
        <v>Tunísia</v>
      </c>
      <c r="D25" s="216">
        <f>VLOOKUP($AP19,$AC$17:$AK$20,2)</f>
        <v>4</v>
      </c>
      <c r="E25" s="216">
        <f>F25+G25+H25</f>
        <v>3</v>
      </c>
      <c r="F25" s="216">
        <f>VLOOKUP($AP19,$AC$17:$AK$20,4)</f>
        <v>1</v>
      </c>
      <c r="G25" s="216">
        <f>VLOOKUP($AP19,$AC$17:$AK$20,5)</f>
        <v>1</v>
      </c>
      <c r="H25" s="216">
        <f>VLOOKUP($AP19,$AC$17:$AK$20,6)</f>
        <v>1</v>
      </c>
      <c r="I25" s="216">
        <f>VLOOKUP($AP19,$AC$17:$AK$20,7)</f>
        <v>1</v>
      </c>
      <c r="J25" s="216">
        <f>VLOOKUP($AP19,$AC$17:$AK$20,8)</f>
        <v>1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>
        <f>IF(Copa2022!F34="","",Copa2022!F34)</f>
        <v>1</v>
      </c>
      <c r="Q25" s="202" t="str">
        <f>Copa2022!G34</f>
        <v>x</v>
      </c>
      <c r="R25" s="202">
        <f>IF(Copa2022!H34="","",Copa2022!H34)</f>
        <v>0</v>
      </c>
      <c r="S25" s="202" t="str">
        <f>Copa2022!I34</f>
        <v>Dinamarca</v>
      </c>
      <c r="V25" s="225" t="b">
        <f t="shared" si="0"/>
        <v>1</v>
      </c>
      <c r="W25" s="199" t="str">
        <f t="shared" si="1"/>
        <v>Austrália</v>
      </c>
      <c r="X25" s="199" t="str">
        <f t="shared" si="2"/>
        <v>Dinamarca</v>
      </c>
      <c r="Y25" s="199" t="str">
        <f t="shared" si="3"/>
        <v/>
      </c>
      <c r="Z25" s="199" t="str">
        <f t="shared" si="4"/>
        <v/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2</v>
      </c>
      <c r="AF25" s="220">
        <f t="shared" si="12"/>
        <v>1</v>
      </c>
      <c r="AG25" s="220">
        <f t="shared" si="13"/>
        <v>1</v>
      </c>
      <c r="AH25" s="220">
        <f t="shared" si="14"/>
        <v>0</v>
      </c>
      <c r="AI25" s="220">
        <f t="shared" si="5"/>
        <v>1</v>
      </c>
      <c r="AJ25" s="220">
        <f t="shared" si="6"/>
        <v>2</v>
      </c>
      <c r="AK25" s="220">
        <f t="shared" si="7"/>
        <v>-1</v>
      </c>
      <c r="AL25" s="221">
        <v>1</v>
      </c>
      <c r="AM25" s="203">
        <f t="shared" si="15"/>
        <v>2999911</v>
      </c>
      <c r="AN25" s="203">
        <f>LARGE($AM$25:$AM$28,AL25)</f>
        <v>4000233</v>
      </c>
      <c r="AO25" s="203">
        <f>MATCH(AN25,$AM$25:$AM$28,0)</f>
        <v>3</v>
      </c>
      <c r="AP25" s="203" t="str">
        <f>VLOOKUP(AO25,$AB$25:$AC$28,2)</f>
        <v>Croácia</v>
      </c>
      <c r="AQ25" s="199">
        <v>1</v>
      </c>
      <c r="AR25" s="207">
        <f t="shared" si="8"/>
        <v>2999910</v>
      </c>
      <c r="AS25" s="199">
        <f>LARGE($AR$25:$AR$28,AL25)</f>
        <v>4000230</v>
      </c>
      <c r="AT25" s="611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20000.16</v>
      </c>
      <c r="BA25" s="199">
        <f t="shared" si="20"/>
        <v>16</v>
      </c>
      <c r="BB25" s="197" t="str">
        <f t="shared" si="21"/>
        <v>Estados Unidos</v>
      </c>
      <c r="BC25" s="199">
        <f t="shared" si="22"/>
        <v>2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7</v>
      </c>
      <c r="BI25" s="197">
        <f t="shared" si="25"/>
        <v>70000.210000000006</v>
      </c>
      <c r="BJ25" s="197">
        <f t="shared" si="26"/>
        <v>30000.240000000002</v>
      </c>
      <c r="BK25" s="199">
        <f t="shared" si="27"/>
        <v>24</v>
      </c>
      <c r="BL25" s="197" t="str">
        <f t="shared" si="28"/>
        <v>México</v>
      </c>
      <c r="BM25" s="199">
        <f t="shared" si="29"/>
        <v>3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7</v>
      </c>
      <c r="BW25" s="199">
        <f t="shared" si="38"/>
        <v>-3</v>
      </c>
      <c r="BX25" s="197">
        <v>7.9000000000000001E-2</v>
      </c>
      <c r="BY25" s="204">
        <f t="shared" si="39"/>
        <v>-29599.920999999998</v>
      </c>
      <c r="BZ25" s="204">
        <f>LARGE(BY$5:$BY$36,BN25)</f>
        <v>-9799.91</v>
      </c>
      <c r="CA25" s="203">
        <f t="shared" si="40"/>
        <v>10</v>
      </c>
      <c r="CB25" s="203" t="str">
        <f t="shared" si="9"/>
        <v>Coreia do Sul</v>
      </c>
      <c r="CC25" s="199" t="str">
        <f t="shared" si="42"/>
        <v>-</v>
      </c>
      <c r="CD25" s="207">
        <f t="shared" si="41"/>
        <v>-29600</v>
      </c>
      <c r="CE25" s="203">
        <f>LARGE($CD$5:CD$36,BN25)</f>
        <v>-9800</v>
      </c>
    </row>
    <row r="26" spans="2:83" ht="15" customHeight="1" thickBot="1" x14ac:dyDescent="0.25">
      <c r="B26" s="227">
        <f>AQ20</f>
        <v>4</v>
      </c>
      <c r="C26" s="228" t="str">
        <f>AP20</f>
        <v>Dinamarca</v>
      </c>
      <c r="D26" s="229">
        <f>VLOOKUP($AP20,$AC$17:$AK$20,2)</f>
        <v>1</v>
      </c>
      <c r="E26" s="229">
        <f>F26+G26+H26</f>
        <v>3</v>
      </c>
      <c r="F26" s="229">
        <f>VLOOKUP($AP20,$AC$17:$AK$20,4)</f>
        <v>0</v>
      </c>
      <c r="G26" s="229">
        <f>VLOOKUP($AP20,$AC$17:$AK$20,5)</f>
        <v>2</v>
      </c>
      <c r="H26" s="229">
        <f>VLOOKUP($AP20,$AC$17:$AK$20,6)</f>
        <v>1</v>
      </c>
      <c r="I26" s="229">
        <f>VLOOKUP($AP20,$AC$17:$AK$20,7)</f>
        <v>1</v>
      </c>
      <c r="J26" s="229">
        <f>VLOOKUP($AP20,$AC$17:$AK$20,8)</f>
        <v>3</v>
      </c>
      <c r="K26" s="230">
        <f>I26-J26</f>
        <v>-2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2</v>
      </c>
      <c r="AF26" s="199">
        <f t="shared" si="12"/>
        <v>0</v>
      </c>
      <c r="AG26" s="199">
        <f t="shared" si="13"/>
        <v>2</v>
      </c>
      <c r="AH26" s="199">
        <f t="shared" si="14"/>
        <v>0</v>
      </c>
      <c r="AI26" s="199">
        <f t="shared" si="5"/>
        <v>1</v>
      </c>
      <c r="AJ26" s="199">
        <f t="shared" si="6"/>
        <v>4</v>
      </c>
      <c r="AK26" s="199">
        <f t="shared" si="7"/>
        <v>-3</v>
      </c>
      <c r="AL26" s="224">
        <v>2</v>
      </c>
      <c r="AM26" s="203">
        <f t="shared" si="15"/>
        <v>-288</v>
      </c>
      <c r="AN26" s="203">
        <f>LARGE($AM$25:$AM$28,AL26)</f>
        <v>4000224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-290</v>
      </c>
      <c r="AS26" s="199">
        <f>LARGE($AR$25:$AR$28,AL26)</f>
        <v>4000220</v>
      </c>
      <c r="AT26" s="612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20000.099999999999</v>
      </c>
      <c r="BA26" s="199">
        <f t="shared" si="20"/>
        <v>10</v>
      </c>
      <c r="BB26" s="197" t="str">
        <f t="shared" si="21"/>
        <v>Coreia do Sul</v>
      </c>
      <c r="BC26" s="199">
        <f t="shared" si="22"/>
        <v>2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2</v>
      </c>
      <c r="BI26" s="197">
        <f t="shared" si="25"/>
        <v>20000.22</v>
      </c>
      <c r="BJ26" s="197">
        <f t="shared" si="26"/>
        <v>40000.04</v>
      </c>
      <c r="BK26" s="199">
        <f t="shared" si="27"/>
        <v>4</v>
      </c>
      <c r="BL26" s="197" t="str">
        <f t="shared" si="28"/>
        <v>Austrália</v>
      </c>
      <c r="BM26" s="199">
        <f t="shared" si="29"/>
        <v>4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2</v>
      </c>
      <c r="BW26" s="199">
        <f t="shared" si="38"/>
        <v>0</v>
      </c>
      <c r="BX26" s="197">
        <v>7.8E-2</v>
      </c>
      <c r="BY26" s="204">
        <f t="shared" si="39"/>
        <v>200.078</v>
      </c>
      <c r="BZ26" s="204">
        <f>LARGE(BY$5:$BY$36,BN26)</f>
        <v>-9799.9240000000009</v>
      </c>
      <c r="CA26" s="203">
        <f t="shared" si="40"/>
        <v>24</v>
      </c>
      <c r="CB26" s="203" t="str">
        <f t="shared" si="9"/>
        <v>México</v>
      </c>
      <c r="CC26" s="199" t="str">
        <f t="shared" si="42"/>
        <v>-</v>
      </c>
      <c r="CD26" s="207">
        <f t="shared" si="41"/>
        <v>200</v>
      </c>
      <c r="CE26" s="203">
        <f>LARGE($CD$5:CD$36,BN26)</f>
        <v>-9800</v>
      </c>
    </row>
    <row r="27" spans="2:83" ht="15.75" thickBot="1" x14ac:dyDescent="0.25">
      <c r="B27" s="236"/>
      <c r="C27" s="241"/>
      <c r="D27" s="236"/>
      <c r="E27" s="236">
        <f>SUM(E23:E26)</f>
        <v>12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4</v>
      </c>
      <c r="AE27" s="199">
        <f t="shared" si="11"/>
        <v>2</v>
      </c>
      <c r="AF27" s="199">
        <f t="shared" si="12"/>
        <v>1</v>
      </c>
      <c r="AG27" s="199">
        <f t="shared" si="13"/>
        <v>0</v>
      </c>
      <c r="AH27" s="199">
        <f t="shared" si="14"/>
        <v>1</v>
      </c>
      <c r="AI27" s="199">
        <f t="shared" si="5"/>
        <v>3</v>
      </c>
      <c r="AJ27" s="199">
        <f t="shared" si="6"/>
        <v>1</v>
      </c>
      <c r="AK27" s="199">
        <f t="shared" si="7"/>
        <v>2</v>
      </c>
      <c r="AL27" s="224">
        <v>3</v>
      </c>
      <c r="AM27" s="203">
        <f t="shared" si="15"/>
        <v>4000233</v>
      </c>
      <c r="AN27" s="203">
        <f>LARGE($AM$25:$AM$28,AL27)</f>
        <v>2999911</v>
      </c>
      <c r="AO27" s="203">
        <f>MATCH(AN27,$AM$25:$AM$28,0)</f>
        <v>1</v>
      </c>
      <c r="AP27" s="203" t="str">
        <f>VLOOKUP(AO27,$AB$25:$AC$28,2)</f>
        <v>Bélgica</v>
      </c>
      <c r="AQ27" s="199">
        <f>IF(AS26=AS27,"-",3)</f>
        <v>3</v>
      </c>
      <c r="AR27" s="207">
        <f t="shared" si="8"/>
        <v>4000230</v>
      </c>
      <c r="AS27" s="199">
        <f>LARGE($AR$25:$AR$28,AL27)</f>
        <v>2999910</v>
      </c>
      <c r="AT27" s="612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2</v>
      </c>
      <c r="AY27" s="197">
        <f t="shared" si="18"/>
        <v>20000.23</v>
      </c>
      <c r="AZ27" s="197">
        <f t="shared" si="19"/>
        <v>20000.009999999998</v>
      </c>
      <c r="BA27" s="199">
        <f t="shared" si="20"/>
        <v>1</v>
      </c>
      <c r="BB27" s="197" t="str">
        <f t="shared" si="21"/>
        <v>Alemanha</v>
      </c>
      <c r="BC27" s="199">
        <f t="shared" si="22"/>
        <v>2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40000.07</v>
      </c>
      <c r="BK27" s="199">
        <f t="shared" si="27"/>
        <v>7</v>
      </c>
      <c r="BL27" s="197" t="str">
        <f t="shared" si="28"/>
        <v>Camarões</v>
      </c>
      <c r="BM27" s="199">
        <f t="shared" si="29"/>
        <v>4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2</v>
      </c>
      <c r="BV27" s="199">
        <f t="shared" si="37"/>
        <v>0</v>
      </c>
      <c r="BW27" s="199">
        <f t="shared" si="38"/>
        <v>2</v>
      </c>
      <c r="BX27" s="197">
        <v>7.6999999999999999E-2</v>
      </c>
      <c r="BY27" s="204">
        <f t="shared" si="39"/>
        <v>20200.077000000001</v>
      </c>
      <c r="BZ27" s="204">
        <f>LARGE(BY$5:$BY$36,BN27)</f>
        <v>-9899.9050000000007</v>
      </c>
      <c r="CA27" s="203">
        <f t="shared" si="40"/>
        <v>5</v>
      </c>
      <c r="CB27" s="203" t="str">
        <f t="shared" si="9"/>
        <v>Bélgica</v>
      </c>
      <c r="CC27" s="199">
        <f t="shared" si="42"/>
        <v>23</v>
      </c>
      <c r="CD27" s="207">
        <f t="shared" si="41"/>
        <v>20200</v>
      </c>
      <c r="CE27" s="203">
        <f>LARGE($CD$5:CD$36,BN27)</f>
        <v>-9900</v>
      </c>
    </row>
    <row r="28" spans="2:83" ht="15" x14ac:dyDescent="0.2">
      <c r="B28" s="615" t="s">
        <v>53</v>
      </c>
      <c r="C28" s="616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>
        <f>IF(Copa2022!F37="","",Copa2022!F37)</f>
        <v>0</v>
      </c>
      <c r="Q28" s="202" t="str">
        <f>Copa2022!G37</f>
        <v>x</v>
      </c>
      <c r="R28" s="202">
        <f>IF(Copa2022!H37="","",Copa2022!H37)</f>
        <v>1</v>
      </c>
      <c r="S28" s="202" t="str">
        <f>Copa2022!I37</f>
        <v>Costa Rica</v>
      </c>
      <c r="V28" s="197" t="b">
        <f t="shared" si="0"/>
        <v>1</v>
      </c>
      <c r="W28" s="199" t="str">
        <f t="shared" si="1"/>
        <v>Costa Rica</v>
      </c>
      <c r="X28" s="199" t="str">
        <f t="shared" si="2"/>
        <v>Japão</v>
      </c>
      <c r="Y28" s="199" t="str">
        <f t="shared" si="3"/>
        <v/>
      </c>
      <c r="Z28" s="199" t="str">
        <f t="shared" si="4"/>
        <v/>
      </c>
      <c r="AA28" s="199"/>
      <c r="AB28" s="231">
        <v>4</v>
      </c>
      <c r="AC28" s="232" t="s">
        <v>126</v>
      </c>
      <c r="AD28" s="226">
        <f t="shared" si="10"/>
        <v>4</v>
      </c>
      <c r="AE28" s="226">
        <f t="shared" si="11"/>
        <v>2</v>
      </c>
      <c r="AF28" s="226">
        <f t="shared" si="12"/>
        <v>1</v>
      </c>
      <c r="AG28" s="226">
        <f t="shared" si="13"/>
        <v>0</v>
      </c>
      <c r="AH28" s="226">
        <f t="shared" si="14"/>
        <v>1</v>
      </c>
      <c r="AI28" s="226">
        <f t="shared" si="5"/>
        <v>2</v>
      </c>
      <c r="AJ28" s="226">
        <f t="shared" si="6"/>
        <v>0</v>
      </c>
      <c r="AK28" s="226">
        <f t="shared" si="7"/>
        <v>2</v>
      </c>
      <c r="AL28" s="233">
        <v>4</v>
      </c>
      <c r="AM28" s="203">
        <f t="shared" si="15"/>
        <v>4000224</v>
      </c>
      <c r="AN28" s="234">
        <f>LARGE($AM$25:$AM$28,AL28)</f>
        <v>-288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4000220</v>
      </c>
      <c r="AS28" s="226">
        <f>LARGE($AR$25:$AR$28,AL28)</f>
        <v>-290</v>
      </c>
      <c r="AT28" s="613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2</v>
      </c>
      <c r="AY28" s="197">
        <f t="shared" si="18"/>
        <v>20000.240000000002</v>
      </c>
      <c r="AZ28" s="197">
        <f t="shared" si="19"/>
        <v>10000.31</v>
      </c>
      <c r="BA28" s="199">
        <f t="shared" si="20"/>
        <v>31</v>
      </c>
      <c r="BB28" s="197" t="str">
        <f t="shared" si="21"/>
        <v>Tunísia</v>
      </c>
      <c r="BC28" s="199">
        <f t="shared" si="22"/>
        <v>1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3</v>
      </c>
      <c r="BI28" s="197">
        <f t="shared" si="25"/>
        <v>30000.240000000002</v>
      </c>
      <c r="BJ28" s="197">
        <f t="shared" si="26"/>
        <v>40000.080000000002</v>
      </c>
      <c r="BK28" s="199">
        <f t="shared" si="27"/>
        <v>8</v>
      </c>
      <c r="BL28" s="197" t="str">
        <f t="shared" si="28"/>
        <v>Canadá</v>
      </c>
      <c r="BM28" s="199">
        <f t="shared" si="29"/>
        <v>4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2</v>
      </c>
      <c r="BV28" s="199">
        <f t="shared" si="37"/>
        <v>3</v>
      </c>
      <c r="BW28" s="199">
        <f t="shared" si="38"/>
        <v>-1</v>
      </c>
      <c r="BX28" s="197">
        <v>7.5999999999999998E-2</v>
      </c>
      <c r="BY28" s="204">
        <f t="shared" si="39"/>
        <v>-9799.9240000000009</v>
      </c>
      <c r="BZ28" s="204">
        <f>LARGE(BY$5:$BY$36,BN28)</f>
        <v>-19699.901999999998</v>
      </c>
      <c r="CA28" s="203">
        <f t="shared" si="40"/>
        <v>2</v>
      </c>
      <c r="CB28" s="203" t="str">
        <f t="shared" si="9"/>
        <v>Arábia Saudita</v>
      </c>
      <c r="CC28" s="199">
        <f t="shared" si="42"/>
        <v>24</v>
      </c>
      <c r="CD28" s="207">
        <f t="shared" si="41"/>
        <v>-9800</v>
      </c>
      <c r="CE28" s="203">
        <f>LARGE($CD$5:CD$36,BN28)</f>
        <v>-19700</v>
      </c>
    </row>
    <row r="29" spans="2:83" ht="15" x14ac:dyDescent="0.2">
      <c r="B29" s="214">
        <f>AQ21</f>
        <v>1</v>
      </c>
      <c r="C29" s="215" t="str">
        <f>AP21</f>
        <v>Espanha</v>
      </c>
      <c r="D29" s="216">
        <f>3*F29+H29</f>
        <v>4</v>
      </c>
      <c r="E29" s="216">
        <f>F29+G29+H29</f>
        <v>2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1</v>
      </c>
      <c r="I29" s="216">
        <f>VLOOKUP($AP21,$AC$21:$AK$24,7)</f>
        <v>8</v>
      </c>
      <c r="J29" s="216">
        <f>VLOOKUP($AP21,$AC$21:$AK$24,8)</f>
        <v>1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>
        <f>IF(Copa2022!F38="","",Copa2022!F38)</f>
        <v>1</v>
      </c>
      <c r="Q29" s="202" t="str">
        <f>Copa2022!G38</f>
        <v>x</v>
      </c>
      <c r="R29" s="202">
        <f>IF(Copa2022!H38="","",Copa2022!H38)</f>
        <v>1</v>
      </c>
      <c r="S29" s="202" t="str">
        <f>Copa2022!I38</f>
        <v>Alemanha</v>
      </c>
      <c r="V29" s="197" t="b">
        <f t="shared" si="0"/>
        <v>1</v>
      </c>
      <c r="W29" s="199" t="str">
        <f t="shared" si="1"/>
        <v>empate</v>
      </c>
      <c r="X29" s="199" t="str">
        <f t="shared" si="2"/>
        <v>empate</v>
      </c>
      <c r="Y29" s="199" t="str">
        <f t="shared" si="3"/>
        <v>Espanha</v>
      </c>
      <c r="Z29" s="199" t="str">
        <f t="shared" si="4"/>
        <v>Alemanha</v>
      </c>
      <c r="AA29" s="199"/>
      <c r="AB29" s="197">
        <v>1</v>
      </c>
      <c r="AC29" s="200" t="s">
        <v>10</v>
      </c>
      <c r="AD29" s="199">
        <f t="shared" si="10"/>
        <v>6</v>
      </c>
      <c r="AE29" s="199">
        <f t="shared" si="11"/>
        <v>2</v>
      </c>
      <c r="AF29" s="199">
        <f t="shared" si="12"/>
        <v>2</v>
      </c>
      <c r="AG29" s="199">
        <f t="shared" si="13"/>
        <v>0</v>
      </c>
      <c r="AH29" s="199">
        <f t="shared" si="14"/>
        <v>0</v>
      </c>
      <c r="AI29" s="199">
        <f t="shared" si="5"/>
        <v>3</v>
      </c>
      <c r="AJ29" s="199">
        <f t="shared" si="6"/>
        <v>0</v>
      </c>
      <c r="AK29" s="199">
        <f t="shared" si="7"/>
        <v>3</v>
      </c>
      <c r="AL29" s="197">
        <v>1</v>
      </c>
      <c r="AM29" s="203">
        <f t="shared" si="15"/>
        <v>6000331</v>
      </c>
      <c r="AN29" s="238">
        <f>LARGE($AM$29:$AM$32,AL29)</f>
        <v>6000331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6000330</v>
      </c>
      <c r="AS29" s="239">
        <f>LARGE($AR$29:$AR$32,AL29)</f>
        <v>6000330</v>
      </c>
      <c r="AT29" s="611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10000.299999999999</v>
      </c>
      <c r="BA29" s="199">
        <f t="shared" si="20"/>
        <v>30</v>
      </c>
      <c r="BB29" s="197" t="str">
        <f t="shared" si="21"/>
        <v>Suíça</v>
      </c>
      <c r="BC29" s="199">
        <f t="shared" si="22"/>
        <v>1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6</v>
      </c>
      <c r="BI29" s="197">
        <f t="shared" si="25"/>
        <v>60000.25</v>
      </c>
      <c r="BJ29" s="197">
        <f t="shared" si="26"/>
        <v>40000.28</v>
      </c>
      <c r="BK29" s="199">
        <f t="shared" si="27"/>
        <v>28</v>
      </c>
      <c r="BL29" s="197" t="str">
        <f t="shared" si="28"/>
        <v>Senegal</v>
      </c>
      <c r="BM29" s="199">
        <f t="shared" si="29"/>
        <v>4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6</v>
      </c>
      <c r="BW29" s="199">
        <f t="shared" si="38"/>
        <v>-5</v>
      </c>
      <c r="BX29" s="197">
        <v>7.4999999999999997E-2</v>
      </c>
      <c r="BY29" s="204">
        <f t="shared" si="39"/>
        <v>-49899.925000000003</v>
      </c>
      <c r="BZ29" s="204">
        <f>LARGE(BY$5:$BY$36,BN29)</f>
        <v>-19699.929</v>
      </c>
      <c r="CA29" s="203">
        <f t="shared" si="40"/>
        <v>29</v>
      </c>
      <c r="CB29" s="203" t="str">
        <f t="shared" si="9"/>
        <v>Sérvia</v>
      </c>
      <c r="CC29" s="199" t="str">
        <f t="shared" si="42"/>
        <v>-</v>
      </c>
      <c r="CD29" s="207">
        <f t="shared" si="41"/>
        <v>-49900</v>
      </c>
      <c r="CE29" s="203">
        <f>LARGE($CD$5:CD$36,BN29)</f>
        <v>-19700</v>
      </c>
    </row>
    <row r="30" spans="2:83" ht="15" customHeight="1" x14ac:dyDescent="0.2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2</v>
      </c>
      <c r="F30" s="216">
        <f>VLOOKUP($AP22,$AC$21:$AK$24,4)</f>
        <v>1</v>
      </c>
      <c r="G30" s="216">
        <f>VLOOKUP($AP22,$AC$21:$AK$24,5)</f>
        <v>1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2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1</v>
      </c>
      <c r="AE30" s="199">
        <f t="shared" si="11"/>
        <v>2</v>
      </c>
      <c r="AF30" s="199">
        <f t="shared" si="12"/>
        <v>0</v>
      </c>
      <c r="AG30" s="199">
        <f t="shared" si="13"/>
        <v>1</v>
      </c>
      <c r="AH30" s="199">
        <f t="shared" si="14"/>
        <v>1</v>
      </c>
      <c r="AI30" s="199">
        <f t="shared" si="5"/>
        <v>3</v>
      </c>
      <c r="AJ30" s="199">
        <f t="shared" si="6"/>
        <v>4</v>
      </c>
      <c r="AK30" s="199">
        <f t="shared" si="7"/>
        <v>-1</v>
      </c>
      <c r="AL30" s="197">
        <v>2</v>
      </c>
      <c r="AM30" s="203">
        <f t="shared" si="15"/>
        <v>999932</v>
      </c>
      <c r="AN30" s="203">
        <f>LARGE($AM$29:$AM$32,AL30)</f>
        <v>3000014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999930</v>
      </c>
      <c r="AS30" s="199">
        <f>LARGE($AR$29:$AR$32,AL30)</f>
        <v>3000010</v>
      </c>
      <c r="AT30" s="612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2</v>
      </c>
      <c r="AY30" s="197">
        <f t="shared" si="18"/>
        <v>20000.259999999998</v>
      </c>
      <c r="AZ30" s="197">
        <f t="shared" si="19"/>
        <v>10000.25</v>
      </c>
      <c r="BA30" s="199">
        <f t="shared" si="20"/>
        <v>25</v>
      </c>
      <c r="BB30" s="197" t="str">
        <f t="shared" si="21"/>
        <v>País de Gales</v>
      </c>
      <c r="BC30" s="199">
        <f t="shared" si="22"/>
        <v>1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2</v>
      </c>
      <c r="BI30" s="197">
        <f t="shared" si="25"/>
        <v>20000.259999999998</v>
      </c>
      <c r="BJ30" s="197">
        <f t="shared" si="26"/>
        <v>50000.02</v>
      </c>
      <c r="BK30" s="199">
        <f t="shared" si="27"/>
        <v>2</v>
      </c>
      <c r="BL30" s="197" t="str">
        <f t="shared" si="28"/>
        <v>Arábia Saudita</v>
      </c>
      <c r="BM30" s="199">
        <f t="shared" si="29"/>
        <v>5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2</v>
      </c>
      <c r="BV30" s="199">
        <f t="shared" si="37"/>
        <v>2</v>
      </c>
      <c r="BW30" s="199">
        <f t="shared" si="38"/>
        <v>0</v>
      </c>
      <c r="BX30" s="197">
        <v>7.3999999999999996E-2</v>
      </c>
      <c r="BY30" s="204">
        <f t="shared" si="39"/>
        <v>200.07400000000001</v>
      </c>
      <c r="BZ30" s="204">
        <f>LARGE(BY$5:$BY$36,BN30)</f>
        <v>-19899.913</v>
      </c>
      <c r="CA30" s="203">
        <f t="shared" si="40"/>
        <v>13</v>
      </c>
      <c r="CB30" s="203" t="str">
        <f t="shared" si="9"/>
        <v>Dinamarca</v>
      </c>
      <c r="CC30" s="199">
        <f t="shared" si="42"/>
        <v>26</v>
      </c>
      <c r="CD30" s="207">
        <f t="shared" si="41"/>
        <v>200</v>
      </c>
      <c r="CE30" s="203">
        <f>LARGE($CD$5:CD$36,BN30)</f>
        <v>-19900</v>
      </c>
    </row>
    <row r="31" spans="2:83" ht="15" customHeight="1" x14ac:dyDescent="0.2">
      <c r="B31" s="214">
        <f>AQ23</f>
        <v>3</v>
      </c>
      <c r="C31" s="215" t="str">
        <f>AP23</f>
        <v>Costa Rica</v>
      </c>
      <c r="D31" s="216">
        <f>3*F31+H31</f>
        <v>3</v>
      </c>
      <c r="E31" s="216">
        <f>F31+G31+H31</f>
        <v>2</v>
      </c>
      <c r="F31" s="216">
        <f>VLOOKUP($AP23,$AC$21:$AK$24,4)</f>
        <v>1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7</v>
      </c>
      <c r="K31" s="217">
        <f>I31-J31</f>
        <v>-6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1</v>
      </c>
      <c r="AE31" s="199">
        <f t="shared" si="11"/>
        <v>2</v>
      </c>
      <c r="AF31" s="199">
        <f t="shared" si="12"/>
        <v>0</v>
      </c>
      <c r="AG31" s="199">
        <f t="shared" si="13"/>
        <v>1</v>
      </c>
      <c r="AH31" s="199">
        <f t="shared" si="14"/>
        <v>1</v>
      </c>
      <c r="AI31" s="199">
        <f t="shared" si="5"/>
        <v>3</v>
      </c>
      <c r="AJ31" s="199">
        <f t="shared" si="6"/>
        <v>5</v>
      </c>
      <c r="AK31" s="199">
        <f t="shared" si="7"/>
        <v>-2</v>
      </c>
      <c r="AL31" s="197">
        <v>3</v>
      </c>
      <c r="AM31" s="203">
        <f t="shared" si="15"/>
        <v>999833</v>
      </c>
      <c r="AN31" s="203">
        <f>LARGE($AM$29:$AM$32,AL31)</f>
        <v>999932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999830</v>
      </c>
      <c r="AS31" s="199">
        <f>LARGE($AR$29:$AR$32,AL31)</f>
        <v>999930</v>
      </c>
      <c r="AT31" s="612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5</v>
      </c>
      <c r="AY31" s="197">
        <f t="shared" si="18"/>
        <v>50000.27</v>
      </c>
      <c r="AZ31" s="197">
        <f t="shared" si="19"/>
        <v>10000.129999999999</v>
      </c>
      <c r="BA31" s="199">
        <f t="shared" si="20"/>
        <v>13</v>
      </c>
      <c r="BB31" s="197" t="str">
        <f t="shared" si="21"/>
        <v>Dinamarca</v>
      </c>
      <c r="BC31" s="199">
        <f t="shared" si="22"/>
        <v>1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50000.18</v>
      </c>
      <c r="BK31" s="199">
        <f t="shared" si="27"/>
        <v>18</v>
      </c>
      <c r="BL31" s="197" t="str">
        <f t="shared" si="28"/>
        <v>Gana</v>
      </c>
      <c r="BM31" s="199">
        <f t="shared" si="29"/>
        <v>5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5</v>
      </c>
      <c r="BV31" s="199">
        <f t="shared" si="37"/>
        <v>2</v>
      </c>
      <c r="BW31" s="199">
        <f t="shared" si="38"/>
        <v>3</v>
      </c>
      <c r="BX31" s="197">
        <v>7.2999999999999995E-2</v>
      </c>
      <c r="BY31" s="204">
        <f t="shared" si="39"/>
        <v>30500.073</v>
      </c>
      <c r="BZ31" s="204">
        <f>LARGE(BY$5:$BY$36,BN31)</f>
        <v>-19999.932000000001</v>
      </c>
      <c r="CA31" s="203">
        <f t="shared" si="40"/>
        <v>32</v>
      </c>
      <c r="CB31" s="203" t="str">
        <f t="shared" si="9"/>
        <v>Uruguai</v>
      </c>
      <c r="CC31" s="199">
        <f t="shared" si="42"/>
        <v>27</v>
      </c>
      <c r="CD31" s="207">
        <f t="shared" si="41"/>
        <v>30500</v>
      </c>
      <c r="CE31" s="203">
        <f>LARGE($CD$5:CD$36,BN31)</f>
        <v>-20000</v>
      </c>
    </row>
    <row r="32" spans="2:83" ht="15.75" thickBot="1" x14ac:dyDescent="0.25">
      <c r="B32" s="227">
        <f>AQ24</f>
        <v>4</v>
      </c>
      <c r="C32" s="228" t="str">
        <f>AP24</f>
        <v>Alemanha</v>
      </c>
      <c r="D32" s="229">
        <f>3*F32+H32</f>
        <v>1</v>
      </c>
      <c r="E32" s="229">
        <f>F32+G32+H32</f>
        <v>2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1</v>
      </c>
      <c r="I32" s="229">
        <f>VLOOKUP($AP24,$AC$21:$AK$24,7)</f>
        <v>2</v>
      </c>
      <c r="J32" s="229">
        <f>VLOOKUP($AP24,$AC$21:$AK$24,8)</f>
        <v>3</v>
      </c>
      <c r="K32" s="230">
        <f>I32-J32</f>
        <v>-1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2</v>
      </c>
      <c r="AF32" s="199">
        <f t="shared" si="12"/>
        <v>1</v>
      </c>
      <c r="AG32" s="199">
        <f t="shared" si="13"/>
        <v>1</v>
      </c>
      <c r="AH32" s="199">
        <f t="shared" si="14"/>
        <v>0</v>
      </c>
      <c r="AI32" s="199">
        <f t="shared" si="5"/>
        <v>1</v>
      </c>
      <c r="AJ32" s="199">
        <f t="shared" si="6"/>
        <v>1</v>
      </c>
      <c r="AK32" s="199">
        <f t="shared" si="7"/>
        <v>0</v>
      </c>
      <c r="AL32" s="197">
        <v>4</v>
      </c>
      <c r="AM32" s="203">
        <f t="shared" si="15"/>
        <v>3000014</v>
      </c>
      <c r="AN32" s="234">
        <f>LARGE($AM$29:$AM$32,AL32)</f>
        <v>999833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3000010</v>
      </c>
      <c r="AS32" s="226">
        <f>LARGE($AR$29:$AR$32,AL32)</f>
        <v>999830</v>
      </c>
      <c r="AT32" s="613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5</v>
      </c>
      <c r="AY32" s="197">
        <f t="shared" si="18"/>
        <v>50000.28</v>
      </c>
      <c r="AZ32" s="197">
        <f t="shared" si="19"/>
        <v>10000.11</v>
      </c>
      <c r="BA32" s="199">
        <f t="shared" si="20"/>
        <v>11</v>
      </c>
      <c r="BB32" s="197" t="str">
        <f t="shared" si="21"/>
        <v>Costa Rica</v>
      </c>
      <c r="BC32" s="199">
        <f t="shared" si="22"/>
        <v>1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4</v>
      </c>
      <c r="BI32" s="197">
        <f t="shared" si="25"/>
        <v>40000.28</v>
      </c>
      <c r="BJ32" s="197">
        <f t="shared" si="26"/>
        <v>50000.29</v>
      </c>
      <c r="BK32" s="199">
        <f t="shared" si="27"/>
        <v>29</v>
      </c>
      <c r="BL32" s="197" t="str">
        <f t="shared" si="28"/>
        <v>Sérvia</v>
      </c>
      <c r="BM32" s="199">
        <f t="shared" si="29"/>
        <v>5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5</v>
      </c>
      <c r="BV32" s="199">
        <f t="shared" si="37"/>
        <v>4</v>
      </c>
      <c r="BW32" s="199">
        <f t="shared" si="38"/>
        <v>1</v>
      </c>
      <c r="BX32" s="197">
        <v>7.1999999999999995E-2</v>
      </c>
      <c r="BY32" s="204">
        <f t="shared" si="39"/>
        <v>10500.072</v>
      </c>
      <c r="BZ32" s="204">
        <f>LARGE(BY$5:$BY$36,BN32)</f>
        <v>-29599.920999999998</v>
      </c>
      <c r="CA32" s="203">
        <f t="shared" si="40"/>
        <v>21</v>
      </c>
      <c r="CB32" s="203" t="str">
        <f t="shared" si="9"/>
        <v>Irã</v>
      </c>
      <c r="CC32" s="199">
        <f t="shared" si="42"/>
        <v>28</v>
      </c>
      <c r="CD32" s="207">
        <f t="shared" si="41"/>
        <v>10500</v>
      </c>
      <c r="CE32" s="203">
        <f>LARGE($CD$5:CD$36,BN32)</f>
        <v>-29600</v>
      </c>
    </row>
    <row r="33" spans="2:83" ht="15.75" thickBot="1" x14ac:dyDescent="0.25">
      <c r="B33" s="236"/>
      <c r="C33" s="241"/>
      <c r="D33" s="236"/>
      <c r="E33" s="236">
        <f>SUM(E29:E32)</f>
        <v>8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2</v>
      </c>
      <c r="AF33" s="220">
        <f t="shared" si="12"/>
        <v>0</v>
      </c>
      <c r="AG33" s="220">
        <f t="shared" si="13"/>
        <v>1</v>
      </c>
      <c r="AH33" s="220">
        <f t="shared" si="14"/>
        <v>1</v>
      </c>
      <c r="AI33" s="220">
        <f t="shared" si="5"/>
        <v>2</v>
      </c>
      <c r="AJ33" s="220">
        <f t="shared" si="6"/>
        <v>3</v>
      </c>
      <c r="AK33" s="220">
        <f t="shared" si="7"/>
        <v>-1</v>
      </c>
      <c r="AL33" s="221">
        <v>1</v>
      </c>
      <c r="AM33" s="203">
        <f t="shared" si="15"/>
        <v>999921</v>
      </c>
      <c r="AN33" s="203">
        <f>LARGE($AM$33:$AM$36,AL33)</f>
        <v>6000353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999920</v>
      </c>
      <c r="AS33" s="199">
        <f>LARGE($AR$33:$AR$36,AL33)</f>
        <v>6000350</v>
      </c>
      <c r="AT33" s="611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3</v>
      </c>
      <c r="AY33" s="197">
        <f t="shared" si="18"/>
        <v>30000.29</v>
      </c>
      <c r="AZ33" s="197">
        <f t="shared" si="19"/>
        <v>10000.09</v>
      </c>
      <c r="BA33" s="199">
        <f t="shared" si="20"/>
        <v>9</v>
      </c>
      <c r="BB33" s="197" t="str">
        <f t="shared" si="21"/>
        <v>Catar</v>
      </c>
      <c r="BC33" s="199">
        <f t="shared" si="22"/>
        <v>1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5</v>
      </c>
      <c r="BI33" s="197">
        <f t="shared" si="25"/>
        <v>50000.29</v>
      </c>
      <c r="BJ33" s="197">
        <f t="shared" si="26"/>
        <v>60000.25</v>
      </c>
      <c r="BK33" s="199">
        <f t="shared" si="27"/>
        <v>25</v>
      </c>
      <c r="BL33" s="197" t="str">
        <f t="shared" si="28"/>
        <v>País de Gales</v>
      </c>
      <c r="BM33" s="199">
        <f t="shared" si="29"/>
        <v>6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3</v>
      </c>
      <c r="BV33" s="199">
        <f t="shared" si="37"/>
        <v>5</v>
      </c>
      <c r="BW33" s="199">
        <f t="shared" si="38"/>
        <v>-2</v>
      </c>
      <c r="BX33" s="197">
        <v>7.0999999999999994E-2</v>
      </c>
      <c r="BY33" s="204">
        <f t="shared" si="39"/>
        <v>-19699.929</v>
      </c>
      <c r="BZ33" s="204">
        <f>LARGE(BY$5:$BY$36,BN33)</f>
        <v>-29899.907999999999</v>
      </c>
      <c r="CA33" s="203">
        <f t="shared" si="40"/>
        <v>8</v>
      </c>
      <c r="CB33" s="203" t="str">
        <f t="shared" si="9"/>
        <v>Canadá</v>
      </c>
      <c r="CC33" s="199">
        <f t="shared" si="42"/>
        <v>29</v>
      </c>
      <c r="CD33" s="207">
        <f t="shared" si="41"/>
        <v>-19700</v>
      </c>
      <c r="CE33" s="203">
        <f>LARGE($CD$5:CD$36,BN33)</f>
        <v>-29900</v>
      </c>
    </row>
    <row r="34" spans="2:83" ht="15" x14ac:dyDescent="0.2">
      <c r="B34" s="615" t="s">
        <v>56</v>
      </c>
      <c r="C34" s="616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>
        <f>IF(Copa2022!F43="","",Copa2022!F43)</f>
        <v>0</v>
      </c>
      <c r="Q34" s="202" t="str">
        <f>Copa2022!G43</f>
        <v>x</v>
      </c>
      <c r="R34" s="202">
        <f>IF(Copa2022!H43="","",Copa2022!H43)</f>
        <v>2</v>
      </c>
      <c r="S34" s="202" t="str">
        <f>Copa2022!I43</f>
        <v>Marrocos</v>
      </c>
      <c r="V34" s="197" t="b">
        <f t="shared" si="0"/>
        <v>1</v>
      </c>
      <c r="W34" s="199" t="str">
        <f t="shared" si="1"/>
        <v>Marrocos</v>
      </c>
      <c r="X34" s="199" t="str">
        <f t="shared" si="2"/>
        <v>Bélgica</v>
      </c>
      <c r="Y34" s="199" t="str">
        <f t="shared" si="3"/>
        <v/>
      </c>
      <c r="Z34" s="199" t="str">
        <f t="shared" si="4"/>
        <v/>
      </c>
      <c r="AA34" s="199"/>
      <c r="AB34" s="223">
        <v>2</v>
      </c>
      <c r="AC34" s="200" t="s">
        <v>152</v>
      </c>
      <c r="AD34" s="199">
        <f t="shared" si="10"/>
        <v>3</v>
      </c>
      <c r="AE34" s="199">
        <f t="shared" si="11"/>
        <v>2</v>
      </c>
      <c r="AF34" s="199">
        <f t="shared" si="12"/>
        <v>1</v>
      </c>
      <c r="AG34" s="199">
        <f t="shared" si="13"/>
        <v>1</v>
      </c>
      <c r="AH34" s="199">
        <f t="shared" si="14"/>
        <v>0</v>
      </c>
      <c r="AI34" s="199">
        <f t="shared" si="5"/>
        <v>5</v>
      </c>
      <c r="AJ34" s="199">
        <f t="shared" si="6"/>
        <v>5</v>
      </c>
      <c r="AK34" s="199">
        <f t="shared" si="7"/>
        <v>0</v>
      </c>
      <c r="AL34" s="224">
        <v>2</v>
      </c>
      <c r="AM34" s="203">
        <f>(10^6)*AD34+(10^2)*AK34+10*AI34+AL34+AD40</f>
        <v>3000055</v>
      </c>
      <c r="AN34" s="203">
        <f>LARGE($AM$33:$AM$36,AL34)</f>
        <v>3000055</v>
      </c>
      <c r="AO34" s="203">
        <f>MATCH(AN34,$AM$33:$AM$36,0)</f>
        <v>2</v>
      </c>
      <c r="AP34" s="203" t="str">
        <f>VLOOKUP(AO34,$AB$33:$AC$36,2)</f>
        <v>Gana</v>
      </c>
      <c r="AQ34" s="199">
        <f>IF(AS33=AS34,"-",2)</f>
        <v>2</v>
      </c>
      <c r="AR34" s="207">
        <f t="shared" si="8"/>
        <v>3000053</v>
      </c>
      <c r="AS34" s="199">
        <f>LARGE($AR$33:$AR$36,AL34)</f>
        <v>3000053</v>
      </c>
      <c r="AT34" s="612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10000.08</v>
      </c>
      <c r="BA34" s="199">
        <f t="shared" si="20"/>
        <v>8</v>
      </c>
      <c r="BB34" s="197" t="str">
        <f t="shared" si="21"/>
        <v>Canadá</v>
      </c>
      <c r="BC34" s="199">
        <f t="shared" si="22"/>
        <v>1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1</v>
      </c>
      <c r="BI34" s="197">
        <f t="shared" si="25"/>
        <v>10000.299999999999</v>
      </c>
      <c r="BJ34" s="197">
        <f t="shared" si="26"/>
        <v>70000.09</v>
      </c>
      <c r="BK34" s="199">
        <f t="shared" si="27"/>
        <v>9</v>
      </c>
      <c r="BL34" s="197" t="str">
        <f t="shared" si="28"/>
        <v>Catar</v>
      </c>
      <c r="BM34" s="199">
        <f t="shared" si="29"/>
        <v>7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1</v>
      </c>
      <c r="BW34" s="199">
        <f t="shared" si="38"/>
        <v>0</v>
      </c>
      <c r="BX34" s="197">
        <v>7.0000000000000007E-2</v>
      </c>
      <c r="BY34" s="204">
        <f t="shared" si="39"/>
        <v>100.07</v>
      </c>
      <c r="BZ34" s="204">
        <f>LARGE(BY$5:$BY$36,BN34)</f>
        <v>-49899.925000000003</v>
      </c>
      <c r="CA34" s="203">
        <f t="shared" si="40"/>
        <v>25</v>
      </c>
      <c r="CB34" s="203" t="str">
        <f t="shared" si="9"/>
        <v>País de Gales</v>
      </c>
      <c r="CC34" s="199">
        <f t="shared" si="42"/>
        <v>30</v>
      </c>
      <c r="CD34" s="207">
        <f t="shared" si="41"/>
        <v>100</v>
      </c>
      <c r="CE34" s="203">
        <f>LARGE($CD$5:CD$36,BN34)</f>
        <v>-49900</v>
      </c>
    </row>
    <row r="35" spans="2:83" ht="15" x14ac:dyDescent="0.2">
      <c r="B35" s="214">
        <f>AQ25</f>
        <v>1</v>
      </c>
      <c r="C35" s="215" t="str">
        <f>AP25</f>
        <v>Croácia</v>
      </c>
      <c r="D35" s="216">
        <f>3*F35+H35</f>
        <v>4</v>
      </c>
      <c r="E35" s="216">
        <f>F35+G35+H35</f>
        <v>2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1</v>
      </c>
      <c r="I35" s="216">
        <f>VLOOKUP($AP25,$AC$25:$AK$28,7)</f>
        <v>3</v>
      </c>
      <c r="J35" s="216">
        <f>VLOOKUP($AP25,$AC$25:$AK$28,8)</f>
        <v>1</v>
      </c>
      <c r="K35" s="217">
        <f>I35-J35</f>
        <v>2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>
        <f>IF(Copa2022!F44="","",Copa2022!F44)</f>
        <v>3</v>
      </c>
      <c r="Q35" s="202" t="str">
        <f>Copa2022!G44</f>
        <v>x</v>
      </c>
      <c r="R35" s="202">
        <f>IF(Copa2022!H44="","",Copa2022!H44)</f>
        <v>1</v>
      </c>
      <c r="S35" s="202" t="str">
        <f>Copa2022!I44</f>
        <v>Canadá</v>
      </c>
      <c r="V35" s="197" t="b">
        <f t="shared" si="0"/>
        <v>1</v>
      </c>
      <c r="W35" s="199" t="str">
        <f t="shared" si="1"/>
        <v>Croácia</v>
      </c>
      <c r="X35" s="199" t="str">
        <f t="shared" si="2"/>
        <v>Canadá</v>
      </c>
      <c r="Y35" s="199" t="str">
        <f t="shared" si="3"/>
        <v/>
      </c>
      <c r="Z35" s="199" t="str">
        <f t="shared" si="4"/>
        <v/>
      </c>
      <c r="AA35" s="199"/>
      <c r="AB35" s="223">
        <v>3</v>
      </c>
      <c r="AC35" s="200" t="s">
        <v>9</v>
      </c>
      <c r="AD35" s="199">
        <f t="shared" si="10"/>
        <v>6</v>
      </c>
      <c r="AE35" s="199">
        <f t="shared" si="11"/>
        <v>2</v>
      </c>
      <c r="AF35" s="199">
        <f t="shared" si="12"/>
        <v>2</v>
      </c>
      <c r="AG35" s="199">
        <f t="shared" si="13"/>
        <v>0</v>
      </c>
      <c r="AH35" s="199">
        <f t="shared" si="14"/>
        <v>0</v>
      </c>
      <c r="AI35" s="199">
        <f t="shared" si="5"/>
        <v>5</v>
      </c>
      <c r="AJ35" s="199">
        <f t="shared" si="6"/>
        <v>2</v>
      </c>
      <c r="AK35" s="199">
        <f t="shared" si="7"/>
        <v>3</v>
      </c>
      <c r="AL35" s="224">
        <v>3</v>
      </c>
      <c r="AM35" s="203">
        <f t="shared" si="15"/>
        <v>6000353</v>
      </c>
      <c r="AN35" s="203">
        <f>LARGE($AM$33:$AM$36,AL35)</f>
        <v>999921</v>
      </c>
      <c r="AO35" s="203">
        <f>MATCH(AN35,$AM$33:$AM$36,0)</f>
        <v>1</v>
      </c>
      <c r="AP35" s="203" t="str">
        <f>VLOOKUP(AO35,$AB$33:$AC$36,2)</f>
        <v>Coreia do Sul</v>
      </c>
      <c r="AQ35" s="199">
        <f>IF(AS34=AS35,"-",3)</f>
        <v>3</v>
      </c>
      <c r="AR35" s="207">
        <f t="shared" si="8"/>
        <v>6000350</v>
      </c>
      <c r="AS35" s="199">
        <f>LARGE($AR$33:$AR$36,AL35)</f>
        <v>999920</v>
      </c>
      <c r="AT35" s="612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1</v>
      </c>
      <c r="AY35" s="197">
        <f t="shared" si="18"/>
        <v>10000.31</v>
      </c>
      <c r="AZ35" s="197">
        <f t="shared" si="19"/>
        <v>10000.049999999999</v>
      </c>
      <c r="BA35" s="199">
        <f t="shared" si="20"/>
        <v>5</v>
      </c>
      <c r="BB35" s="197" t="str">
        <f t="shared" si="21"/>
        <v>Bélgica</v>
      </c>
      <c r="BC35" s="199">
        <f t="shared" si="22"/>
        <v>1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1</v>
      </c>
      <c r="BI35" s="197">
        <f t="shared" si="25"/>
        <v>10000.31</v>
      </c>
      <c r="BJ35" s="197">
        <f t="shared" si="26"/>
        <v>70000.11</v>
      </c>
      <c r="BK35" s="199">
        <f t="shared" si="27"/>
        <v>11</v>
      </c>
      <c r="BL35" s="197" t="str">
        <f t="shared" si="28"/>
        <v>Costa Rica</v>
      </c>
      <c r="BM35" s="199">
        <f t="shared" si="29"/>
        <v>7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1</v>
      </c>
      <c r="BV35" s="199">
        <f t="shared" si="37"/>
        <v>1</v>
      </c>
      <c r="BW35" s="199">
        <f t="shared" si="38"/>
        <v>0</v>
      </c>
      <c r="BX35" s="197">
        <v>6.9000000000000006E-2</v>
      </c>
      <c r="BY35" s="204">
        <f t="shared" si="39"/>
        <v>100.069</v>
      </c>
      <c r="BZ35" s="204">
        <f>LARGE(BY$5:$BY$36,BN35)</f>
        <v>-59899.909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100</v>
      </c>
      <c r="CE35" s="203">
        <f>LARGE($CD$5:CD$36,BN35)</f>
        <v>-59900</v>
      </c>
    </row>
    <row r="36" spans="2:83" ht="15" x14ac:dyDescent="0.2">
      <c r="B36" s="214">
        <f>AQ26</f>
        <v>2</v>
      </c>
      <c r="C36" s="215" t="str">
        <f>AP26</f>
        <v>Marrocos</v>
      </c>
      <c r="D36" s="216">
        <f>3*F36+H36</f>
        <v>4</v>
      </c>
      <c r="E36" s="216">
        <f>F36+G36+H36</f>
        <v>2</v>
      </c>
      <c r="F36" s="216">
        <f>VLOOKUP($AP26,$AC$25:$AK$28,4)</f>
        <v>1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2</v>
      </c>
      <c r="J36" s="216">
        <f>VLOOKUP($AP26,$AC$25:$AK$28,8)</f>
        <v>0</v>
      </c>
      <c r="K36" s="217">
        <f>I36-J36</f>
        <v>2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2</v>
      </c>
      <c r="AF36" s="226">
        <f t="shared" si="12"/>
        <v>0</v>
      </c>
      <c r="AG36" s="226">
        <f t="shared" si="13"/>
        <v>1</v>
      </c>
      <c r="AH36" s="226">
        <f t="shared" si="14"/>
        <v>1</v>
      </c>
      <c r="AI36" s="226">
        <f t="shared" si="5"/>
        <v>0</v>
      </c>
      <c r="AJ36" s="226">
        <f t="shared" si="6"/>
        <v>2</v>
      </c>
      <c r="AK36" s="226">
        <f t="shared" si="7"/>
        <v>-2</v>
      </c>
      <c r="AL36" s="233">
        <v>4</v>
      </c>
      <c r="AM36" s="203">
        <f t="shared" si="15"/>
        <v>999804</v>
      </c>
      <c r="AN36" s="234">
        <f>LARGE($AM$33:$AM$36,AL36)</f>
        <v>999804</v>
      </c>
      <c r="AO36" s="234">
        <f>MATCH(AN36,$AM$33:$AM$36,0)</f>
        <v>4</v>
      </c>
      <c r="AP36" s="234" t="str">
        <f>VLOOKUP(AO36,$AB$33:$AC$36,2)</f>
        <v>Uruguai</v>
      </c>
      <c r="AQ36" s="226">
        <f>IF(AS35=AS36,"-",4)</f>
        <v>4</v>
      </c>
      <c r="AR36" s="235">
        <f t="shared" si="8"/>
        <v>999800</v>
      </c>
      <c r="AS36" s="226">
        <f>LARGE($AR$33:$AR$36,AL36)</f>
        <v>999800</v>
      </c>
      <c r="AT36" s="613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0.32</v>
      </c>
      <c r="BA36" s="199">
        <f t="shared" si="20"/>
        <v>32</v>
      </c>
      <c r="BB36" s="197" t="str">
        <f t="shared" si="21"/>
        <v>Uruguai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2</v>
      </c>
      <c r="BI36" s="197">
        <f t="shared" si="25"/>
        <v>20000.32</v>
      </c>
      <c r="BJ36" s="197">
        <f t="shared" si="26"/>
        <v>70000.210000000006</v>
      </c>
      <c r="BK36" s="199">
        <f t="shared" si="27"/>
        <v>21</v>
      </c>
      <c r="BL36" s="197" t="str">
        <f t="shared" si="28"/>
        <v>Irã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2</v>
      </c>
      <c r="BW36" s="199">
        <f t="shared" si="38"/>
        <v>-2</v>
      </c>
      <c r="BX36" s="197">
        <v>6.8000000000000005E-2</v>
      </c>
      <c r="BY36" s="204">
        <f t="shared" si="39"/>
        <v>-19999.932000000001</v>
      </c>
      <c r="BZ36" s="204">
        <f>LARGE(BY$5:$BY$36,BN36)</f>
        <v>-59899.911</v>
      </c>
      <c r="CA36" s="203">
        <f t="shared" si="40"/>
        <v>11</v>
      </c>
      <c r="CB36" s="203" t="str">
        <f t="shared" si="9"/>
        <v>Costa Rica</v>
      </c>
      <c r="CC36" s="199" t="str">
        <f t="shared" si="42"/>
        <v>-</v>
      </c>
      <c r="CD36" s="207">
        <f t="shared" si="41"/>
        <v>-20000</v>
      </c>
      <c r="CE36" s="203">
        <f>LARGE($CD$5:CD$36,BN36)</f>
        <v>-59900</v>
      </c>
    </row>
    <row r="37" spans="2:83" ht="15" x14ac:dyDescent="0.2">
      <c r="B37" s="214">
        <f>AQ27</f>
        <v>3</v>
      </c>
      <c r="C37" s="215" t="str">
        <f>AP27</f>
        <v>Bélgica</v>
      </c>
      <c r="D37" s="216">
        <f>3*F37+H37</f>
        <v>3</v>
      </c>
      <c r="E37" s="216">
        <f>F37+G37+H37</f>
        <v>2</v>
      </c>
      <c r="F37" s="216">
        <f>VLOOKUP($AP27,$AC$25:$AK$28,4)</f>
        <v>1</v>
      </c>
      <c r="G37" s="216">
        <f>VLOOKUP($AP27,$AC$25:$AK$28,5)</f>
        <v>1</v>
      </c>
      <c r="H37" s="216">
        <f>VLOOKUP($AP27,$AC$25:$AK$28,6)</f>
        <v>0</v>
      </c>
      <c r="I37" s="216">
        <f>VLOOKUP($AP27,$AC$25:$AK$28,7)</f>
        <v>1</v>
      </c>
      <c r="J37" s="216">
        <f>VLOOKUP($AP27,$AC$25:$AK$28,8)</f>
        <v>2</v>
      </c>
      <c r="K37" s="217">
        <f>I37-J37</f>
        <v>-1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 x14ac:dyDescent="0.25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2</v>
      </c>
      <c r="F38" s="229">
        <f>VLOOKUP($AP28,$AC$25:$AK$28,4)</f>
        <v>0</v>
      </c>
      <c r="G38" s="229">
        <f>VLOOKUP($AP28,$AC$25:$AK$28,5)</f>
        <v>2</v>
      </c>
      <c r="H38" s="229">
        <f>VLOOKUP($AP28,$AC$25:$AK$28,6)</f>
        <v>0</v>
      </c>
      <c r="I38" s="229">
        <f>VLOOKUP($AP28,$AC$25:$AK$28,7)</f>
        <v>1</v>
      </c>
      <c r="J38" s="229">
        <f>VLOOKUP($AP28,$AC$25:$AK$28,8)</f>
        <v>4</v>
      </c>
      <c r="K38" s="230">
        <f>I38-J38</f>
        <v>-3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 x14ac:dyDescent="0.25">
      <c r="B39" s="236"/>
      <c r="C39" s="241"/>
      <c r="D39" s="236"/>
      <c r="E39" s="236">
        <f>SUM(E35:E38)</f>
        <v>8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" x14ac:dyDescent="0.2">
      <c r="B40" s="615" t="s">
        <v>58</v>
      </c>
      <c r="C40" s="616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>
        <f>IF(Copa2022!F49="","",Copa2022!F49)</f>
        <v>3</v>
      </c>
      <c r="Q40" s="202" t="str">
        <f>Copa2022!G49</f>
        <v>x</v>
      </c>
      <c r="R40" s="202">
        <f>IF(Copa2022!H49="","",Copa2022!H49)</f>
        <v>3</v>
      </c>
      <c r="S40" s="202" t="str">
        <f>Copa2022!I49</f>
        <v>Sérvia</v>
      </c>
      <c r="V40" s="197" t="b">
        <f t="shared" si="0"/>
        <v>1</v>
      </c>
      <c r="W40" s="199" t="str">
        <f t="shared" si="1"/>
        <v>empate</v>
      </c>
      <c r="X40" s="199" t="str">
        <f t="shared" si="2"/>
        <v>empate</v>
      </c>
      <c r="Y40" s="199" t="str">
        <f t="shared" si="3"/>
        <v>Camarões</v>
      </c>
      <c r="Z40" s="199" t="str">
        <f t="shared" si="4"/>
        <v>Sérvia</v>
      </c>
      <c r="AA40" s="199"/>
      <c r="AC40" s="197" t="s">
        <v>8</v>
      </c>
      <c r="AD40" s="199">
        <v>3</v>
      </c>
    </row>
    <row r="41" spans="2:83" ht="15" x14ac:dyDescent="0.2">
      <c r="B41" s="214">
        <f>AQ29</f>
        <v>1</v>
      </c>
      <c r="C41" s="215" t="str">
        <f>AP29</f>
        <v>Brasil</v>
      </c>
      <c r="D41" s="216">
        <f>3*F41+H41</f>
        <v>6</v>
      </c>
      <c r="E41" s="216">
        <f>F41+G41+H41</f>
        <v>2</v>
      </c>
      <c r="F41" s="216">
        <f>VLOOKUP($AP29,$AC$29:$AK$32,4)</f>
        <v>2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3</v>
      </c>
      <c r="J41" s="216">
        <f>VLOOKUP($AP29,$AC$29:$AK$32,8)</f>
        <v>0</v>
      </c>
      <c r="K41" s="217">
        <f>I41-J41</f>
        <v>3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>
        <f>IF(Copa2022!F50="","",Copa2022!F50)</f>
        <v>1</v>
      </c>
      <c r="Q41" s="202" t="str">
        <f>Copa2022!G50</f>
        <v>x</v>
      </c>
      <c r="R41" s="202">
        <f>IF(Copa2022!H50="","",Copa2022!H50)</f>
        <v>0</v>
      </c>
      <c r="S41" s="202" t="str">
        <f>Copa2022!I50</f>
        <v>Suíça</v>
      </c>
      <c r="V41" s="197" t="b">
        <f t="shared" si="0"/>
        <v>1</v>
      </c>
      <c r="W41" s="199" t="str">
        <f t="shared" si="1"/>
        <v>Brasil</v>
      </c>
      <c r="X41" s="199" t="str">
        <f t="shared" si="2"/>
        <v>Suíça</v>
      </c>
      <c r="Y41" s="199" t="str">
        <f t="shared" si="3"/>
        <v/>
      </c>
      <c r="Z41" s="199" t="str">
        <f t="shared" si="4"/>
        <v/>
      </c>
      <c r="AA41" s="199"/>
      <c r="AC41" s="197" t="s">
        <v>131</v>
      </c>
      <c r="AD41" s="199">
        <v>0</v>
      </c>
    </row>
    <row r="42" spans="2:83" ht="15" x14ac:dyDescent="0.2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2</v>
      </c>
      <c r="F42" s="216">
        <f>VLOOKUP($AP30,$AC$29:$AK$32,4)</f>
        <v>1</v>
      </c>
      <c r="G42" s="216">
        <f>VLOOKUP($AP30,$AC$29:$AK$32,5)</f>
        <v>1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1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 x14ac:dyDescent="0.2">
      <c r="B43" s="214">
        <f>AQ31</f>
        <v>3</v>
      </c>
      <c r="C43" s="215" t="str">
        <f>AP31</f>
        <v>Camarões</v>
      </c>
      <c r="D43" s="216">
        <f>3*F43+H43</f>
        <v>1</v>
      </c>
      <c r="E43" s="216">
        <f>F43+G43+H43</f>
        <v>2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1</v>
      </c>
      <c r="I43" s="216">
        <f>VLOOKUP($AP31,$AC$29:$AK$32,7)</f>
        <v>3</v>
      </c>
      <c r="J43" s="216">
        <f>VLOOKUP($AP31,$AC$29:$AK$32,8)</f>
        <v>4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 x14ac:dyDescent="0.25">
      <c r="B44" s="227">
        <f>AQ32</f>
        <v>4</v>
      </c>
      <c r="C44" s="228" t="str">
        <f>AP32</f>
        <v>Sérvia</v>
      </c>
      <c r="D44" s="229">
        <f>3*F44+H44</f>
        <v>1</v>
      </c>
      <c r="E44" s="229">
        <f>F44+G44+H44</f>
        <v>2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1</v>
      </c>
      <c r="I44" s="229">
        <f>VLOOKUP($AP32,$AC$29:$AK$32,7)</f>
        <v>3</v>
      </c>
      <c r="J44" s="229">
        <f>VLOOKUP($AP32,$AC$29:$AK$32,8)</f>
        <v>5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 x14ac:dyDescent="0.25">
      <c r="B45" s="236"/>
      <c r="C45" s="241"/>
      <c r="D45" s="236"/>
      <c r="E45" s="236">
        <f>SUM(E41:E44)</f>
        <v>8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" x14ac:dyDescent="0.2">
      <c r="B46" s="615" t="s">
        <v>59</v>
      </c>
      <c r="C46" s="616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>
        <f>IF(Copa2022!F55="","",Copa2022!F55)</f>
        <v>2</v>
      </c>
      <c r="Q46" s="202" t="str">
        <f>Copa2022!G55</f>
        <v>x</v>
      </c>
      <c r="R46" s="202">
        <f>IF(Copa2022!H55="","",Copa2022!H55)</f>
        <v>3</v>
      </c>
      <c r="S46" s="202" t="str">
        <f>Copa2022!I55</f>
        <v>Gana</v>
      </c>
      <c r="V46" s="197" t="b">
        <f t="shared" si="0"/>
        <v>1</v>
      </c>
      <c r="W46" s="199" t="str">
        <f t="shared" si="1"/>
        <v>Gana</v>
      </c>
      <c r="X46" s="199" t="str">
        <f t="shared" si="2"/>
        <v>Coreia do Sul</v>
      </c>
      <c r="Y46" s="199" t="str">
        <f t="shared" si="3"/>
        <v/>
      </c>
      <c r="Z46" s="199" t="str">
        <f t="shared" si="4"/>
        <v/>
      </c>
      <c r="AA46" s="199"/>
    </row>
    <row r="47" spans="2:83" ht="15" x14ac:dyDescent="0.2">
      <c r="B47" s="214">
        <f>AQ33</f>
        <v>1</v>
      </c>
      <c r="C47" s="215" t="str">
        <f>AP33</f>
        <v>Portugal</v>
      </c>
      <c r="D47" s="216">
        <f>3*F47+H47</f>
        <v>6</v>
      </c>
      <c r="E47" s="216">
        <f>F47+G47+H47</f>
        <v>2</v>
      </c>
      <c r="F47" s="216">
        <f>VLOOKUP($AP33,$AC$33:$AK$36,4)</f>
        <v>2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5</v>
      </c>
      <c r="J47" s="216">
        <f>VLOOKUP($AP33,$AC$33:$AK$36,8)</f>
        <v>2</v>
      </c>
      <c r="K47" s="217">
        <f>I47-J47</f>
        <v>3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>
        <f>IF(Copa2022!F56="","",Copa2022!F56)</f>
        <v>2</v>
      </c>
      <c r="Q47" s="202" t="str">
        <f>Copa2022!G56</f>
        <v>x</v>
      </c>
      <c r="R47" s="202">
        <f>IF(Copa2022!H56="","",Copa2022!H56)</f>
        <v>0</v>
      </c>
      <c r="S47" s="202" t="str">
        <f>Copa2022!I56</f>
        <v>Uruguai</v>
      </c>
      <c r="V47" s="197" t="b">
        <f t="shared" si="0"/>
        <v>1</v>
      </c>
      <c r="W47" s="199" t="str">
        <f t="shared" si="1"/>
        <v>Portugal</v>
      </c>
      <c r="X47" s="199" t="str">
        <f t="shared" si="2"/>
        <v>Uruguai</v>
      </c>
      <c r="Y47" s="199" t="str">
        <f t="shared" si="3"/>
        <v/>
      </c>
      <c r="Z47" s="199" t="str">
        <f t="shared" si="4"/>
        <v/>
      </c>
      <c r="AA47" s="199"/>
    </row>
    <row r="48" spans="2:83" ht="15" x14ac:dyDescent="0.2">
      <c r="B48" s="214">
        <f>AQ34</f>
        <v>2</v>
      </c>
      <c r="C48" s="215" t="str">
        <f>AP34</f>
        <v>Gana</v>
      </c>
      <c r="D48" s="216">
        <f>3*F48+H48</f>
        <v>3</v>
      </c>
      <c r="E48" s="216">
        <f>F48+G48+H48</f>
        <v>2</v>
      </c>
      <c r="F48" s="216">
        <f>VLOOKUP($AP34,$AC$33:$AK$36,4)</f>
        <v>1</v>
      </c>
      <c r="G48" s="216">
        <f>VLOOKUP($AP34,$AC$33:$AK$36,5)</f>
        <v>1</v>
      </c>
      <c r="H48" s="216">
        <f>VLOOKUP($AP34,$AC$33:$AK$36,6)</f>
        <v>0</v>
      </c>
      <c r="I48" s="216">
        <f>VLOOKUP($AP34,$AC$33:$AK$36,7)</f>
        <v>5</v>
      </c>
      <c r="J48" s="216">
        <f>VLOOKUP($AP34,$AC$33:$AK$36,8)</f>
        <v>5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 x14ac:dyDescent="0.2">
      <c r="B49" s="214">
        <f>AQ35</f>
        <v>3</v>
      </c>
      <c r="C49" s="215" t="str">
        <f>AP35</f>
        <v>Coreia do Sul</v>
      </c>
      <c r="D49" s="216">
        <f>3*F49+H49</f>
        <v>1</v>
      </c>
      <c r="E49" s="216">
        <f>F49+G49+H49</f>
        <v>2</v>
      </c>
      <c r="F49" s="216">
        <f>VLOOKUP($AP35,$AC$33:$AK$36,4)</f>
        <v>0</v>
      </c>
      <c r="G49" s="216">
        <f>VLOOKUP($AP35,$AC$33:$AK$36,5)</f>
        <v>1</v>
      </c>
      <c r="H49" s="216">
        <f>VLOOKUP($AP35,$AC$33:$AK$36,6)</f>
        <v>1</v>
      </c>
      <c r="I49" s="216">
        <f>VLOOKUP($AP35,$AC$33:$AK$36,7)</f>
        <v>2</v>
      </c>
      <c r="J49" s="216">
        <f>VLOOKUP($AP35,$AC$33:$AK$36,8)</f>
        <v>3</v>
      </c>
      <c r="K49" s="217">
        <f>I49-J49</f>
        <v>-1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 x14ac:dyDescent="0.25">
      <c r="B50" s="227">
        <f>AQ36</f>
        <v>4</v>
      </c>
      <c r="C50" s="228" t="str">
        <f>AP36</f>
        <v>Uruguai</v>
      </c>
      <c r="D50" s="229">
        <f>3*F50+H50</f>
        <v>1</v>
      </c>
      <c r="E50" s="229">
        <f>F50+G50+H50</f>
        <v>2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1</v>
      </c>
      <c r="I50" s="229">
        <f>VLOOKUP($AP36,$AC$33:$AK$36,7)</f>
        <v>0</v>
      </c>
      <c r="J50" s="229">
        <f>VLOOKUP($AP36,$AC$33:$AK$36,8)</f>
        <v>2</v>
      </c>
      <c r="K50" s="230">
        <f>I50-J50</f>
        <v>-2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Holanda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Estados Unidos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 x14ac:dyDescent="0.15">
      <c r="E51" s="199">
        <f>SUM(E47:E50)</f>
        <v>8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Argentina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Austrália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 x14ac:dyDescent="0.15">
      <c r="A52" s="617"/>
      <c r="B52" s="617"/>
      <c r="C52" s="617"/>
      <c r="D52" s="617"/>
      <c r="E52" s="617"/>
      <c r="F52" s="617"/>
      <c r="G52" s="617"/>
      <c r="H52" s="617"/>
      <c r="I52" s="617"/>
      <c r="J52" s="617"/>
      <c r="K52" s="617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Inglaterra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Senegal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 x14ac:dyDescent="0.1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França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Polônia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40</v>
      </c>
    </row>
    <row r="54" spans="1:31" x14ac:dyDescent="0.15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 x14ac:dyDescent="0.15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 x14ac:dyDescent="0.15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 x14ac:dyDescent="0.15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 x14ac:dyDescent="0.15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 x14ac:dyDescent="0.15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 x14ac:dyDescent="0.15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 x14ac:dyDescent="0.15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 x14ac:dyDescent="0.15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 x14ac:dyDescent="0.15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 x14ac:dyDescent="0.15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 x14ac:dyDescent="0.15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 x14ac:dyDescent="0.15">
      <c r="L66" s="197">
        <v>33</v>
      </c>
      <c r="M66" s="200" t="str">
        <f t="shared" si="43"/>
        <v>Uruguai</v>
      </c>
    </row>
    <row r="67" spans="12:27" x14ac:dyDescent="0.15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xmlns:xlrd2="http://schemas.microsoft.com/office/spreadsheetml/2017/richdata2"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Regras</vt:lpstr>
      <vt:lpstr>Palpites</vt:lpstr>
      <vt:lpstr>Copa2022</vt:lpstr>
      <vt:lpstr>Placar</vt:lpstr>
      <vt:lpstr>George</vt:lpstr>
      <vt:lpstr>Laurindo</vt:lpstr>
      <vt:lpstr>Priscilla</vt:lpstr>
      <vt:lpstr>Aurea</vt:lpstr>
      <vt:lpstr>Rubiane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stats</vt:lpstr>
      <vt:lpstr>Sheet1</vt:lpstr>
      <vt:lpstr>Sheet2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2022-11-30T20:30:52Z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